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C:\Users\ehernandezc\Desktop\disco interno\Nuevo Regimen Tarifario 2025-2029\PLIEGO TARIFARIO 2025 -2029\Cargos Equivalentes\"/>
    </mc:Choice>
  </mc:AlternateContent>
  <xr:revisionPtr revIDLastSave="0" documentId="13_ncr:1_{115B27BD-705C-4214-9545-5C227BF288DD}" xr6:coauthVersionLast="47" xr6:coauthVersionMax="47" xr10:uidLastSave="{00000000-0000-0000-0000-000000000000}"/>
  <bookViews>
    <workbookView xWindow="-108" yWindow="-108" windowWidth="23256" windowHeight="13176" tabRatio="837" firstSheet="2" activeTab="4" xr2:uid="{00000000-000D-0000-FFFF-FFFF00000000}"/>
  </bookViews>
  <sheets>
    <sheet name="Datos fijos AÑO 1" sheetId="38" r:id="rId1"/>
    <sheet name="Datos fijos AÑO 2 " sheetId="37" r:id="rId2"/>
    <sheet name="Datos fijos AÑO 3" sheetId="39" r:id="rId3"/>
    <sheet name="Datos fijos AÑO 4" sheetId="40" r:id="rId4"/>
    <sheet name="CUSPT Equivalente - Generadores" sheetId="13" r:id="rId5"/>
    <sheet name="CUSPT AÑO 1 " sheetId="36" r:id="rId6"/>
    <sheet name="CUSPT AÑO 2" sheetId="35" r:id="rId7"/>
    <sheet name="CUSPT AÑO 3" sheetId="34" r:id="rId8"/>
    <sheet name="CUSPT AÑO 4  " sheetId="33" r:id="rId9"/>
  </sheets>
  <externalReferences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</externalReferences>
  <definedNames>
    <definedName name="\0" localSheetId="4">#REF!</definedName>
    <definedName name="\0">#REF!</definedName>
    <definedName name="\a" localSheetId="4">#REF!</definedName>
    <definedName name="\a">#REF!</definedName>
    <definedName name="\b" localSheetId="4">#REF!</definedName>
    <definedName name="\b">#REF!</definedName>
    <definedName name="\c">#REF!</definedName>
    <definedName name="\d">#REF!</definedName>
    <definedName name="\e">#REF!</definedName>
    <definedName name="\f">#REF!</definedName>
    <definedName name="\g">#REF!</definedName>
    <definedName name="\h">#REF!</definedName>
    <definedName name="\i">#REF!</definedName>
    <definedName name="\j">#REF!</definedName>
    <definedName name="\k">#REF!</definedName>
    <definedName name="\m">#REF!</definedName>
    <definedName name="\r">#REF!</definedName>
    <definedName name="\w">#REF!</definedName>
    <definedName name="\z">#REF!</definedName>
    <definedName name="____PRO2">#REF!</definedName>
    <definedName name="___PRO2">#REF!</definedName>
    <definedName name="__123Graph_AGrßfico1" hidden="1">'[1]2001-2005-Contraloría'!#REF!</definedName>
    <definedName name="__123Graph_XGrßfico1" hidden="1">'[1]2001-2005-Contraloría'!#REF!</definedName>
    <definedName name="__ABR1">#REF!</definedName>
    <definedName name="__ABR2">#REF!</definedName>
    <definedName name="__AGO1">#REF!</definedName>
    <definedName name="__AGO2">#REF!</definedName>
    <definedName name="__CFP1">#REF!</definedName>
    <definedName name="__COP1">#REF!</definedName>
    <definedName name="__CRM1">#REF!</definedName>
    <definedName name="__CRM2">#REF!</definedName>
    <definedName name="__DIC2">#REF!</definedName>
    <definedName name="__ENE1">#REF!</definedName>
    <definedName name="__ENE2">#REF!</definedName>
    <definedName name="__ERP1">#REF!</definedName>
    <definedName name="__ESP1">#REF!</definedName>
    <definedName name="__FEB1">#REF!</definedName>
    <definedName name="__FEB2">#REF!</definedName>
    <definedName name="__JUL1">#REF!</definedName>
    <definedName name="__JUL2">#REF!</definedName>
    <definedName name="__JUN1">#REF!</definedName>
    <definedName name="__JUN2">#REF!</definedName>
    <definedName name="__MAR1">#REF!</definedName>
    <definedName name="__MAR2">#REF!</definedName>
    <definedName name="__MAY1">#REF!</definedName>
    <definedName name="__MAY2">#REF!</definedName>
    <definedName name="__NOV1">#REF!</definedName>
    <definedName name="__NOV2">#REF!</definedName>
    <definedName name="__OAP1">#REF!</definedName>
    <definedName name="__OCT1">#REF!</definedName>
    <definedName name="__OCT2">#REF!</definedName>
    <definedName name="__PRO1">#REF!</definedName>
    <definedName name="__PRO2">#REF!</definedName>
    <definedName name="__PRO3">#REF!</definedName>
    <definedName name="__PRO4">#REF!</definedName>
    <definedName name="__RFP1">#REF!</definedName>
    <definedName name="__SE1">#REF!</definedName>
    <definedName name="__SE11">#REF!</definedName>
    <definedName name="__SE12">#REF!</definedName>
    <definedName name="__SE13">#REF!</definedName>
    <definedName name="__SE14">#REF!</definedName>
    <definedName name="__SE15">#REF!</definedName>
    <definedName name="__SE16">#REF!</definedName>
    <definedName name="__SE2">#REF!</definedName>
    <definedName name="__SE3">#REF!</definedName>
    <definedName name="__SE4">#REF!</definedName>
    <definedName name="__SE5">#REF!</definedName>
    <definedName name="__SE6">#REF!</definedName>
    <definedName name="__SEP1">#REF!</definedName>
    <definedName name="__SEP2">#REF!</definedName>
    <definedName name="__TST1">#REF!</definedName>
    <definedName name="__TST2">#REF!</definedName>
    <definedName name="__TST3">#REF!</definedName>
    <definedName name="_12__123Graph_XGrßfico_1A" hidden="1">'[1]2001-2005-Contraloría'!#REF!</definedName>
    <definedName name="_123Gph_AGrBfico3A" hidden="1">'[2]2001-2008Contraloría Historico'!#REF!</definedName>
    <definedName name="_123Graph_XGrBfico1B" hidden="1">'[2]2001-2008Contraloría Historico'!#REF!</definedName>
    <definedName name="_123Grph_XGrBfico2A" hidden="1">'[2]2001-2008Contraloría Historico'!#REF!</definedName>
    <definedName name="_123Grph_YGRBfico3" hidden="1">'[2]2001-2008Contraloría Historico'!#REF!</definedName>
    <definedName name="_12Val_" hidden="1">'[3]2001-2012 Contraloría Historico'!#REF!</definedName>
    <definedName name="_2">#REF!</definedName>
    <definedName name="_2__123Graph_AGrßfico_1A" hidden="1">'[1]2001-2005-Contraloría'!#REF!</definedName>
    <definedName name="_321" hidden="1">'[2]2001-2008Contraloría Historico'!#REF!</definedName>
    <definedName name="_3210" hidden="1">'[2]2001-2008Contraloría Historico'!#REF!</definedName>
    <definedName name="_4__123Graph_AGrßfico_1A" hidden="1">'[1]2001-2005-Contraloría'!#REF!</definedName>
    <definedName name="_4__123Graph_XGrßfico_1A" hidden="1">'[1]2001-2005-Contraloría'!#REF!</definedName>
    <definedName name="_43__123Graph_AGrßfico_1A" hidden="1">'[4]2001-2012 Contraloría Historico'!#REF!</definedName>
    <definedName name="_6__123Graph_AGrßfico_1A" hidden="1">'[1]2001-2005-Contraloría'!#REF!</definedName>
    <definedName name="_8__123Graph_XGrßfico_1A" hidden="1">'[1]2001-2005-Contraloría'!#REF!</definedName>
    <definedName name="_86__123Graph_XGrßfico_1A" hidden="1">'[4]2001-2012 Contraloría Historico'!#REF!</definedName>
    <definedName name="_ABR1">#REF!</definedName>
    <definedName name="_ABR2">#REF!</definedName>
    <definedName name="_AGO1">#REF!</definedName>
    <definedName name="_AGO2">#REF!</definedName>
    <definedName name="_CFP1">#REF!</definedName>
    <definedName name="_COP1">#REF!</definedName>
    <definedName name="_CRM1">#REF!</definedName>
    <definedName name="_CRM2">#REF!</definedName>
    <definedName name="_DIC2">#REF!</definedName>
    <definedName name="_ENE1">#REF!</definedName>
    <definedName name="_ENE2">#REF!</definedName>
    <definedName name="_ERP1">#REF!</definedName>
    <definedName name="_ESP1">#REF!</definedName>
    <definedName name="_FEB1">#REF!</definedName>
    <definedName name="_FEB2">#REF!</definedName>
    <definedName name="_Fill" hidden="1">#REF!</definedName>
    <definedName name="_intracorp" hidden="1">'[2]2001-2008Contraloría Historico'!#REF!</definedName>
    <definedName name="_intracorpGraph" hidden="1">'[2]2001-2008Contraloría Historico'!#REF!</definedName>
    <definedName name="_JUL1">#REF!</definedName>
    <definedName name="_JUL2">#REF!</definedName>
    <definedName name="_JUN1">#REF!</definedName>
    <definedName name="_JUN2">#REF!</definedName>
    <definedName name="_MAR1">#REF!</definedName>
    <definedName name="_MAR2">#REF!</definedName>
    <definedName name="_MAY1">#REF!</definedName>
    <definedName name="_MAY2">#REF!</definedName>
    <definedName name="_NOV1">#REF!</definedName>
    <definedName name="_NOV2">#REF!</definedName>
    <definedName name="_OAP1">#REF!</definedName>
    <definedName name="_OCT1">#REF!</definedName>
    <definedName name="_OCT2">#REF!</definedName>
    <definedName name="_PRO1">#REF!</definedName>
    <definedName name="_PRO2">#REF!</definedName>
    <definedName name="_PRO3">#REF!</definedName>
    <definedName name="_PRO4">#REF!</definedName>
    <definedName name="_RFP1">#REF!</definedName>
    <definedName name="_SE1">#REF!</definedName>
    <definedName name="_SE11">#REF!</definedName>
    <definedName name="_SE12">#REF!</definedName>
    <definedName name="_SE13">#REF!</definedName>
    <definedName name="_SE14">#REF!</definedName>
    <definedName name="_SE15">#REF!</definedName>
    <definedName name="_SE16">#REF!</definedName>
    <definedName name="_SE2">#REF!</definedName>
    <definedName name="_SE3">#REF!</definedName>
    <definedName name="_SE4">#REF!</definedName>
    <definedName name="_SE5">#REF!</definedName>
    <definedName name="_SE6">#REF!</definedName>
    <definedName name="_SEP1">#REF!</definedName>
    <definedName name="_SEP2">#REF!</definedName>
    <definedName name="_TST1">#REF!</definedName>
    <definedName name="_TST2">#REF!</definedName>
    <definedName name="_TST3">#REF!</definedName>
    <definedName name="A_IMPRESIÓN_IM">#REF!</definedName>
    <definedName name="Abril">#REF!</definedName>
    <definedName name="ActNetoHidro">'[5]IMPA Indicativo'!#REF!</definedName>
    <definedName name="ACTUAL">#REF!</definedName>
    <definedName name="ANOS">#REF!</definedName>
    <definedName name="ANOSHIS">#REF!</definedName>
    <definedName name="ANOUNO">#REF!</definedName>
    <definedName name="_xlnm.Extract">#REF!</definedName>
    <definedName name="_xlnm.Print_Area" localSheetId="5">'CUSPT AÑO 1 '!$A$1:$M$66</definedName>
    <definedName name="_xlnm.Print_Area" localSheetId="6">'CUSPT AÑO 2'!$A$1:$M$66</definedName>
    <definedName name="_xlnm.Print_Area" localSheetId="7">'CUSPT AÑO 3'!$A$1:$M$66</definedName>
    <definedName name="_xlnm.Print_Area" localSheetId="8">'CUSPT AÑO 4  '!$A$1:$M$66</definedName>
    <definedName name="_xlnm.Print_Area" localSheetId="4">'CUSPT Equivalente - Generadores'!$A$1:$M$26</definedName>
    <definedName name="_xlnm.Print_Area" localSheetId="0">'Datos fijos AÑO 1'!$A$15:$E$153</definedName>
    <definedName name="_xlnm.Print_Area" localSheetId="1">'Datos fijos AÑO 2 '!$A$15:$E$153</definedName>
    <definedName name="_xlnm.Print_Area" localSheetId="2">'Datos fijos AÑO 3'!$A$15:$E$153</definedName>
    <definedName name="_xlnm.Print_Area" localSheetId="3">'Datos fijos AÑO 4'!$A$15:$E$153</definedName>
    <definedName name="ASSUMPTIONS" localSheetId="4">#REF!</definedName>
    <definedName name="ASSUMPTIONS">#REF!</definedName>
    <definedName name="b">#REF!</definedName>
    <definedName name="BALANCE_SH" localSheetId="4">#REF!</definedName>
    <definedName name="BALANCE_SH">#REF!</definedName>
    <definedName name="Base_datos_IM">#REF!</definedName>
    <definedName name="_xlnm.Database">#REF!</definedName>
    <definedName name="BASIC_DATA">#REF!</definedName>
    <definedName name="BASICO">#REF!</definedName>
    <definedName name="BLANK">#REF!</definedName>
    <definedName name="Blev">#REF!</definedName>
    <definedName name="Bu">#REF!</definedName>
    <definedName name="CALCULAR">#REF!</definedName>
    <definedName name="CASH_FL">#REF!</definedName>
    <definedName name="CASH_FLOW_RPT">#REF!</definedName>
    <definedName name="CASH_RPT_BR_ROW">#REF!</definedName>
    <definedName name="CASH_RPT_HEADER">#REF!</definedName>
    <definedName name="CASHFLOW">#REF!</definedName>
    <definedName name="CBASE">#REF!</definedName>
    <definedName name="CCC">#REF!</definedName>
    <definedName name="CF_CY">#REF!</definedName>
    <definedName name="CFP">#REF!</definedName>
    <definedName name="CFPC">#REF!</definedName>
    <definedName name="CFPDATA">#REF!</definedName>
    <definedName name="CFPTITLES">#REF!</definedName>
    <definedName name="CFTITLE">#REF!</definedName>
    <definedName name="CFUNIT">#REF!</definedName>
    <definedName name="CHANGES">#REF!</definedName>
    <definedName name="CHECAMAC">#REF!</definedName>
    <definedName name="CHECAOPT">#REF!</definedName>
    <definedName name="CO_CY">#REF!</definedName>
    <definedName name="COLTOTAL">#REF!</definedName>
    <definedName name="COLWIDE">#REF!</definedName>
    <definedName name="CON_ACC_REC">#REF!</definedName>
    <definedName name="CON_ALL_REPORT">#REF!</definedName>
    <definedName name="CON_NETWORTH">#REF!</definedName>
    <definedName name="CON_PAS_COR">#REF!</definedName>
    <definedName name="CON_REPT_FOOTER">#REF!</definedName>
    <definedName name="CON_REPT_HEADER">#REF!</definedName>
    <definedName name="CON_REVENUE">#REF!</definedName>
    <definedName name="CON_RPT_BOR_COL">#REF!</definedName>
    <definedName name="CON_RPT_BOR_ROW">#REF!</definedName>
    <definedName name="CON_VOLUMES">#REF!</definedName>
    <definedName name="CONEX">#REF!</definedName>
    <definedName name="CONSOL_FIXED_AS">#REF!</definedName>
    <definedName name="CONSOL_FUENTE_I">#REF!</definedName>
    <definedName name="CONSOL_RPT">#REF!</definedName>
    <definedName name="CONSOLIDA">#REF!</definedName>
    <definedName name="CONSOLIDATION">#REF!</definedName>
    <definedName name="COP">#REF!</definedName>
    <definedName name="COPDATA">#REF!</definedName>
    <definedName name="COTITLE">#REF!</definedName>
    <definedName name="COUNIT">#REF!</definedName>
    <definedName name="_xlnm.Criteria">#REF!</definedName>
    <definedName name="Criterios_IM">#REF!</definedName>
    <definedName name="CSD">#REF!</definedName>
    <definedName name="CY_DOLAR">#REF!</definedName>
    <definedName name="CY_LOCAL">#REF!</definedName>
    <definedName name="D">#REF!</definedName>
    <definedName name="D1_">#REF!</definedName>
    <definedName name="D2_">#REF!</definedName>
    <definedName name="D3_">#REF!</definedName>
    <definedName name="D4_">#REF!</definedName>
    <definedName name="D5_">#N/A</definedName>
    <definedName name="D6_">#N/A</definedName>
    <definedName name="D7_">#REF!</definedName>
    <definedName name="D8_">#REF!</definedName>
    <definedName name="DATOSE">#REF!</definedName>
    <definedName name="DBHH">#REF!</definedName>
    <definedName name="DBPC">#REF!</definedName>
    <definedName name="DBT">#REF!</definedName>
    <definedName name="DCOL">#REF!</definedName>
    <definedName name="DE">#REF!</definedName>
    <definedName name="DECI">#REF!</definedName>
    <definedName name="DENOMINATION">#REF!</definedName>
    <definedName name="DEPRINT">#REF!</definedName>
    <definedName name="derfgtttttt">[6]Hidrometeorología!$D$14</definedName>
    <definedName name="DEUDA">#REF!</definedName>
    <definedName name="DEUDAL">#REF!</definedName>
    <definedName name="dfres">[6]Hidrometeorología!$D$14</definedName>
    <definedName name="DV">#REF!</definedName>
    <definedName name="ENTRY">#REF!</definedName>
    <definedName name="ER_CY">#REF!</definedName>
    <definedName name="ERHACTUAL">#REF!</definedName>
    <definedName name="ERHDATA10YEARS">#REF!</definedName>
    <definedName name="ERHDATA5">#REF!</definedName>
    <definedName name="ERHTITLES">#REF!</definedName>
    <definedName name="ERP">#REF!</definedName>
    <definedName name="ERP_LAST">#REF!</definedName>
    <definedName name="ERP0">#REF!</definedName>
    <definedName name="ERPC">#REF!</definedName>
    <definedName name="ERPDATA">#REF!</definedName>
    <definedName name="ERPTITLES">#REF!</definedName>
    <definedName name="ERPUNO">#REF!</definedName>
    <definedName name="ERPWP">#REF!</definedName>
    <definedName name="ERTITLE">#REF!</definedName>
    <definedName name="ERUNIT">#REF!</definedName>
    <definedName name="ES_CY">#REF!</definedName>
    <definedName name="ESP">#REF!</definedName>
    <definedName name="ESP_LAST">#REF!</definedName>
    <definedName name="ESP0">#REF!</definedName>
    <definedName name="ESPACTUAL">#REF!</definedName>
    <definedName name="ESPANOL">#REF!</definedName>
    <definedName name="ESPC">#REF!</definedName>
    <definedName name="ESPDATA">#REF!</definedName>
    <definedName name="ESPTITLES">#REF!</definedName>
    <definedName name="ESPUNO">#REF!</definedName>
    <definedName name="ESTITLE">#REF!</definedName>
    <definedName name="ESUNIT">#REF!</definedName>
    <definedName name="EXIT">#REF!</definedName>
    <definedName name="Extracción_IM">#REF!</definedName>
    <definedName name="FACEL">#REF!</definedName>
    <definedName name="FACWA">#REF!</definedName>
    <definedName name="FILE1">#REF!</definedName>
    <definedName name="FILE2">#REF!</definedName>
    <definedName name="FILE3">#REF!</definedName>
    <definedName name="FILE4">#REF!</definedName>
    <definedName name="FILE5">#REF!</definedName>
    <definedName name="FILE6">#REF!</definedName>
    <definedName name="FILE7">#REF!</definedName>
    <definedName name="FILE8">#REF!</definedName>
    <definedName name="FILENAME">#REF!</definedName>
    <definedName name="FILES">#REF!</definedName>
    <definedName name="FILESET_UP">#REF!</definedName>
    <definedName name="FIN">#REF!</definedName>
    <definedName name="FORMAT">#REF!</definedName>
    <definedName name="FRAME">#REF!</definedName>
    <definedName name="FREEZE">#REF!</definedName>
    <definedName name="GHH">#REF!</definedName>
    <definedName name="GINC">#REF!</definedName>
    <definedName name="GINCL">#REF!</definedName>
    <definedName name="GWH">#REF!</definedName>
    <definedName name="HISTORY">#REF!</definedName>
    <definedName name="HOJAT">#REF!</definedName>
    <definedName name="i">#REF!</definedName>
    <definedName name="IMPANO0">#REF!</definedName>
    <definedName name="INCOME_ST">#REF!</definedName>
    <definedName name="INDSAVE">#REF!</definedName>
    <definedName name="INGLES">#REF!</definedName>
    <definedName name="INICIO">#REF!</definedName>
    <definedName name="INSTRUCCONSOL">#REF!</definedName>
    <definedName name="INTRACORPa" hidden="1">'[2]2001-2008Contraloría Historico'!#REF!</definedName>
    <definedName name="ITER">#REF!</definedName>
    <definedName name="J1_">#REF!</definedName>
    <definedName name="J2_">#REF!</definedName>
    <definedName name="J3_">#REF!</definedName>
    <definedName name="J4_">#REF!</definedName>
    <definedName name="J5_">#N/A</definedName>
    <definedName name="J6_">#N/A</definedName>
    <definedName name="J7_">#REF!</definedName>
    <definedName name="J8_">#REF!</definedName>
    <definedName name="JI">#REF!</definedName>
    <definedName name="JKL">#REF!</definedName>
    <definedName name="KKK">#REF!</definedName>
    <definedName name="LANGUAGE">#REF!</definedName>
    <definedName name="LASER">#REF!</definedName>
    <definedName name="LAST_YEAR">#REF!</definedName>
    <definedName name="LEARN">#REF!</definedName>
    <definedName name="LINE_">#REF!</definedName>
    <definedName name="LINES_ML">#REF!</definedName>
    <definedName name="LOGO">#REF!</definedName>
    <definedName name="M1_">#REF!</definedName>
    <definedName name="M2_">#REF!</definedName>
    <definedName name="M3_">#REF!</definedName>
    <definedName name="M4_">#REF!</definedName>
    <definedName name="M5_">#N/A</definedName>
    <definedName name="M6_">#N/A</definedName>
    <definedName name="M7_">#REF!</definedName>
    <definedName name="M8_">#REF!</definedName>
    <definedName name="MAIN">#REF!</definedName>
    <definedName name="MENSAJ">#REF!</definedName>
    <definedName name="MENSAJ1">#REF!</definedName>
    <definedName name="MENSAJE">#REF!</definedName>
    <definedName name="MENSAJE1">#REF!</definedName>
    <definedName name="MESES">#REF!</definedName>
    <definedName name="MESESL">#REF!</definedName>
    <definedName name="MIL">#REF!</definedName>
    <definedName name="MILLON">#REF!</definedName>
    <definedName name="MODINFO">#REF!</definedName>
    <definedName name="MODULES">#REF!</definedName>
    <definedName name="MSGCALC">#REF!</definedName>
    <definedName name="MSGDEBT">#REF!</definedName>
    <definedName name="MSGFILES">#REF!</definedName>
    <definedName name="MSGINVEST">#REF!</definedName>
    <definedName name="MSGNAMES">#REF!</definedName>
    <definedName name="MSGPRINTG">#REF!</definedName>
    <definedName name="MSGTRANSFER">#REF!</definedName>
    <definedName name="MWH">#REF!</definedName>
    <definedName name="NAME">#REF!</definedName>
    <definedName name="NAMES">#REF!</definedName>
    <definedName name="NOPRO">#REF!</definedName>
    <definedName name="OA_CY">#REF!</definedName>
    <definedName name="OAP">#REF!</definedName>
    <definedName name="OAP_LAST">#REF!</definedName>
    <definedName name="OAP0">#REF!</definedName>
    <definedName name="OAPACTUAL">#REF!</definedName>
    <definedName name="OAPC">#REF!</definedName>
    <definedName name="OAPDATA">#REF!</definedName>
    <definedName name="OAPTITLES">#REF!</definedName>
    <definedName name="OAPUNO">#REF!</definedName>
    <definedName name="OATITLE">#REF!</definedName>
    <definedName name="OAUNIT">#REF!</definedName>
    <definedName name="OPCFLAG">#REF!</definedName>
    <definedName name="OPCION">#REF!</definedName>
    <definedName name="OPSELC">#REF!</definedName>
    <definedName name="OUTPUT">#REF!</definedName>
    <definedName name="OUTPUTDE">#REF!</definedName>
    <definedName name="OUTPUTE">#REF!</definedName>
    <definedName name="OUTPUTE_HEADER">#REF!</definedName>
    <definedName name="OUTPUTEBODY">#REF!</definedName>
    <definedName name="OUTPUTECOL">#REF!</definedName>
    <definedName name="OUTPUTEHEAD">#REF!</definedName>
    <definedName name="OUTPUTNOS">#REF!</definedName>
    <definedName name="OUTPUTPR">#REF!</definedName>
    <definedName name="OUTPUTWS">#REF!</definedName>
    <definedName name="PANTALLA">#REF!</definedName>
    <definedName name="PAPEL">#REF!</definedName>
    <definedName name="PFLAG">#REF!</definedName>
    <definedName name="PGIC">#REF!</definedName>
    <definedName name="PIBnuevo15" hidden="1">'[4]2001-2012 Contraloría Historico'!#REF!</definedName>
    <definedName name="PREST">#REF!</definedName>
    <definedName name="PRESTAMO">#REF!</definedName>
    <definedName name="PRESTTOT">#REF!</definedName>
    <definedName name="PRINTER">#REF!</definedName>
    <definedName name="PRO">#REF!</definedName>
    <definedName name="PRODUC2">#REF!</definedName>
    <definedName name="PRODUC3">#REF!</definedName>
    <definedName name="PRODUC4">#REF!</definedName>
    <definedName name="PTOEF">#REF!</definedName>
    <definedName name="PTOER">#REF!</definedName>
    <definedName name="RANGES">#REF!</definedName>
    <definedName name="RATIOS">#REF!</definedName>
    <definedName name="RCC">#REF!</definedName>
    <definedName name="RCCOBR">#REF!</definedName>
    <definedName name="rd">#REF!</definedName>
    <definedName name="rdn" localSheetId="4">[7]Hidrometeorología!$D$14</definedName>
    <definedName name="rdn">[8]Hidrometeorología!$D$14</definedName>
    <definedName name="rdx" localSheetId="4">[7]Hidrometeorología!$D$14</definedName>
    <definedName name="rdx">[8]Hidrometeorología!$D$14</definedName>
    <definedName name="re" localSheetId="4">#REF!</definedName>
    <definedName name="re">#REF!</definedName>
    <definedName name="RENTA" localSheetId="4">#REF!</definedName>
    <definedName name="RENTA">#REF!</definedName>
    <definedName name="RENTAL" localSheetId="4">#REF!</definedName>
    <definedName name="RENTAL">#REF!</definedName>
    <definedName name="REPO">#REF!</definedName>
    <definedName name="REPOCALC">#REF!</definedName>
    <definedName name="REPOPRO">#REF!</definedName>
    <definedName name="REPSUB">#REF!</definedName>
    <definedName name="REPSUBWYS">#REF!</definedName>
    <definedName name="RESUMEN">#REF!</definedName>
    <definedName name="rf">#REF!</definedName>
    <definedName name="RF_CY">#REF!</definedName>
    <definedName name="RFP">#REF!</definedName>
    <definedName name="RFPACTUAL">#REF!</definedName>
    <definedName name="RFPC">#REF!</definedName>
    <definedName name="RFPDATA">#REF!</definedName>
    <definedName name="RFPTITLES">#REF!</definedName>
    <definedName name="RFTITLE">#REF!</definedName>
    <definedName name="RFUNIT">#REF!</definedName>
    <definedName name="rm_rf">#REF!</definedName>
    <definedName name="rp">#REF!</definedName>
    <definedName name="RPTSFOOTER">#REF!</definedName>
    <definedName name="RPTSHEADER">#REF!</definedName>
    <definedName name="rrd" localSheetId="4">[7]IMP!$D$14</definedName>
    <definedName name="rrd">[9]RRT!$D$14</definedName>
    <definedName name="RRT" localSheetId="4">#REF!</definedName>
    <definedName name="RRT">#REF!</definedName>
    <definedName name="RRTg">[10]IPCT!$C$14</definedName>
    <definedName name="S1_">#REF!</definedName>
    <definedName name="S2_">#REF!</definedName>
    <definedName name="S3_">#REF!</definedName>
    <definedName name="S4_">#REF!</definedName>
    <definedName name="S5_">#N/A</definedName>
    <definedName name="S6_">#N/A</definedName>
    <definedName name="S7_">#REF!</definedName>
    <definedName name="S8_">#REF!</definedName>
    <definedName name="SCREEN" localSheetId="4">#REF!</definedName>
    <definedName name="SCREEN">#REF!</definedName>
    <definedName name="Sd" localSheetId="4">#REF!</definedName>
    <definedName name="Sd">#REF!</definedName>
    <definedName name="SE0">#REF!</definedName>
    <definedName name="SENOP">#REF!</definedName>
    <definedName name="SENPRI">#REF!</definedName>
    <definedName name="SENSITIVITY">#REF!</definedName>
    <definedName name="SENSTA">#REF!</definedName>
    <definedName name="SENT">#REF!</definedName>
    <definedName name="SENUNI">#REF!</definedName>
    <definedName name="SER">#REF!</definedName>
    <definedName name="SOURCE_APPL">#REF!</definedName>
    <definedName name="ss">#REF!</definedName>
    <definedName name="STAMP">#REF!</definedName>
    <definedName name="START">#REF!</definedName>
    <definedName name="SUMARIA">#REF!</definedName>
    <definedName name="SUPUESTOS">#REF!</definedName>
    <definedName name="t">#REF!</definedName>
    <definedName name="TASA">#REF!</definedName>
    <definedName name="TASAI">#REF!</definedName>
    <definedName name="TASATOT">#REF!</definedName>
    <definedName name="TEXTO">#REF!</definedName>
    <definedName name="TIPO">#REF!</definedName>
    <definedName name="TITLE">#REF!</definedName>
    <definedName name="TITLEENG">#REF!</definedName>
    <definedName name="TITLES">#REF!</definedName>
    <definedName name="TITLESPAN">#REF!</definedName>
    <definedName name="TODO">#REF!</definedName>
    <definedName name="TRAF">#REF!</definedName>
    <definedName name="tret" hidden="1">'[2]2001-2008Contraloría Historico'!#REF!</definedName>
    <definedName name="TSFR1">#REF!</definedName>
    <definedName name="TSFR2">#REF!</definedName>
    <definedName name="TSFR3">#REF!</definedName>
    <definedName name="UNDERLINE">#REF!</definedName>
    <definedName name="UNFREEZE">#REF!</definedName>
    <definedName name="UNITS">#REF!</definedName>
    <definedName name="VNR_Lineas">[5]VNR!$Q$59</definedName>
    <definedName name="VNR_Lineas_Conexión">[5]VNR!$Q$69</definedName>
    <definedName name="VNR_Subestaciones_Conexión">[5]VNR!$G$48</definedName>
    <definedName name="VNR_Subestaciones_Estrategicas">[5]VNR!$F$38</definedName>
    <definedName name="VNR_Subestaciones_SPT">[5]VNR!$F$32</definedName>
    <definedName name="vvvv">[11]IMP!$D$14</definedName>
    <definedName name="WACCna">#REF!</definedName>
    <definedName name="WACCnd">#REF!</definedName>
    <definedName name="WACCr">#REF!</definedName>
    <definedName name="WACCra">#REF!</definedName>
    <definedName name="WH">#REF!</definedName>
    <definedName name="WHC">#REF!</definedName>
    <definedName name="WHCO">#REF!</definedName>
    <definedName name="WHCR">#REF!</definedName>
    <definedName name="WHCS">#REF!</definedName>
    <definedName name="WHG">#REF!</definedName>
    <definedName name="WHH">#REF!</definedName>
    <definedName name="WORKSHEET">#REF!</definedName>
    <definedName name="WP">#REF!</definedName>
    <definedName name="WPC">#REF!</definedName>
    <definedName name="WPG">#REF!</definedName>
    <definedName name="WPH">#REF!</definedName>
    <definedName name="WSANO0PR">#REF!</definedName>
    <definedName name="WSANO0S">#REF!</definedName>
    <definedName name="WSGRID">#REF!</definedName>
    <definedName name="WSGRID0">#REF!</definedName>
    <definedName name="WSGRID10">#REF!</definedName>
    <definedName name="WSPRINT">#REF!</definedName>
    <definedName name="XX">[12]IMP!$D$10</definedName>
    <definedName name="xxx">[7]Hidrometeorología!$D$14</definedName>
    <definedName name="XXXX">[7]Hidrometeorología!$D$14</definedName>
    <definedName name="xxxxxx" hidden="1">#REF!</definedName>
    <definedName name="xxxxxxxxxxxxxxxxxxxx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66" i="33" l="1"/>
  <c r="G62" i="33"/>
  <c r="K61" i="33"/>
  <c r="J61" i="33"/>
  <c r="I61" i="33"/>
  <c r="H61" i="33"/>
  <c r="G61" i="33"/>
  <c r="F61" i="33"/>
  <c r="E61" i="33"/>
  <c r="D61" i="33"/>
  <c r="C61" i="33"/>
  <c r="B61" i="33"/>
  <c r="L61" i="33" s="1"/>
  <c r="K60" i="33"/>
  <c r="J60" i="33"/>
  <c r="I60" i="33"/>
  <c r="H60" i="33"/>
  <c r="G60" i="33"/>
  <c r="F60" i="33"/>
  <c r="E60" i="33"/>
  <c r="D60" i="33"/>
  <c r="C60" i="33"/>
  <c r="B60" i="33"/>
  <c r="L60" i="33" s="1"/>
  <c r="K58" i="33"/>
  <c r="J58" i="33"/>
  <c r="I58" i="33"/>
  <c r="H58" i="33"/>
  <c r="G58" i="33"/>
  <c r="F58" i="33"/>
  <c r="E58" i="33"/>
  <c r="D58" i="33"/>
  <c r="C58" i="33"/>
  <c r="B58" i="33"/>
  <c r="L58" i="33" s="1"/>
  <c r="K57" i="33"/>
  <c r="J57" i="33"/>
  <c r="I57" i="33"/>
  <c r="H57" i="33"/>
  <c r="G57" i="33"/>
  <c r="F57" i="33"/>
  <c r="E57" i="33"/>
  <c r="D57" i="33"/>
  <c r="E10" i="13" s="1"/>
  <c r="C57" i="33"/>
  <c r="B57" i="33"/>
  <c r="K55" i="33"/>
  <c r="K45" i="33" s="1"/>
  <c r="J55" i="33"/>
  <c r="J66" i="33" s="1"/>
  <c r="I55" i="33"/>
  <c r="I66" i="33" s="1"/>
  <c r="H55" i="33"/>
  <c r="H66" i="33" s="1"/>
  <c r="G55" i="33"/>
  <c r="G66" i="33" s="1"/>
  <c r="F55" i="33"/>
  <c r="F66" i="33" s="1"/>
  <c r="E55" i="33"/>
  <c r="E66" i="33" s="1"/>
  <c r="D55" i="33"/>
  <c r="D45" i="33" s="1"/>
  <c r="C55" i="33"/>
  <c r="C45" i="33" s="1"/>
  <c r="B55" i="33"/>
  <c r="L55" i="33" s="1"/>
  <c r="K54" i="33"/>
  <c r="K65" i="33" s="1"/>
  <c r="J54" i="33"/>
  <c r="J65" i="33" s="1"/>
  <c r="I54" i="33"/>
  <c r="I65" i="33" s="1"/>
  <c r="H54" i="33"/>
  <c r="H44" i="33" s="1"/>
  <c r="G54" i="33"/>
  <c r="G44" i="33" s="1"/>
  <c r="F54" i="33"/>
  <c r="F44" i="33" s="1"/>
  <c r="E54" i="33"/>
  <c r="E65" i="33" s="1"/>
  <c r="D54" i="33"/>
  <c r="D65" i="33" s="1"/>
  <c r="C54" i="33"/>
  <c r="C65" i="33" s="1"/>
  <c r="B54" i="33"/>
  <c r="L54" i="33" s="1"/>
  <c r="M51" i="33"/>
  <c r="K44" i="33"/>
  <c r="I44" i="33"/>
  <c r="C44" i="33"/>
  <c r="B40" i="33"/>
  <c r="B36" i="33"/>
  <c r="B35" i="33"/>
  <c r="B33" i="33"/>
  <c r="B48" i="33" s="1"/>
  <c r="B32" i="33"/>
  <c r="B47" i="33" s="1"/>
  <c r="K26" i="33"/>
  <c r="J26" i="33"/>
  <c r="I26" i="33"/>
  <c r="I45" i="33" s="1"/>
  <c r="H26" i="33"/>
  <c r="H45" i="33" s="1"/>
  <c r="G26" i="33"/>
  <c r="G45" i="33" s="1"/>
  <c r="F26" i="33"/>
  <c r="F45" i="33" s="1"/>
  <c r="E26" i="33"/>
  <c r="E45" i="33" s="1"/>
  <c r="D26" i="33"/>
  <c r="C26" i="33"/>
  <c r="B26" i="33"/>
  <c r="L26" i="33" s="1"/>
  <c r="K25" i="33"/>
  <c r="J25" i="33"/>
  <c r="J44" i="33" s="1"/>
  <c r="I25" i="33"/>
  <c r="H25" i="33"/>
  <c r="G25" i="33"/>
  <c r="F25" i="33"/>
  <c r="E25" i="33"/>
  <c r="D25" i="33"/>
  <c r="D44" i="33" s="1"/>
  <c r="C25" i="33"/>
  <c r="B25" i="33"/>
  <c r="L25" i="33" s="1"/>
  <c r="K20" i="33"/>
  <c r="J20" i="33"/>
  <c r="I20" i="33"/>
  <c r="H20" i="33"/>
  <c r="G20" i="33"/>
  <c r="F20" i="33"/>
  <c r="E20" i="33"/>
  <c r="D20" i="33"/>
  <c r="C20" i="33"/>
  <c r="L20" i="33" s="1"/>
  <c r="B20" i="33"/>
  <c r="K19" i="33"/>
  <c r="J19" i="33"/>
  <c r="I19" i="33"/>
  <c r="H19" i="33"/>
  <c r="G19" i="33"/>
  <c r="F19" i="33"/>
  <c r="E19" i="33"/>
  <c r="D19" i="33"/>
  <c r="C19" i="33"/>
  <c r="B19" i="33"/>
  <c r="L19" i="33" s="1"/>
  <c r="M14" i="33"/>
  <c r="L14" i="33"/>
  <c r="K14" i="33"/>
  <c r="J14" i="33"/>
  <c r="I14" i="33"/>
  <c r="H14" i="33"/>
  <c r="G14" i="33"/>
  <c r="F14" i="33"/>
  <c r="E14" i="33"/>
  <c r="D14" i="33"/>
  <c r="C14" i="33"/>
  <c r="B14" i="33"/>
  <c r="M13" i="33"/>
  <c r="L13" i="33"/>
  <c r="K13" i="33"/>
  <c r="J13" i="33"/>
  <c r="I13" i="33"/>
  <c r="H13" i="33"/>
  <c r="G13" i="33"/>
  <c r="F13" i="33"/>
  <c r="E13" i="33"/>
  <c r="D13" i="33"/>
  <c r="C13" i="33"/>
  <c r="B13" i="33"/>
  <c r="N13" i="33" s="1"/>
  <c r="M12" i="33"/>
  <c r="L12" i="33"/>
  <c r="K12" i="33"/>
  <c r="J12" i="33"/>
  <c r="I12" i="33"/>
  <c r="H12" i="33"/>
  <c r="G12" i="33"/>
  <c r="F12" i="33"/>
  <c r="E12" i="33"/>
  <c r="N12" i="33" s="1"/>
  <c r="D12" i="33"/>
  <c r="C12" i="33"/>
  <c r="B12" i="33"/>
  <c r="A12" i="33" s="1"/>
  <c r="G7" i="33"/>
  <c r="F7" i="33"/>
  <c r="E7" i="33"/>
  <c r="D7" i="33"/>
  <c r="C7" i="33"/>
  <c r="B7" i="33"/>
  <c r="F5" i="33"/>
  <c r="D5" i="33"/>
  <c r="E5" i="33" s="1"/>
  <c r="B5" i="33"/>
  <c r="F4" i="33"/>
  <c r="D4" i="33"/>
  <c r="E4" i="33" s="1"/>
  <c r="E3" i="33" s="1"/>
  <c r="B4" i="33"/>
  <c r="D3" i="33"/>
  <c r="B3" i="33"/>
  <c r="J4" i="33" s="1"/>
  <c r="C1" i="33"/>
  <c r="B1" i="33"/>
  <c r="G65" i="34"/>
  <c r="G62" i="34"/>
  <c r="K61" i="34"/>
  <c r="J61" i="34"/>
  <c r="I61" i="34"/>
  <c r="H61" i="34"/>
  <c r="G61" i="34"/>
  <c r="F61" i="34"/>
  <c r="E61" i="34"/>
  <c r="D61" i="34"/>
  <c r="C61" i="34"/>
  <c r="B61" i="34"/>
  <c r="L61" i="34" s="1"/>
  <c r="M61" i="34" s="1"/>
  <c r="K60" i="34"/>
  <c r="J60" i="34"/>
  <c r="I60" i="34"/>
  <c r="H60" i="34"/>
  <c r="G60" i="34"/>
  <c r="F60" i="34"/>
  <c r="E60" i="34"/>
  <c r="D60" i="34"/>
  <c r="C60" i="34"/>
  <c r="B60" i="34"/>
  <c r="L60" i="34" s="1"/>
  <c r="K58" i="34"/>
  <c r="J58" i="34"/>
  <c r="I58" i="34"/>
  <c r="H58" i="34"/>
  <c r="G58" i="34"/>
  <c r="F58" i="34"/>
  <c r="E58" i="34"/>
  <c r="D58" i="34"/>
  <c r="C58" i="34"/>
  <c r="B58" i="34"/>
  <c r="L58" i="34" s="1"/>
  <c r="K57" i="34"/>
  <c r="J57" i="34"/>
  <c r="I57" i="34"/>
  <c r="H57" i="34"/>
  <c r="G57" i="34"/>
  <c r="F57" i="34"/>
  <c r="E57" i="34"/>
  <c r="D57" i="34"/>
  <c r="E9" i="13" s="1"/>
  <c r="C57" i="34"/>
  <c r="B57" i="34"/>
  <c r="K55" i="34"/>
  <c r="K45" i="34" s="1"/>
  <c r="J55" i="34"/>
  <c r="J66" i="34" s="1"/>
  <c r="I55" i="34"/>
  <c r="I66" i="34" s="1"/>
  <c r="H55" i="34"/>
  <c r="H66" i="34" s="1"/>
  <c r="G55" i="34"/>
  <c r="G66" i="34" s="1"/>
  <c r="F55" i="34"/>
  <c r="F66" i="34" s="1"/>
  <c r="E55" i="34"/>
  <c r="E45" i="34" s="1"/>
  <c r="D55" i="34"/>
  <c r="D45" i="34" s="1"/>
  <c r="C55" i="34"/>
  <c r="C66" i="34" s="1"/>
  <c r="B55" i="34"/>
  <c r="B45" i="34" s="1"/>
  <c r="K54" i="34"/>
  <c r="K65" i="34" s="1"/>
  <c r="J54" i="34"/>
  <c r="J65" i="34" s="1"/>
  <c r="I54" i="34"/>
  <c r="I65" i="34" s="1"/>
  <c r="H54" i="34"/>
  <c r="H44" i="34" s="1"/>
  <c r="G54" i="34"/>
  <c r="G44" i="34" s="1"/>
  <c r="F54" i="34"/>
  <c r="F44" i="34" s="1"/>
  <c r="E54" i="34"/>
  <c r="E65" i="34" s="1"/>
  <c r="D54" i="34"/>
  <c r="D65" i="34" s="1"/>
  <c r="C54" i="34"/>
  <c r="C65" i="34" s="1"/>
  <c r="B54" i="34"/>
  <c r="L54" i="34" s="1"/>
  <c r="M51" i="34"/>
  <c r="I44" i="34"/>
  <c r="B40" i="34"/>
  <c r="B36" i="34"/>
  <c r="B35" i="34"/>
  <c r="B33" i="34"/>
  <c r="B48" i="34" s="1"/>
  <c r="B32" i="34"/>
  <c r="B47" i="34" s="1"/>
  <c r="K26" i="34"/>
  <c r="J26" i="34"/>
  <c r="I26" i="34"/>
  <c r="I45" i="34" s="1"/>
  <c r="H26" i="34"/>
  <c r="H45" i="34" s="1"/>
  <c r="G26" i="34"/>
  <c r="G45" i="34" s="1"/>
  <c r="F26" i="34"/>
  <c r="F45" i="34" s="1"/>
  <c r="E26" i="34"/>
  <c r="D26" i="34"/>
  <c r="C26" i="34"/>
  <c r="B26" i="34"/>
  <c r="L26" i="34" s="1"/>
  <c r="K25" i="34"/>
  <c r="K44" i="34" s="1"/>
  <c r="J25" i="34"/>
  <c r="J44" i="34" s="1"/>
  <c r="I25" i="34"/>
  <c r="H25" i="34"/>
  <c r="G25" i="34"/>
  <c r="F25" i="34"/>
  <c r="E25" i="34"/>
  <c r="E44" i="34" s="1"/>
  <c r="D25" i="34"/>
  <c r="D44" i="34" s="1"/>
  <c r="C25" i="34"/>
  <c r="C44" i="34" s="1"/>
  <c r="B25" i="34"/>
  <c r="L25" i="34" s="1"/>
  <c r="K20" i="34"/>
  <c r="J20" i="34"/>
  <c r="I20" i="34"/>
  <c r="H20" i="34"/>
  <c r="G20" i="34"/>
  <c r="F20" i="34"/>
  <c r="E20" i="34"/>
  <c r="D20" i="34"/>
  <c r="C20" i="34"/>
  <c r="L20" i="34" s="1"/>
  <c r="B20" i="34"/>
  <c r="K19" i="34"/>
  <c r="J19" i="34"/>
  <c r="I19" i="34"/>
  <c r="H19" i="34"/>
  <c r="G19" i="34"/>
  <c r="F19" i="34"/>
  <c r="E19" i="34"/>
  <c r="D19" i="34"/>
  <c r="C19" i="34"/>
  <c r="B19" i="34"/>
  <c r="L19" i="34" s="1"/>
  <c r="M14" i="34"/>
  <c r="L14" i="34"/>
  <c r="K14" i="34"/>
  <c r="J14" i="34"/>
  <c r="I14" i="34"/>
  <c r="H14" i="34"/>
  <c r="G14" i="34"/>
  <c r="F14" i="34"/>
  <c r="E14" i="34"/>
  <c r="D14" i="34"/>
  <c r="C14" i="34"/>
  <c r="B14" i="34"/>
  <c r="M13" i="34"/>
  <c r="L13" i="34"/>
  <c r="K13" i="34"/>
  <c r="J13" i="34"/>
  <c r="I13" i="34"/>
  <c r="H13" i="34"/>
  <c r="G13" i="34"/>
  <c r="F13" i="34"/>
  <c r="E13" i="34"/>
  <c r="D13" i="34"/>
  <c r="C13" i="34"/>
  <c r="B13" i="34"/>
  <c r="N13" i="34" s="1"/>
  <c r="M12" i="34"/>
  <c r="L12" i="34"/>
  <c r="K12" i="34"/>
  <c r="J12" i="34"/>
  <c r="I12" i="34"/>
  <c r="H12" i="34"/>
  <c r="G12" i="34"/>
  <c r="F12" i="34"/>
  <c r="E12" i="34"/>
  <c r="A12" i="34" s="1"/>
  <c r="D12" i="34"/>
  <c r="C12" i="34"/>
  <c r="B12" i="34"/>
  <c r="G7" i="34"/>
  <c r="F7" i="34"/>
  <c r="E7" i="34"/>
  <c r="D7" i="34"/>
  <c r="C7" i="34"/>
  <c r="B7" i="34"/>
  <c r="F5" i="34"/>
  <c r="D5" i="34"/>
  <c r="E5" i="34" s="1"/>
  <c r="B5" i="34"/>
  <c r="C5" i="34" s="1"/>
  <c r="F4" i="34"/>
  <c r="D4" i="34"/>
  <c r="E4" i="34" s="1"/>
  <c r="E3" i="34" s="1"/>
  <c r="B4" i="34"/>
  <c r="C4" i="34" s="1"/>
  <c r="C3" i="34" s="1"/>
  <c r="D3" i="34"/>
  <c r="B3" i="34"/>
  <c r="J4" i="34" s="1"/>
  <c r="C1" i="34"/>
  <c r="B1" i="34"/>
  <c r="D9" i="13"/>
  <c r="L9" i="13"/>
  <c r="F65" i="35"/>
  <c r="G62" i="35"/>
  <c r="K61" i="35"/>
  <c r="J61" i="35"/>
  <c r="I61" i="35"/>
  <c r="H61" i="35"/>
  <c r="G61" i="35"/>
  <c r="F61" i="35"/>
  <c r="E61" i="35"/>
  <c r="D61" i="35"/>
  <c r="C61" i="35"/>
  <c r="B61" i="35"/>
  <c r="L61" i="35" s="1"/>
  <c r="M61" i="35" s="1"/>
  <c r="K60" i="35"/>
  <c r="J60" i="35"/>
  <c r="I60" i="35"/>
  <c r="H60" i="35"/>
  <c r="G60" i="35"/>
  <c r="F60" i="35"/>
  <c r="E60" i="35"/>
  <c r="D60" i="35"/>
  <c r="C60" i="35"/>
  <c r="B60" i="35"/>
  <c r="L60" i="35" s="1"/>
  <c r="K58" i="35"/>
  <c r="J58" i="35"/>
  <c r="I58" i="35"/>
  <c r="H58" i="35"/>
  <c r="G58" i="35"/>
  <c r="F58" i="35"/>
  <c r="E58" i="35"/>
  <c r="D58" i="35"/>
  <c r="C58" i="35"/>
  <c r="B58" i="35"/>
  <c r="L58" i="35" s="1"/>
  <c r="M58" i="35" s="1"/>
  <c r="L57" i="35"/>
  <c r="K57" i="35"/>
  <c r="J57" i="35"/>
  <c r="I57" i="35"/>
  <c r="H57" i="35"/>
  <c r="G57" i="35"/>
  <c r="F57" i="35"/>
  <c r="E57" i="35"/>
  <c r="D57" i="35"/>
  <c r="E8" i="13" s="1"/>
  <c r="C57" i="35"/>
  <c r="B57" i="35"/>
  <c r="K55" i="35"/>
  <c r="K66" i="35" s="1"/>
  <c r="J55" i="35"/>
  <c r="J66" i="35" s="1"/>
  <c r="I55" i="35"/>
  <c r="I66" i="35" s="1"/>
  <c r="H55" i="35"/>
  <c r="H66" i="35" s="1"/>
  <c r="G55" i="35"/>
  <c r="G66" i="35" s="1"/>
  <c r="F55" i="35"/>
  <c r="F45" i="35" s="1"/>
  <c r="E55" i="35"/>
  <c r="E66" i="35" s="1"/>
  <c r="D55" i="35"/>
  <c r="D66" i="35" s="1"/>
  <c r="C55" i="35"/>
  <c r="C66" i="35" s="1"/>
  <c r="B55" i="35"/>
  <c r="B66" i="35" s="1"/>
  <c r="K54" i="35"/>
  <c r="K65" i="35" s="1"/>
  <c r="J54" i="35"/>
  <c r="J65" i="35" s="1"/>
  <c r="I54" i="35"/>
  <c r="I65" i="35" s="1"/>
  <c r="H54" i="35"/>
  <c r="H65" i="35" s="1"/>
  <c r="G54" i="35"/>
  <c r="G65" i="35" s="1"/>
  <c r="F54" i="35"/>
  <c r="F44" i="35" s="1"/>
  <c r="E54" i="35"/>
  <c r="E65" i="35" s="1"/>
  <c r="D54" i="35"/>
  <c r="D65" i="35" s="1"/>
  <c r="C54" i="35"/>
  <c r="C65" i="35" s="1"/>
  <c r="B54" i="35"/>
  <c r="L54" i="35" s="1"/>
  <c r="M51" i="35"/>
  <c r="I44" i="35"/>
  <c r="B40" i="35"/>
  <c r="B36" i="35"/>
  <c r="B35" i="35"/>
  <c r="B33" i="35"/>
  <c r="B48" i="35" s="1"/>
  <c r="B32" i="35"/>
  <c r="B47" i="35" s="1"/>
  <c r="K26" i="35"/>
  <c r="K45" i="35" s="1"/>
  <c r="J26" i="35"/>
  <c r="I26" i="35"/>
  <c r="I45" i="35" s="1"/>
  <c r="H26" i="35"/>
  <c r="H45" i="35" s="1"/>
  <c r="G26" i="35"/>
  <c r="G45" i="35" s="1"/>
  <c r="F26" i="35"/>
  <c r="E26" i="35"/>
  <c r="E45" i="35" s="1"/>
  <c r="D26" i="35"/>
  <c r="D45" i="35" s="1"/>
  <c r="C26" i="35"/>
  <c r="C45" i="35" s="1"/>
  <c r="B26" i="35"/>
  <c r="L26" i="35" s="1"/>
  <c r="K25" i="35"/>
  <c r="K44" i="35" s="1"/>
  <c r="J25" i="35"/>
  <c r="I25" i="35"/>
  <c r="H25" i="35"/>
  <c r="H44" i="35" s="1"/>
  <c r="G25" i="35"/>
  <c r="G44" i="35" s="1"/>
  <c r="F25" i="35"/>
  <c r="E25" i="35"/>
  <c r="E44" i="35" s="1"/>
  <c r="D25" i="35"/>
  <c r="D44" i="35" s="1"/>
  <c r="C25" i="35"/>
  <c r="C44" i="35" s="1"/>
  <c r="B25" i="35"/>
  <c r="L25" i="35" s="1"/>
  <c r="K20" i="35"/>
  <c r="J20" i="35"/>
  <c r="I20" i="35"/>
  <c r="H20" i="35"/>
  <c r="G20" i="35"/>
  <c r="F20" i="35"/>
  <c r="E20" i="35"/>
  <c r="D20" i="35"/>
  <c r="C20" i="35"/>
  <c r="L20" i="35" s="1"/>
  <c r="B20" i="35"/>
  <c r="K19" i="35"/>
  <c r="J19" i="35"/>
  <c r="I19" i="35"/>
  <c r="H19" i="35"/>
  <c r="G19" i="35"/>
  <c r="F19" i="35"/>
  <c r="E19" i="35"/>
  <c r="D19" i="35"/>
  <c r="C19" i="35"/>
  <c r="B19" i="35"/>
  <c r="L19" i="35" s="1"/>
  <c r="M14" i="35"/>
  <c r="L14" i="35"/>
  <c r="K14" i="35"/>
  <c r="J14" i="35"/>
  <c r="I14" i="35"/>
  <c r="H14" i="35"/>
  <c r="G14" i="35"/>
  <c r="F14" i="35"/>
  <c r="E14" i="35"/>
  <c r="D14" i="35"/>
  <c r="C14" i="35"/>
  <c r="B14" i="35"/>
  <c r="M13" i="35"/>
  <c r="L13" i="35"/>
  <c r="K13" i="35"/>
  <c r="J13" i="35"/>
  <c r="I13" i="35"/>
  <c r="H13" i="35"/>
  <c r="G13" i="35"/>
  <c r="F13" i="35"/>
  <c r="E13" i="35"/>
  <c r="D13" i="35"/>
  <c r="C13" i="35"/>
  <c r="B13" i="35"/>
  <c r="N13" i="35" s="1"/>
  <c r="M12" i="35"/>
  <c r="L12" i="35"/>
  <c r="K12" i="35"/>
  <c r="J12" i="35"/>
  <c r="I12" i="35"/>
  <c r="H12" i="35"/>
  <c r="G12" i="35"/>
  <c r="F12" i="35"/>
  <c r="E12" i="35"/>
  <c r="A12" i="35" s="1"/>
  <c r="D12" i="35"/>
  <c r="C12" i="35"/>
  <c r="B12" i="35"/>
  <c r="G7" i="35"/>
  <c r="F7" i="35"/>
  <c r="E7" i="35"/>
  <c r="D7" i="35"/>
  <c r="C7" i="35"/>
  <c r="B7" i="35"/>
  <c r="F5" i="35"/>
  <c r="D5" i="35"/>
  <c r="B5" i="35"/>
  <c r="C5" i="35" s="1"/>
  <c r="F4" i="35"/>
  <c r="D4" i="35"/>
  <c r="B4" i="35"/>
  <c r="C4" i="35" s="1"/>
  <c r="C3" i="35" s="1"/>
  <c r="D3" i="35"/>
  <c r="E5" i="35" s="1"/>
  <c r="B3" i="35"/>
  <c r="J4" i="35" s="1"/>
  <c r="C1" i="35"/>
  <c r="B1" i="35"/>
  <c r="G62" i="36"/>
  <c r="K61" i="36"/>
  <c r="J61" i="36"/>
  <c r="I61" i="36"/>
  <c r="H61" i="36"/>
  <c r="G61" i="36"/>
  <c r="F61" i="36"/>
  <c r="E61" i="36"/>
  <c r="D61" i="36"/>
  <c r="C61" i="36"/>
  <c r="B61" i="36"/>
  <c r="L61" i="36" s="1"/>
  <c r="K60" i="36"/>
  <c r="J60" i="36"/>
  <c r="I60" i="36"/>
  <c r="H60" i="36"/>
  <c r="G60" i="36"/>
  <c r="F60" i="36"/>
  <c r="E60" i="36"/>
  <c r="D60" i="36"/>
  <c r="C60" i="36"/>
  <c r="B60" i="36"/>
  <c r="L60" i="36" s="1"/>
  <c r="K58" i="36"/>
  <c r="J58" i="36"/>
  <c r="I58" i="36"/>
  <c r="H58" i="36"/>
  <c r="G58" i="36"/>
  <c r="F58" i="36"/>
  <c r="E58" i="36"/>
  <c r="D58" i="36"/>
  <c r="C58" i="36"/>
  <c r="B58" i="36"/>
  <c r="L58" i="36" s="1"/>
  <c r="K57" i="36"/>
  <c r="J57" i="36"/>
  <c r="I57" i="36"/>
  <c r="H57" i="36"/>
  <c r="G57" i="36"/>
  <c r="F57" i="36"/>
  <c r="E57" i="36"/>
  <c r="F7" i="13" s="1"/>
  <c r="D57" i="36"/>
  <c r="E7" i="13" s="1"/>
  <c r="C57" i="36"/>
  <c r="B57" i="36"/>
  <c r="K55" i="36"/>
  <c r="K66" i="36" s="1"/>
  <c r="J55" i="36"/>
  <c r="J66" i="36" s="1"/>
  <c r="I55" i="36"/>
  <c r="I66" i="36" s="1"/>
  <c r="H55" i="36"/>
  <c r="H66" i="36" s="1"/>
  <c r="G55" i="36"/>
  <c r="G66" i="36" s="1"/>
  <c r="F55" i="36"/>
  <c r="F66" i="36" s="1"/>
  <c r="E55" i="36"/>
  <c r="E66" i="36" s="1"/>
  <c r="D55" i="36"/>
  <c r="D66" i="36" s="1"/>
  <c r="C55" i="36"/>
  <c r="C66" i="36" s="1"/>
  <c r="B55" i="36"/>
  <c r="B66" i="36" s="1"/>
  <c r="K54" i="36"/>
  <c r="K65" i="36" s="1"/>
  <c r="J54" i="36"/>
  <c r="J65" i="36" s="1"/>
  <c r="I54" i="36"/>
  <c r="I65" i="36" s="1"/>
  <c r="H54" i="36"/>
  <c r="H65" i="36" s="1"/>
  <c r="G54" i="36"/>
  <c r="G44" i="36" s="1"/>
  <c r="F54" i="36"/>
  <c r="F44" i="36" s="1"/>
  <c r="E54" i="36"/>
  <c r="E65" i="36" s="1"/>
  <c r="D54" i="36"/>
  <c r="D65" i="36" s="1"/>
  <c r="C54" i="36"/>
  <c r="C65" i="36" s="1"/>
  <c r="B54" i="36"/>
  <c r="L54" i="36" s="1"/>
  <c r="M51" i="36"/>
  <c r="I44" i="36"/>
  <c r="B40" i="36"/>
  <c r="B36" i="36"/>
  <c r="B35" i="36"/>
  <c r="B33" i="36"/>
  <c r="B48" i="36" s="1"/>
  <c r="B32" i="36"/>
  <c r="B47" i="36" s="1"/>
  <c r="K26" i="36"/>
  <c r="J26" i="36"/>
  <c r="I26" i="36"/>
  <c r="I45" i="36" s="1"/>
  <c r="H26" i="36"/>
  <c r="H45" i="36" s="1"/>
  <c r="G26" i="36"/>
  <c r="G45" i="36" s="1"/>
  <c r="F26" i="36"/>
  <c r="F45" i="36" s="1"/>
  <c r="E26" i="36"/>
  <c r="E45" i="36" s="1"/>
  <c r="D26" i="36"/>
  <c r="D45" i="36" s="1"/>
  <c r="C26" i="36"/>
  <c r="B26" i="36"/>
  <c r="L26" i="36" s="1"/>
  <c r="K25" i="36"/>
  <c r="K44" i="36" s="1"/>
  <c r="J25" i="36"/>
  <c r="J44" i="36" s="1"/>
  <c r="I25" i="36"/>
  <c r="H25" i="36"/>
  <c r="H44" i="36" s="1"/>
  <c r="G25" i="36"/>
  <c r="F25" i="36"/>
  <c r="E25" i="36"/>
  <c r="E44" i="36" s="1"/>
  <c r="D25" i="36"/>
  <c r="D44" i="36" s="1"/>
  <c r="C25" i="36"/>
  <c r="C44" i="36" s="1"/>
  <c r="B25" i="36"/>
  <c r="B44" i="36" s="1"/>
  <c r="K20" i="36"/>
  <c r="J20" i="36"/>
  <c r="I20" i="36"/>
  <c r="H20" i="36"/>
  <c r="G20" i="36"/>
  <c r="F20" i="36"/>
  <c r="E20" i="36"/>
  <c r="D20" i="36"/>
  <c r="C20" i="36"/>
  <c r="L20" i="36" s="1"/>
  <c r="B20" i="36"/>
  <c r="K19" i="36"/>
  <c r="J19" i="36"/>
  <c r="I19" i="36"/>
  <c r="H19" i="36"/>
  <c r="G19" i="36"/>
  <c r="F19" i="36"/>
  <c r="E19" i="36"/>
  <c r="D19" i="36"/>
  <c r="C19" i="36"/>
  <c r="B19" i="36"/>
  <c r="L19" i="36" s="1"/>
  <c r="M14" i="36"/>
  <c r="L14" i="36"/>
  <c r="K14" i="36"/>
  <c r="J14" i="36"/>
  <c r="I14" i="36"/>
  <c r="H14" i="36"/>
  <c r="G14" i="36"/>
  <c r="F14" i="36"/>
  <c r="E14" i="36"/>
  <c r="D14" i="36"/>
  <c r="C14" i="36"/>
  <c r="B14" i="36"/>
  <c r="M13" i="36"/>
  <c r="L13" i="36"/>
  <c r="K13" i="36"/>
  <c r="J13" i="36"/>
  <c r="I13" i="36"/>
  <c r="H13" i="36"/>
  <c r="G13" i="36"/>
  <c r="F13" i="36"/>
  <c r="E13" i="36"/>
  <c r="D13" i="36"/>
  <c r="C13" i="36"/>
  <c r="B13" i="36"/>
  <c r="N13" i="36" s="1"/>
  <c r="M12" i="36"/>
  <c r="L12" i="36"/>
  <c r="K12" i="36"/>
  <c r="J12" i="36"/>
  <c r="I12" i="36"/>
  <c r="H12" i="36"/>
  <c r="G12" i="36"/>
  <c r="F12" i="36"/>
  <c r="E12" i="36"/>
  <c r="N12" i="36" s="1"/>
  <c r="D12" i="36"/>
  <c r="C12" i="36"/>
  <c r="B12" i="36"/>
  <c r="G7" i="36"/>
  <c r="F7" i="36"/>
  <c r="E7" i="36"/>
  <c r="D7" i="36"/>
  <c r="C7" i="36"/>
  <c r="B7" i="36"/>
  <c r="F5" i="36"/>
  <c r="D5" i="36"/>
  <c r="E5" i="36" s="1"/>
  <c r="B5" i="36"/>
  <c r="C5" i="36" s="1"/>
  <c r="F4" i="36"/>
  <c r="D4" i="36"/>
  <c r="E4" i="36" s="1"/>
  <c r="B4" i="36"/>
  <c r="C4" i="36" s="1"/>
  <c r="C3" i="36" s="1"/>
  <c r="D3" i="36"/>
  <c r="B3" i="36"/>
  <c r="J4" i="36" s="1"/>
  <c r="C1" i="36"/>
  <c r="B1" i="36"/>
  <c r="L17" i="13"/>
  <c r="K17" i="13"/>
  <c r="J17" i="13"/>
  <c r="I17" i="13"/>
  <c r="H17" i="13"/>
  <c r="G17" i="13"/>
  <c r="F17" i="13"/>
  <c r="E17" i="13"/>
  <c r="D17" i="13"/>
  <c r="C17" i="13"/>
  <c r="L16" i="13"/>
  <c r="K16" i="13"/>
  <c r="J16" i="13"/>
  <c r="I16" i="13"/>
  <c r="H16" i="13"/>
  <c r="G16" i="13"/>
  <c r="F16" i="13"/>
  <c r="E16" i="13"/>
  <c r="D16" i="13"/>
  <c r="C16" i="13"/>
  <c r="L15" i="13"/>
  <c r="K15" i="13"/>
  <c r="J15" i="13"/>
  <c r="I15" i="13"/>
  <c r="H15" i="13"/>
  <c r="G15" i="13"/>
  <c r="F15" i="13"/>
  <c r="E15" i="13"/>
  <c r="D15" i="13"/>
  <c r="C15" i="13"/>
  <c r="J11" i="38"/>
  <c r="L11" i="38" s="1"/>
  <c r="L14" i="13"/>
  <c r="K14" i="13"/>
  <c r="J14" i="13"/>
  <c r="I14" i="13"/>
  <c r="H14" i="13"/>
  <c r="G14" i="13"/>
  <c r="F14" i="13"/>
  <c r="E14" i="13"/>
  <c r="D14" i="13"/>
  <c r="C14" i="13"/>
  <c r="D10" i="13"/>
  <c r="F10" i="13"/>
  <c r="H10" i="13"/>
  <c r="J10" i="13"/>
  <c r="K10" i="13"/>
  <c r="L10" i="13"/>
  <c r="C10" i="13"/>
  <c r="I9" i="13"/>
  <c r="J9" i="13"/>
  <c r="K9" i="13"/>
  <c r="C9" i="13"/>
  <c r="D8" i="13"/>
  <c r="F8" i="13"/>
  <c r="F23" i="13" s="1"/>
  <c r="H8" i="13"/>
  <c r="I8" i="13"/>
  <c r="J8" i="13"/>
  <c r="K8" i="13"/>
  <c r="L8" i="13"/>
  <c r="C8" i="13"/>
  <c r="M54" i="33" l="1"/>
  <c r="L53" i="33"/>
  <c r="M53" i="33" s="1"/>
  <c r="L59" i="33"/>
  <c r="M59" i="33" s="1"/>
  <c r="M60" i="33"/>
  <c r="L4" i="33"/>
  <c r="M55" i="33"/>
  <c r="M61" i="33"/>
  <c r="K30" i="33"/>
  <c r="B44" i="33"/>
  <c r="G65" i="33"/>
  <c r="C66" i="33"/>
  <c r="K66" i="33"/>
  <c r="C5" i="33"/>
  <c r="J22" i="33"/>
  <c r="I10" i="13"/>
  <c r="N14" i="33"/>
  <c r="C22" i="33" s="1"/>
  <c r="G38" i="33"/>
  <c r="B45" i="33"/>
  <c r="J45" i="33"/>
  <c r="L57" i="33"/>
  <c r="L3" i="33" s="1"/>
  <c r="M3" i="33" s="1"/>
  <c r="B66" i="33"/>
  <c r="B22" i="33"/>
  <c r="D22" i="33"/>
  <c r="E44" i="33"/>
  <c r="B65" i="33"/>
  <c r="E23" i="33"/>
  <c r="F65" i="33"/>
  <c r="C4" i="33"/>
  <c r="H65" i="33"/>
  <c r="G10" i="13"/>
  <c r="B23" i="33"/>
  <c r="J3" i="33"/>
  <c r="F22" i="33"/>
  <c r="C23" i="33"/>
  <c r="K23" i="33"/>
  <c r="G22" i="33"/>
  <c r="D23" i="33"/>
  <c r="C29" i="33"/>
  <c r="L53" i="34"/>
  <c r="M53" i="34" s="1"/>
  <c r="L59" i="34"/>
  <c r="M59" i="34" s="1"/>
  <c r="M60" i="34"/>
  <c r="B30" i="34"/>
  <c r="B66" i="34"/>
  <c r="N12" i="34"/>
  <c r="B44" i="34"/>
  <c r="H9" i="13"/>
  <c r="J22" i="34"/>
  <c r="L55" i="34"/>
  <c r="H65" i="34"/>
  <c r="D66" i="34"/>
  <c r="H22" i="34"/>
  <c r="N14" i="34"/>
  <c r="E29" i="34" s="1"/>
  <c r="G29" i="34"/>
  <c r="J45" i="34"/>
  <c r="E66" i="34"/>
  <c r="K66" i="34"/>
  <c r="D22" i="34"/>
  <c r="H38" i="34"/>
  <c r="C45" i="34"/>
  <c r="B65" i="34"/>
  <c r="L57" i="34"/>
  <c r="M58" i="34" s="1"/>
  <c r="F65" i="34"/>
  <c r="J23" i="34"/>
  <c r="G30" i="34"/>
  <c r="I22" i="34"/>
  <c r="J3" i="34"/>
  <c r="C23" i="34"/>
  <c r="K23" i="34"/>
  <c r="J29" i="34"/>
  <c r="H30" i="34"/>
  <c r="B38" i="34"/>
  <c r="D23" i="34"/>
  <c r="C29" i="34"/>
  <c r="I30" i="34"/>
  <c r="C38" i="34"/>
  <c r="F9" i="13"/>
  <c r="G9" i="13"/>
  <c r="L3" i="35"/>
  <c r="L59" i="35"/>
  <c r="M59" i="35" s="1"/>
  <c r="M60" i="35"/>
  <c r="L56" i="35"/>
  <c r="M56" i="35" s="1"/>
  <c r="J30" i="35"/>
  <c r="N12" i="35"/>
  <c r="E38" i="35"/>
  <c r="B44" i="35"/>
  <c r="J44" i="35"/>
  <c r="M57" i="35"/>
  <c r="G23" i="35"/>
  <c r="F29" i="35"/>
  <c r="D30" i="35"/>
  <c r="L55" i="35"/>
  <c r="L53" i="35" s="1"/>
  <c r="M53" i="35" s="1"/>
  <c r="M52" i="35" s="1"/>
  <c r="N14" i="35"/>
  <c r="D38" i="35" s="1"/>
  <c r="K22" i="35"/>
  <c r="H23" i="35"/>
  <c r="G29" i="35"/>
  <c r="G38" i="35"/>
  <c r="B45" i="35"/>
  <c r="J45" i="35"/>
  <c r="B30" i="35"/>
  <c r="E4" i="35"/>
  <c r="E3" i="35" s="1"/>
  <c r="D22" i="35"/>
  <c r="H29" i="35"/>
  <c r="F30" i="35"/>
  <c r="H38" i="35"/>
  <c r="B65" i="35"/>
  <c r="F66" i="35"/>
  <c r="L66" i="35" s="1"/>
  <c r="G8" i="13"/>
  <c r="E22" i="35"/>
  <c r="B23" i="35"/>
  <c r="J23" i="35"/>
  <c r="I29" i="35"/>
  <c r="G30" i="35"/>
  <c r="I38" i="35"/>
  <c r="J3" i="35"/>
  <c r="F22" i="35"/>
  <c r="C23" i="35"/>
  <c r="K23" i="35"/>
  <c r="B29" i="35"/>
  <c r="J29" i="35"/>
  <c r="H30" i="35"/>
  <c r="B38" i="35"/>
  <c r="J38" i="35"/>
  <c r="G22" i="35"/>
  <c r="D23" i="35"/>
  <c r="C29" i="35"/>
  <c r="K29" i="35"/>
  <c r="I30" i="35"/>
  <c r="C38" i="35"/>
  <c r="L59" i="36"/>
  <c r="M59" i="36" s="1"/>
  <c r="M60" i="36"/>
  <c r="E3" i="36"/>
  <c r="L66" i="36"/>
  <c r="M61" i="36"/>
  <c r="B22" i="36"/>
  <c r="J22" i="36"/>
  <c r="G23" i="36"/>
  <c r="L25" i="36"/>
  <c r="F29" i="36"/>
  <c r="D30" i="36"/>
  <c r="F38" i="36"/>
  <c r="L55" i="36"/>
  <c r="M54" i="36" s="1"/>
  <c r="F23" i="36"/>
  <c r="K30" i="36"/>
  <c r="G65" i="36"/>
  <c r="N14" i="36"/>
  <c r="E29" i="36" s="1"/>
  <c r="C22" i="36"/>
  <c r="K22" i="36"/>
  <c r="H23" i="36"/>
  <c r="G29" i="36"/>
  <c r="E30" i="36"/>
  <c r="G38" i="36"/>
  <c r="B45" i="36"/>
  <c r="J45" i="36"/>
  <c r="H22" i="36"/>
  <c r="E23" i="36"/>
  <c r="D29" i="36"/>
  <c r="F65" i="36"/>
  <c r="E38" i="36"/>
  <c r="A12" i="36"/>
  <c r="D22" i="36"/>
  <c r="I23" i="36"/>
  <c r="H29" i="36"/>
  <c r="F30" i="36"/>
  <c r="H38" i="36"/>
  <c r="C45" i="36"/>
  <c r="K45" i="36"/>
  <c r="B65" i="36"/>
  <c r="B30" i="36"/>
  <c r="I22" i="36"/>
  <c r="C30" i="36"/>
  <c r="E22" i="36"/>
  <c r="B23" i="36"/>
  <c r="J23" i="36"/>
  <c r="I29" i="36"/>
  <c r="G30" i="36"/>
  <c r="I38" i="36"/>
  <c r="J30" i="36"/>
  <c r="L57" i="36"/>
  <c r="M58" i="36" s="1"/>
  <c r="J3" i="36"/>
  <c r="F22" i="36"/>
  <c r="C23" i="36"/>
  <c r="K23" i="36"/>
  <c r="B29" i="36"/>
  <c r="J29" i="36"/>
  <c r="H30" i="36"/>
  <c r="B38" i="36"/>
  <c r="J38" i="36"/>
  <c r="D38" i="36"/>
  <c r="G22" i="36"/>
  <c r="D23" i="36"/>
  <c r="C29" i="36"/>
  <c r="K29" i="36"/>
  <c r="I30" i="36"/>
  <c r="C38" i="36"/>
  <c r="C7" i="13"/>
  <c r="G7" i="13"/>
  <c r="D7" i="13"/>
  <c r="K7" i="13"/>
  <c r="H7" i="13"/>
  <c r="L7" i="13"/>
  <c r="J7" i="13"/>
  <c r="J22" i="13" s="1"/>
  <c r="I7" i="13"/>
  <c r="G248" i="40"/>
  <c r="F248" i="40"/>
  <c r="G247" i="40"/>
  <c r="F247" i="40"/>
  <c r="G246" i="40"/>
  <c r="F246" i="40"/>
  <c r="D246" i="40"/>
  <c r="G245" i="40"/>
  <c r="F245" i="40"/>
  <c r="G244" i="40"/>
  <c r="F244" i="40"/>
  <c r="G243" i="40"/>
  <c r="F243" i="40"/>
  <c r="G242" i="40"/>
  <c r="F242" i="40"/>
  <c r="G241" i="40"/>
  <c r="F241" i="40"/>
  <c r="G240" i="40"/>
  <c r="F240" i="40"/>
  <c r="G239" i="40"/>
  <c r="F239" i="40"/>
  <c r="G238" i="40"/>
  <c r="F238" i="40"/>
  <c r="G237" i="40"/>
  <c r="F237" i="40"/>
  <c r="G236" i="40"/>
  <c r="F236" i="40"/>
  <c r="G235" i="40"/>
  <c r="F235" i="40"/>
  <c r="G234" i="40"/>
  <c r="F234" i="40"/>
  <c r="D234" i="40"/>
  <c r="G233" i="40"/>
  <c r="F233" i="40"/>
  <c r="G232" i="40"/>
  <c r="F232" i="40"/>
  <c r="G231" i="40"/>
  <c r="F231" i="40"/>
  <c r="D231" i="40"/>
  <c r="F230" i="40"/>
  <c r="G229" i="40"/>
  <c r="F229" i="40"/>
  <c r="G228" i="40"/>
  <c r="F228" i="40"/>
  <c r="G227" i="40"/>
  <c r="F227" i="40"/>
  <c r="G226" i="40"/>
  <c r="F226" i="40"/>
  <c r="G225" i="40"/>
  <c r="F225" i="40"/>
  <c r="G224" i="40"/>
  <c r="F224" i="40"/>
  <c r="D224" i="40"/>
  <c r="G223" i="40"/>
  <c r="F223" i="40"/>
  <c r="G222" i="40"/>
  <c r="F222" i="40"/>
  <c r="G221" i="40"/>
  <c r="F221" i="40"/>
  <c r="G220" i="40"/>
  <c r="F220" i="40"/>
  <c r="G219" i="40"/>
  <c r="F219" i="40"/>
  <c r="G218" i="40"/>
  <c r="F218" i="40"/>
  <c r="G217" i="40"/>
  <c r="F217" i="40"/>
  <c r="G216" i="40"/>
  <c r="F216" i="40"/>
  <c r="G215" i="40"/>
  <c r="F215" i="40"/>
  <c r="G214" i="40"/>
  <c r="F214" i="40"/>
  <c r="G213" i="40"/>
  <c r="F213" i="40"/>
  <c r="G212" i="40"/>
  <c r="F212" i="40"/>
  <c r="G211" i="40"/>
  <c r="F211" i="40"/>
  <c r="G210" i="40"/>
  <c r="F210" i="40"/>
  <c r="G209" i="40"/>
  <c r="F209" i="40"/>
  <c r="G208" i="40"/>
  <c r="F208" i="40"/>
  <c r="G207" i="40"/>
  <c r="F207" i="40"/>
  <c r="G206" i="40"/>
  <c r="F206" i="40"/>
  <c r="G205" i="40"/>
  <c r="F205" i="40"/>
  <c r="G204" i="40"/>
  <c r="F204" i="40"/>
  <c r="G203" i="40"/>
  <c r="F203" i="40"/>
  <c r="D203" i="40"/>
  <c r="G202" i="40"/>
  <c r="F202" i="40"/>
  <c r="G201" i="40"/>
  <c r="F201" i="40"/>
  <c r="G200" i="40"/>
  <c r="F200" i="40"/>
  <c r="G199" i="40"/>
  <c r="F199" i="40"/>
  <c r="G198" i="40"/>
  <c r="F198" i="40"/>
  <c r="G197" i="40"/>
  <c r="F197" i="40"/>
  <c r="G196" i="40"/>
  <c r="F196" i="40"/>
  <c r="G195" i="40"/>
  <c r="F195" i="40"/>
  <c r="G194" i="40"/>
  <c r="F194" i="40"/>
  <c r="G193" i="40"/>
  <c r="F193" i="40"/>
  <c r="G192" i="40"/>
  <c r="F192" i="40"/>
  <c r="G191" i="40"/>
  <c r="F191" i="40"/>
  <c r="G190" i="40"/>
  <c r="F190" i="40"/>
  <c r="G189" i="40"/>
  <c r="F189" i="40"/>
  <c r="G188" i="40"/>
  <c r="F188" i="40"/>
  <c r="G187" i="40"/>
  <c r="F187" i="40"/>
  <c r="G186" i="40"/>
  <c r="F186" i="40"/>
  <c r="G185" i="40"/>
  <c r="F185" i="40"/>
  <c r="G184" i="40"/>
  <c r="F184" i="40"/>
  <c r="G183" i="40"/>
  <c r="F183" i="40"/>
  <c r="G182" i="40"/>
  <c r="F182" i="40"/>
  <c r="G181" i="40"/>
  <c r="F181" i="40"/>
  <c r="G180" i="40"/>
  <c r="F180" i="40"/>
  <c r="G179" i="40"/>
  <c r="F179" i="40"/>
  <c r="G178" i="40"/>
  <c r="F178" i="40"/>
  <c r="G177" i="40"/>
  <c r="F177" i="40"/>
  <c r="G176" i="40"/>
  <c r="F176" i="40"/>
  <c r="G175" i="40"/>
  <c r="F175" i="40"/>
  <c r="G174" i="40"/>
  <c r="F174" i="40"/>
  <c r="G173" i="40"/>
  <c r="F173" i="40"/>
  <c r="G172" i="40"/>
  <c r="F172" i="40"/>
  <c r="G171" i="40"/>
  <c r="F171" i="40"/>
  <c r="G170" i="40"/>
  <c r="F170" i="40"/>
  <c r="G169" i="40"/>
  <c r="F169" i="40"/>
  <c r="G168" i="40"/>
  <c r="F168" i="40"/>
  <c r="G167" i="40"/>
  <c r="F167" i="40"/>
  <c r="G166" i="40"/>
  <c r="F166" i="40"/>
  <c r="G165" i="40"/>
  <c r="F165" i="40"/>
  <c r="G164" i="40"/>
  <c r="F164" i="40"/>
  <c r="G163" i="40"/>
  <c r="F163" i="40"/>
  <c r="G162" i="40"/>
  <c r="F162" i="40"/>
  <c r="G161" i="40"/>
  <c r="F161" i="40"/>
  <c r="G160" i="40"/>
  <c r="F160" i="40"/>
  <c r="G159" i="40"/>
  <c r="F159" i="40"/>
  <c r="G158" i="40"/>
  <c r="F158" i="40"/>
  <c r="G157" i="40"/>
  <c r="F157" i="40"/>
  <c r="G156" i="40"/>
  <c r="F156" i="40"/>
  <c r="G155" i="40"/>
  <c r="F155" i="40"/>
  <c r="G154" i="40"/>
  <c r="F154" i="40"/>
  <c r="G153" i="40"/>
  <c r="F153" i="40"/>
  <c r="G152" i="40"/>
  <c r="F152" i="40"/>
  <c r="G151" i="40"/>
  <c r="F151" i="40"/>
  <c r="G150" i="40"/>
  <c r="F150" i="40"/>
  <c r="G149" i="40"/>
  <c r="F149" i="40"/>
  <c r="G148" i="40"/>
  <c r="F148" i="40"/>
  <c r="G147" i="40"/>
  <c r="F147" i="40"/>
  <c r="G146" i="40"/>
  <c r="F146" i="40"/>
  <c r="G145" i="40"/>
  <c r="F145" i="40"/>
  <c r="G144" i="40"/>
  <c r="F144" i="40"/>
  <c r="G143" i="40"/>
  <c r="F143" i="40"/>
  <c r="G142" i="40"/>
  <c r="F142" i="40"/>
  <c r="D142" i="40"/>
  <c r="G141" i="40"/>
  <c r="F141" i="40"/>
  <c r="G140" i="40"/>
  <c r="F140" i="40"/>
  <c r="G139" i="40"/>
  <c r="F139" i="40"/>
  <c r="G138" i="40"/>
  <c r="F138" i="40"/>
  <c r="G137" i="40"/>
  <c r="F137" i="40"/>
  <c r="G136" i="40"/>
  <c r="F136" i="40"/>
  <c r="G135" i="40"/>
  <c r="F135" i="40"/>
  <c r="G134" i="40"/>
  <c r="F134" i="40"/>
  <c r="G133" i="40"/>
  <c r="F133" i="40"/>
  <c r="G132" i="40"/>
  <c r="F132" i="40"/>
  <c r="G131" i="40"/>
  <c r="F131" i="40"/>
  <c r="G130" i="40"/>
  <c r="F130" i="40"/>
  <c r="G129" i="40"/>
  <c r="F129" i="40"/>
  <c r="G128" i="40"/>
  <c r="F128" i="40"/>
  <c r="G127" i="40"/>
  <c r="F127" i="40"/>
  <c r="G126" i="40"/>
  <c r="F126" i="40"/>
  <c r="G125" i="40"/>
  <c r="F125" i="40"/>
  <c r="G124" i="40"/>
  <c r="F124" i="40"/>
  <c r="G123" i="40"/>
  <c r="K11" i="40" s="1"/>
  <c r="F123" i="40"/>
  <c r="G122" i="40"/>
  <c r="F122" i="40"/>
  <c r="G121" i="40"/>
  <c r="F121" i="40"/>
  <c r="G120" i="40"/>
  <c r="F120" i="40"/>
  <c r="G119" i="40"/>
  <c r="F119" i="40"/>
  <c r="G118" i="40"/>
  <c r="F118" i="40"/>
  <c r="G117" i="40"/>
  <c r="F117" i="40"/>
  <c r="G116" i="40"/>
  <c r="F116" i="40"/>
  <c r="G115" i="40"/>
  <c r="F115" i="40"/>
  <c r="G114" i="40"/>
  <c r="F114" i="40"/>
  <c r="G113" i="40"/>
  <c r="F113" i="40"/>
  <c r="G112" i="40"/>
  <c r="F112" i="40"/>
  <c r="G111" i="40"/>
  <c r="F111" i="40"/>
  <c r="G110" i="40"/>
  <c r="F110" i="40"/>
  <c r="G109" i="40"/>
  <c r="F109" i="40"/>
  <c r="G108" i="40"/>
  <c r="F108" i="40"/>
  <c r="G107" i="40"/>
  <c r="F107" i="40"/>
  <c r="G106" i="40"/>
  <c r="F106" i="40"/>
  <c r="G105" i="40"/>
  <c r="F105" i="40"/>
  <c r="G104" i="40"/>
  <c r="F104" i="40"/>
  <c r="G103" i="40"/>
  <c r="F103" i="40"/>
  <c r="G102" i="40"/>
  <c r="F102" i="40"/>
  <c r="G101" i="40"/>
  <c r="F101" i="40"/>
  <c r="G100" i="40"/>
  <c r="F100" i="40"/>
  <c r="G99" i="40"/>
  <c r="F99" i="40"/>
  <c r="G98" i="40"/>
  <c r="F98" i="40"/>
  <c r="G97" i="40"/>
  <c r="F97" i="40"/>
  <c r="G96" i="40"/>
  <c r="F96" i="40"/>
  <c r="G95" i="40"/>
  <c r="F95" i="40"/>
  <c r="D95" i="40"/>
  <c r="G94" i="40"/>
  <c r="F94" i="40"/>
  <c r="G93" i="40"/>
  <c r="F93" i="40"/>
  <c r="G92" i="40"/>
  <c r="F92" i="40"/>
  <c r="G91" i="40"/>
  <c r="F91" i="40"/>
  <c r="G90" i="40"/>
  <c r="F90" i="40"/>
  <c r="G89" i="40"/>
  <c r="F89" i="40"/>
  <c r="G88" i="40"/>
  <c r="F88" i="40"/>
  <c r="G87" i="40"/>
  <c r="F87" i="40"/>
  <c r="G86" i="40"/>
  <c r="F86" i="40"/>
  <c r="M85" i="40"/>
  <c r="L85" i="40"/>
  <c r="G85" i="40"/>
  <c r="F85" i="40"/>
  <c r="M84" i="40"/>
  <c r="L84" i="40"/>
  <c r="G84" i="40"/>
  <c r="F84" i="40"/>
  <c r="D84" i="40"/>
  <c r="G83" i="40"/>
  <c r="F83" i="40"/>
  <c r="K82" i="40"/>
  <c r="G82" i="40"/>
  <c r="F82" i="40"/>
  <c r="G81" i="40"/>
  <c r="F81" i="40"/>
  <c r="M80" i="40"/>
  <c r="L80" i="40"/>
  <c r="G80" i="40"/>
  <c r="F80" i="40"/>
  <c r="M79" i="40"/>
  <c r="L79" i="40"/>
  <c r="G79" i="40"/>
  <c r="F79" i="40"/>
  <c r="G78" i="40"/>
  <c r="F78" i="40"/>
  <c r="M77" i="40"/>
  <c r="L77" i="40"/>
  <c r="G77" i="40"/>
  <c r="F77" i="40"/>
  <c r="G76" i="40"/>
  <c r="F76" i="40"/>
  <c r="K75" i="40"/>
  <c r="G75" i="40"/>
  <c r="F75" i="40"/>
  <c r="G74" i="40"/>
  <c r="F74" i="40"/>
  <c r="M73" i="40"/>
  <c r="L73" i="40"/>
  <c r="G73" i="40"/>
  <c r="F73" i="40"/>
  <c r="G72" i="40"/>
  <c r="F72" i="40"/>
  <c r="K71" i="40"/>
  <c r="G71" i="40"/>
  <c r="F71" i="40"/>
  <c r="G70" i="40"/>
  <c r="F70" i="40"/>
  <c r="M69" i="40"/>
  <c r="L69" i="40"/>
  <c r="G69" i="40"/>
  <c r="F69" i="40"/>
  <c r="M68" i="40"/>
  <c r="L68" i="40"/>
  <c r="G68" i="40"/>
  <c r="F68" i="40"/>
  <c r="M67" i="40"/>
  <c r="L67" i="40"/>
  <c r="G67" i="40"/>
  <c r="F67" i="40"/>
  <c r="M66" i="40"/>
  <c r="L66" i="40"/>
  <c r="G66" i="40"/>
  <c r="F66" i="40"/>
  <c r="G65" i="40"/>
  <c r="F65" i="40"/>
  <c r="M64" i="40"/>
  <c r="L64" i="40"/>
  <c r="G64" i="40"/>
  <c r="F64" i="40"/>
  <c r="M63" i="40"/>
  <c r="L63" i="40"/>
  <c r="G63" i="40"/>
  <c r="F63" i="40"/>
  <c r="D63" i="40"/>
  <c r="M62" i="40"/>
  <c r="L62" i="40"/>
  <c r="G62" i="40"/>
  <c r="F62" i="40"/>
  <c r="G61" i="40"/>
  <c r="F61" i="40"/>
  <c r="G60" i="40"/>
  <c r="F60" i="40"/>
  <c r="M59" i="40"/>
  <c r="L59" i="40"/>
  <c r="G59" i="40"/>
  <c r="F59" i="40"/>
  <c r="M58" i="40"/>
  <c r="L58" i="40"/>
  <c r="G58" i="40"/>
  <c r="F58" i="40"/>
  <c r="M57" i="40"/>
  <c r="L57" i="40"/>
  <c r="G57" i="40"/>
  <c r="F57" i="40"/>
  <c r="M56" i="40"/>
  <c r="L56" i="40"/>
  <c r="G56" i="40"/>
  <c r="F56" i="40"/>
  <c r="M55" i="40"/>
  <c r="K12" i="40" s="1"/>
  <c r="L55" i="40"/>
  <c r="G55" i="40"/>
  <c r="F55" i="40"/>
  <c r="G54" i="40"/>
  <c r="F54" i="40"/>
  <c r="M53" i="40"/>
  <c r="L53" i="40"/>
  <c r="G53" i="40"/>
  <c r="F53" i="40"/>
  <c r="G52" i="40"/>
  <c r="F52" i="40"/>
  <c r="K51" i="40"/>
  <c r="G51" i="40"/>
  <c r="F51" i="40"/>
  <c r="G50" i="40"/>
  <c r="F50" i="40"/>
  <c r="M49" i="40"/>
  <c r="L49" i="40"/>
  <c r="G49" i="40"/>
  <c r="F49" i="40"/>
  <c r="M48" i="40"/>
  <c r="L48" i="40"/>
  <c r="G48" i="40"/>
  <c r="F48" i="40"/>
  <c r="G47" i="40"/>
  <c r="F47" i="40"/>
  <c r="M46" i="40"/>
  <c r="L46" i="40"/>
  <c r="G46" i="40"/>
  <c r="F46" i="40"/>
  <c r="G45" i="40"/>
  <c r="F45" i="40"/>
  <c r="K44" i="40"/>
  <c r="G44" i="40"/>
  <c r="F44" i="40"/>
  <c r="G43" i="40"/>
  <c r="F43" i="40"/>
  <c r="M42" i="40"/>
  <c r="L42" i="40"/>
  <c r="G42" i="40"/>
  <c r="F42" i="40"/>
  <c r="G41" i="40"/>
  <c r="F41" i="40"/>
  <c r="M40" i="40"/>
  <c r="L40" i="40"/>
  <c r="G40" i="40"/>
  <c r="F40" i="40"/>
  <c r="G39" i="40"/>
  <c r="F39" i="40"/>
  <c r="M38" i="40"/>
  <c r="L38" i="40"/>
  <c r="G38" i="40"/>
  <c r="F38" i="40"/>
  <c r="G37" i="40"/>
  <c r="F37" i="40"/>
  <c r="M36" i="40"/>
  <c r="L36" i="40"/>
  <c r="G36" i="40"/>
  <c r="F36" i="40"/>
  <c r="M35" i="40"/>
  <c r="L35" i="40"/>
  <c r="G35" i="40"/>
  <c r="F35" i="40"/>
  <c r="G34" i="40"/>
  <c r="F34" i="40"/>
  <c r="K33" i="40"/>
  <c r="G33" i="40"/>
  <c r="F33" i="40"/>
  <c r="G32" i="40"/>
  <c r="F32" i="40"/>
  <c r="M31" i="40"/>
  <c r="L31" i="40"/>
  <c r="G31" i="40"/>
  <c r="F31" i="40"/>
  <c r="M30" i="40"/>
  <c r="L30" i="40"/>
  <c r="G30" i="40"/>
  <c r="F30" i="40"/>
  <c r="G29" i="40"/>
  <c r="F29" i="40"/>
  <c r="K28" i="40"/>
  <c r="G28" i="40"/>
  <c r="F28" i="40"/>
  <c r="G27" i="40"/>
  <c r="F27" i="40"/>
  <c r="M26" i="40"/>
  <c r="J12" i="40" s="1"/>
  <c r="L26" i="40"/>
  <c r="G26" i="40"/>
  <c r="F26" i="40"/>
  <c r="G25" i="40"/>
  <c r="F25" i="40"/>
  <c r="K24" i="40"/>
  <c r="G24" i="40"/>
  <c r="F24" i="40"/>
  <c r="G23" i="40"/>
  <c r="I11" i="40" s="1"/>
  <c r="F23" i="40"/>
  <c r="G22" i="40"/>
  <c r="F22" i="40"/>
  <c r="G21" i="40"/>
  <c r="F11" i="40" s="1"/>
  <c r="F21" i="40"/>
  <c r="M20" i="40"/>
  <c r="L20" i="40"/>
  <c r="G20" i="40"/>
  <c r="F20" i="40"/>
  <c r="M19" i="40"/>
  <c r="L19" i="40"/>
  <c r="G19" i="40"/>
  <c r="J11" i="40" s="1"/>
  <c r="F19" i="40"/>
  <c r="G18" i="40"/>
  <c r="F18" i="40"/>
  <c r="K17" i="40"/>
  <c r="L16" i="40" s="1"/>
  <c r="D17" i="40"/>
  <c r="M11" i="40" s="1"/>
  <c r="M7" i="40"/>
  <c r="D7" i="40"/>
  <c r="F7" i="40" s="1"/>
  <c r="M6" i="40"/>
  <c r="D5" i="40"/>
  <c r="C5" i="40"/>
  <c r="B5" i="40"/>
  <c r="N4" i="40"/>
  <c r="D4" i="40"/>
  <c r="F4" i="40" s="1"/>
  <c r="B4" i="40"/>
  <c r="N3" i="40"/>
  <c r="C3" i="40"/>
  <c r="N3" i="39"/>
  <c r="B4" i="39"/>
  <c r="D4" i="39"/>
  <c r="D3" i="39" s="1"/>
  <c r="N4" i="39"/>
  <c r="C5" i="39"/>
  <c r="C3" i="39" s="1"/>
  <c r="D5" i="39"/>
  <c r="M6" i="39"/>
  <c r="D7" i="39"/>
  <c r="F7" i="39" s="1"/>
  <c r="M7" i="39"/>
  <c r="C12" i="39"/>
  <c r="D17" i="39"/>
  <c r="M11" i="39" s="1"/>
  <c r="K17" i="39"/>
  <c r="M12" i="39" s="1"/>
  <c r="F18" i="39"/>
  <c r="G18" i="39"/>
  <c r="B11" i="39" s="1"/>
  <c r="F19" i="39"/>
  <c r="G19" i="39"/>
  <c r="L19" i="39"/>
  <c r="M19" i="39"/>
  <c r="D12" i="39" s="1"/>
  <c r="F20" i="39"/>
  <c r="G20" i="39"/>
  <c r="L20" i="39"/>
  <c r="M20" i="39"/>
  <c r="F21" i="39"/>
  <c r="G21" i="39"/>
  <c r="F22" i="39"/>
  <c r="G22" i="39"/>
  <c r="F23" i="39"/>
  <c r="G23" i="39"/>
  <c r="F24" i="39"/>
  <c r="G24" i="39"/>
  <c r="K24" i="39"/>
  <c r="L16" i="39" s="1"/>
  <c r="F25" i="39"/>
  <c r="G25" i="39"/>
  <c r="F26" i="39"/>
  <c r="G26" i="39"/>
  <c r="L26" i="39"/>
  <c r="M26" i="39"/>
  <c r="G12" i="39" s="1"/>
  <c r="F27" i="39"/>
  <c r="G27" i="39"/>
  <c r="F28" i="39"/>
  <c r="G28" i="39"/>
  <c r="K28" i="39"/>
  <c r="F29" i="39"/>
  <c r="G29" i="39"/>
  <c r="F30" i="39"/>
  <c r="G30" i="39"/>
  <c r="L30" i="39"/>
  <c r="M30" i="39"/>
  <c r="F31" i="39"/>
  <c r="G31" i="39"/>
  <c r="L31" i="39"/>
  <c r="M31" i="39"/>
  <c r="F32" i="39"/>
  <c r="G32" i="39"/>
  <c r="F33" i="39"/>
  <c r="G33" i="39"/>
  <c r="K33" i="39"/>
  <c r="F34" i="39"/>
  <c r="G34" i="39"/>
  <c r="F35" i="39"/>
  <c r="G35" i="39"/>
  <c r="L35" i="39"/>
  <c r="M35" i="39"/>
  <c r="B12" i="39" s="1"/>
  <c r="F36" i="39"/>
  <c r="G36" i="39"/>
  <c r="L36" i="39"/>
  <c r="M36" i="39"/>
  <c r="F37" i="39"/>
  <c r="G37" i="39"/>
  <c r="F38" i="39"/>
  <c r="G38" i="39"/>
  <c r="L38" i="39"/>
  <c r="M38" i="39"/>
  <c r="F39" i="39"/>
  <c r="G39" i="39"/>
  <c r="F40" i="39"/>
  <c r="G40" i="39"/>
  <c r="L40" i="39"/>
  <c r="M40" i="39"/>
  <c r="F41" i="39"/>
  <c r="G41" i="39"/>
  <c r="F42" i="39"/>
  <c r="G42" i="39"/>
  <c r="L42" i="39"/>
  <c r="M42" i="39"/>
  <c r="F43" i="39"/>
  <c r="G43" i="39"/>
  <c r="F44" i="39"/>
  <c r="G44" i="39"/>
  <c r="K44" i="39"/>
  <c r="F45" i="39"/>
  <c r="G45" i="39"/>
  <c r="F46" i="39"/>
  <c r="G46" i="39"/>
  <c r="L46" i="39"/>
  <c r="M46" i="39"/>
  <c r="F47" i="39"/>
  <c r="G47" i="39"/>
  <c r="F48" i="39"/>
  <c r="G48" i="39"/>
  <c r="L48" i="39"/>
  <c r="M48" i="39"/>
  <c r="F49" i="39"/>
  <c r="G49" i="39"/>
  <c r="L49" i="39"/>
  <c r="M49" i="39"/>
  <c r="F50" i="39"/>
  <c r="G50" i="39"/>
  <c r="F51" i="39"/>
  <c r="G51" i="39"/>
  <c r="K51" i="39"/>
  <c r="F52" i="39"/>
  <c r="G52" i="39"/>
  <c r="F53" i="39"/>
  <c r="G53" i="39"/>
  <c r="L53" i="39"/>
  <c r="M53" i="39"/>
  <c r="F54" i="39"/>
  <c r="G54" i="39"/>
  <c r="F55" i="39"/>
  <c r="G55" i="39"/>
  <c r="L55" i="39"/>
  <c r="M55" i="39"/>
  <c r="F56" i="39"/>
  <c r="G56" i="39"/>
  <c r="L56" i="39"/>
  <c r="M56" i="39"/>
  <c r="F57" i="39"/>
  <c r="G57" i="39"/>
  <c r="L57" i="39"/>
  <c r="M57" i="39"/>
  <c r="F58" i="39"/>
  <c r="G58" i="39"/>
  <c r="L58" i="39"/>
  <c r="M58" i="39"/>
  <c r="F59" i="39"/>
  <c r="G59" i="39"/>
  <c r="L59" i="39"/>
  <c r="M59" i="39"/>
  <c r="F60" i="39"/>
  <c r="G60" i="39"/>
  <c r="F61" i="39"/>
  <c r="G61" i="39"/>
  <c r="F62" i="39"/>
  <c r="G62" i="39"/>
  <c r="L62" i="39"/>
  <c r="M62" i="39"/>
  <c r="D63" i="39"/>
  <c r="F63" i="39"/>
  <c r="G63" i="39"/>
  <c r="L63" i="39"/>
  <c r="M63" i="39"/>
  <c r="F64" i="39"/>
  <c r="G64" i="39"/>
  <c r="L64" i="39"/>
  <c r="M64" i="39"/>
  <c r="F65" i="39"/>
  <c r="G65" i="39"/>
  <c r="F66" i="39"/>
  <c r="G66" i="39"/>
  <c r="L66" i="39"/>
  <c r="M66" i="39"/>
  <c r="F67" i="39"/>
  <c r="G67" i="39"/>
  <c r="L67" i="39"/>
  <c r="M67" i="39"/>
  <c r="F68" i="39"/>
  <c r="G68" i="39"/>
  <c r="L68" i="39"/>
  <c r="M68" i="39"/>
  <c r="F69" i="39"/>
  <c r="G69" i="39"/>
  <c r="L69" i="39"/>
  <c r="M69" i="39"/>
  <c r="F70" i="39"/>
  <c r="G70" i="39"/>
  <c r="F71" i="39"/>
  <c r="G71" i="39"/>
  <c r="K71" i="39"/>
  <c r="F72" i="39"/>
  <c r="G72" i="39"/>
  <c r="F73" i="39"/>
  <c r="G73" i="39"/>
  <c r="L73" i="39"/>
  <c r="M73" i="39"/>
  <c r="F74" i="39"/>
  <c r="G74" i="39"/>
  <c r="F75" i="39"/>
  <c r="G75" i="39"/>
  <c r="K75" i="39"/>
  <c r="F76" i="39"/>
  <c r="G76" i="39"/>
  <c r="F77" i="39"/>
  <c r="G77" i="39"/>
  <c r="L77" i="39"/>
  <c r="M77" i="39"/>
  <c r="F78" i="39"/>
  <c r="G78" i="39"/>
  <c r="F79" i="39"/>
  <c r="G79" i="39"/>
  <c r="L79" i="39"/>
  <c r="M79" i="39"/>
  <c r="F80" i="39"/>
  <c r="G80" i="39"/>
  <c r="L80" i="39"/>
  <c r="M80" i="39"/>
  <c r="F81" i="39"/>
  <c r="G81" i="39"/>
  <c r="F82" i="39"/>
  <c r="G82" i="39"/>
  <c r="K82" i="39"/>
  <c r="F83" i="39"/>
  <c r="G83" i="39"/>
  <c r="D84" i="39"/>
  <c r="F84" i="39"/>
  <c r="G84" i="39"/>
  <c r="L84" i="39"/>
  <c r="M84" i="39"/>
  <c r="F85" i="39"/>
  <c r="G85" i="39"/>
  <c r="L85" i="39"/>
  <c r="M85" i="39"/>
  <c r="F86" i="39"/>
  <c r="G86" i="39"/>
  <c r="F87" i="39"/>
  <c r="G87" i="39"/>
  <c r="F88" i="39"/>
  <c r="G88" i="39"/>
  <c r="F89" i="39"/>
  <c r="G89" i="39"/>
  <c r="F90" i="39"/>
  <c r="G90" i="39"/>
  <c r="F91" i="39"/>
  <c r="G91" i="39"/>
  <c r="F92" i="39"/>
  <c r="G92" i="39"/>
  <c r="F93" i="39"/>
  <c r="G93" i="39"/>
  <c r="F94" i="39"/>
  <c r="G94" i="39"/>
  <c r="D95" i="39"/>
  <c r="F95" i="39"/>
  <c r="G95" i="39"/>
  <c r="F96" i="39"/>
  <c r="G96" i="39"/>
  <c r="F97" i="39"/>
  <c r="G97" i="39"/>
  <c r="F98" i="39"/>
  <c r="G98" i="39"/>
  <c r="F99" i="39"/>
  <c r="G99" i="39"/>
  <c r="F100" i="39"/>
  <c r="G100" i="39"/>
  <c r="F101" i="39"/>
  <c r="G101" i="39"/>
  <c r="F102" i="39"/>
  <c r="G102" i="39"/>
  <c r="F103" i="39"/>
  <c r="G103" i="39"/>
  <c r="F104" i="39"/>
  <c r="G104" i="39"/>
  <c r="F105" i="39"/>
  <c r="G105" i="39"/>
  <c r="F106" i="39"/>
  <c r="G106" i="39"/>
  <c r="F107" i="39"/>
  <c r="G107" i="39"/>
  <c r="F108" i="39"/>
  <c r="G108" i="39"/>
  <c r="F109" i="39"/>
  <c r="G109" i="39"/>
  <c r="F110" i="39"/>
  <c r="G110" i="39"/>
  <c r="F111" i="39"/>
  <c r="G111" i="39"/>
  <c r="F112" i="39"/>
  <c r="G112" i="39"/>
  <c r="F113" i="39"/>
  <c r="G113" i="39"/>
  <c r="F114" i="39"/>
  <c r="G114" i="39"/>
  <c r="F115" i="39"/>
  <c r="G115" i="39"/>
  <c r="F116" i="39"/>
  <c r="G116" i="39"/>
  <c r="F117" i="39"/>
  <c r="G117" i="39"/>
  <c r="F118" i="39"/>
  <c r="G118" i="39"/>
  <c r="F119" i="39"/>
  <c r="G119" i="39"/>
  <c r="F120" i="39"/>
  <c r="G120" i="39"/>
  <c r="F121" i="39"/>
  <c r="G121" i="39"/>
  <c r="F122" i="39"/>
  <c r="G122" i="39"/>
  <c r="F123" i="39"/>
  <c r="G123" i="39"/>
  <c r="F124" i="39"/>
  <c r="G124" i="39"/>
  <c r="F125" i="39"/>
  <c r="G125" i="39"/>
  <c r="F126" i="39"/>
  <c r="G126" i="39"/>
  <c r="F127" i="39"/>
  <c r="G127" i="39"/>
  <c r="F128" i="39"/>
  <c r="G128" i="39"/>
  <c r="F129" i="39"/>
  <c r="G129" i="39"/>
  <c r="F130" i="39"/>
  <c r="G130" i="39"/>
  <c r="F131" i="39"/>
  <c r="G131" i="39"/>
  <c r="F132" i="39"/>
  <c r="G132" i="39"/>
  <c r="F133" i="39"/>
  <c r="G133" i="39"/>
  <c r="F134" i="39"/>
  <c r="G134" i="39"/>
  <c r="F135" i="39"/>
  <c r="G135" i="39"/>
  <c r="F136" i="39"/>
  <c r="G136" i="39"/>
  <c r="F137" i="39"/>
  <c r="G137" i="39"/>
  <c r="F138" i="39"/>
  <c r="G138" i="39"/>
  <c r="F139" i="39"/>
  <c r="G139" i="39"/>
  <c r="F140" i="39"/>
  <c r="G140" i="39"/>
  <c r="F141" i="39"/>
  <c r="G141" i="39"/>
  <c r="D142" i="39"/>
  <c r="F142" i="39"/>
  <c r="G142" i="39"/>
  <c r="F143" i="39"/>
  <c r="G143" i="39"/>
  <c r="F144" i="39"/>
  <c r="G144" i="39"/>
  <c r="F145" i="39"/>
  <c r="G145" i="39"/>
  <c r="F146" i="39"/>
  <c r="G146" i="39"/>
  <c r="F147" i="39"/>
  <c r="G147" i="39"/>
  <c r="F148" i="39"/>
  <c r="G148" i="39"/>
  <c r="F149" i="39"/>
  <c r="G149" i="39"/>
  <c r="F150" i="39"/>
  <c r="G150" i="39"/>
  <c r="F151" i="39"/>
  <c r="G151" i="39"/>
  <c r="F152" i="39"/>
  <c r="G152" i="39"/>
  <c r="F153" i="39"/>
  <c r="G153" i="39"/>
  <c r="F154" i="39"/>
  <c r="G154" i="39"/>
  <c r="F155" i="39"/>
  <c r="G155" i="39"/>
  <c r="F156" i="39"/>
  <c r="G156" i="39"/>
  <c r="F157" i="39"/>
  <c r="G157" i="39"/>
  <c r="F158" i="39"/>
  <c r="G158" i="39"/>
  <c r="F159" i="39"/>
  <c r="G159" i="39"/>
  <c r="F160" i="39"/>
  <c r="G160" i="39"/>
  <c r="F161" i="39"/>
  <c r="G161" i="39"/>
  <c r="F162" i="39"/>
  <c r="G162" i="39"/>
  <c r="F163" i="39"/>
  <c r="G163" i="39"/>
  <c r="F164" i="39"/>
  <c r="G164" i="39"/>
  <c r="F165" i="39"/>
  <c r="G165" i="39"/>
  <c r="F166" i="39"/>
  <c r="G166" i="39"/>
  <c r="F167" i="39"/>
  <c r="G167" i="39"/>
  <c r="F168" i="39"/>
  <c r="G168" i="39"/>
  <c r="F169" i="39"/>
  <c r="G169" i="39"/>
  <c r="F170" i="39"/>
  <c r="G170" i="39"/>
  <c r="F171" i="39"/>
  <c r="G171" i="39"/>
  <c r="F172" i="39"/>
  <c r="G172" i="39"/>
  <c r="F173" i="39"/>
  <c r="G173" i="39"/>
  <c r="F174" i="39"/>
  <c r="G174" i="39"/>
  <c r="F175" i="39"/>
  <c r="G175" i="39"/>
  <c r="F176" i="39"/>
  <c r="G176" i="39"/>
  <c r="F177" i="39"/>
  <c r="G177" i="39"/>
  <c r="F178" i="39"/>
  <c r="G178" i="39"/>
  <c r="F179" i="39"/>
  <c r="G179" i="39"/>
  <c r="F180" i="39"/>
  <c r="G180" i="39"/>
  <c r="F181" i="39"/>
  <c r="G181" i="39"/>
  <c r="F182" i="39"/>
  <c r="G182" i="39"/>
  <c r="F183" i="39"/>
  <c r="G183" i="39"/>
  <c r="F184" i="39"/>
  <c r="G184" i="39"/>
  <c r="F185" i="39"/>
  <c r="G185" i="39"/>
  <c r="F186" i="39"/>
  <c r="G186" i="39"/>
  <c r="F187" i="39"/>
  <c r="G187" i="39"/>
  <c r="F188" i="39"/>
  <c r="G188" i="39"/>
  <c r="F189" i="39"/>
  <c r="G189" i="39"/>
  <c r="F190" i="39"/>
  <c r="G190" i="39"/>
  <c r="F191" i="39"/>
  <c r="G191" i="39"/>
  <c r="F192" i="39"/>
  <c r="G192" i="39"/>
  <c r="F193" i="39"/>
  <c r="G193" i="39"/>
  <c r="F194" i="39"/>
  <c r="G194" i="39"/>
  <c r="F195" i="39"/>
  <c r="G195" i="39"/>
  <c r="F196" i="39"/>
  <c r="G196" i="39"/>
  <c r="F197" i="39"/>
  <c r="G197" i="39"/>
  <c r="F198" i="39"/>
  <c r="G198" i="39"/>
  <c r="F199" i="39"/>
  <c r="G199" i="39"/>
  <c r="F200" i="39"/>
  <c r="G200" i="39"/>
  <c r="F203" i="39"/>
  <c r="G203" i="39"/>
  <c r="D204" i="39"/>
  <c r="F204" i="39"/>
  <c r="G204" i="39"/>
  <c r="F205" i="39"/>
  <c r="G205" i="39"/>
  <c r="F206" i="39"/>
  <c r="G206" i="39"/>
  <c r="F207" i="39"/>
  <c r="G207" i="39"/>
  <c r="F208" i="39"/>
  <c r="G208" i="39"/>
  <c r="F209" i="39"/>
  <c r="G209" i="39"/>
  <c r="F210" i="39"/>
  <c r="G210" i="39"/>
  <c r="F211" i="39"/>
  <c r="G211" i="39"/>
  <c r="F212" i="39"/>
  <c r="G212" i="39"/>
  <c r="F213" i="39"/>
  <c r="G213" i="39"/>
  <c r="F214" i="39"/>
  <c r="G214" i="39"/>
  <c r="F215" i="39"/>
  <c r="G215" i="39"/>
  <c r="F216" i="39"/>
  <c r="G216" i="39"/>
  <c r="F217" i="39"/>
  <c r="G217" i="39"/>
  <c r="F218" i="39"/>
  <c r="G218" i="39"/>
  <c r="F219" i="39"/>
  <c r="G219" i="39"/>
  <c r="F220" i="39"/>
  <c r="G220" i="39"/>
  <c r="F221" i="39"/>
  <c r="G221" i="39"/>
  <c r="F222" i="39"/>
  <c r="G222" i="39"/>
  <c r="F223" i="39"/>
  <c r="G223" i="39"/>
  <c r="F224" i="39"/>
  <c r="G224" i="39"/>
  <c r="D225" i="39"/>
  <c r="F225" i="39"/>
  <c r="G225" i="39"/>
  <c r="F226" i="39"/>
  <c r="G226" i="39"/>
  <c r="F227" i="39"/>
  <c r="G227" i="39"/>
  <c r="F228" i="39"/>
  <c r="G228" i="39"/>
  <c r="F229" i="39"/>
  <c r="G229" i="39"/>
  <c r="F230" i="39"/>
  <c r="G230" i="39"/>
  <c r="F231" i="39"/>
  <c r="D232" i="39"/>
  <c r="F232" i="39"/>
  <c r="G232" i="39"/>
  <c r="F233" i="39"/>
  <c r="G233" i="39"/>
  <c r="F234" i="39"/>
  <c r="G234" i="39"/>
  <c r="D235" i="39"/>
  <c r="F235" i="39"/>
  <c r="G235" i="39"/>
  <c r="F236" i="39"/>
  <c r="G236" i="39"/>
  <c r="F237" i="39"/>
  <c r="G237" i="39"/>
  <c r="F238" i="39"/>
  <c r="G238" i="39"/>
  <c r="F239" i="39"/>
  <c r="G239" i="39"/>
  <c r="F240" i="39"/>
  <c r="G240" i="39"/>
  <c r="F241" i="39"/>
  <c r="G241" i="39"/>
  <c r="F242" i="39"/>
  <c r="G242" i="39"/>
  <c r="F243" i="39"/>
  <c r="G243" i="39"/>
  <c r="F244" i="39"/>
  <c r="G244" i="39"/>
  <c r="F245" i="39"/>
  <c r="G245" i="39"/>
  <c r="F246" i="39"/>
  <c r="G246" i="39"/>
  <c r="D247" i="39"/>
  <c r="F247" i="39"/>
  <c r="G247" i="39"/>
  <c r="F248" i="39"/>
  <c r="G248" i="39"/>
  <c r="F249" i="39"/>
  <c r="G249" i="39"/>
  <c r="G249" i="38"/>
  <c r="F249" i="38"/>
  <c r="G248" i="38"/>
  <c r="F248" i="38"/>
  <c r="G247" i="38"/>
  <c r="F247" i="38"/>
  <c r="D247" i="38"/>
  <c r="G246" i="38"/>
  <c r="F246" i="38"/>
  <c r="G245" i="38"/>
  <c r="F245" i="38"/>
  <c r="G244" i="38"/>
  <c r="F244" i="38"/>
  <c r="G243" i="38"/>
  <c r="F243" i="38"/>
  <c r="G242" i="38"/>
  <c r="F242" i="38"/>
  <c r="G241" i="38"/>
  <c r="F241" i="38"/>
  <c r="G240" i="38"/>
  <c r="F240" i="38"/>
  <c r="G239" i="38"/>
  <c r="F239" i="38"/>
  <c r="G238" i="38"/>
  <c r="F238" i="38"/>
  <c r="G237" i="38"/>
  <c r="F237" i="38"/>
  <c r="G236" i="38"/>
  <c r="F236" i="38"/>
  <c r="G235" i="38"/>
  <c r="F235" i="38"/>
  <c r="D235" i="38"/>
  <c r="M11" i="38" s="1"/>
  <c r="G234" i="38"/>
  <c r="F234" i="38"/>
  <c r="G233" i="38"/>
  <c r="F233" i="38"/>
  <c r="G232" i="38"/>
  <c r="F232" i="38"/>
  <c r="D232" i="38"/>
  <c r="F231" i="38"/>
  <c r="G230" i="38"/>
  <c r="F230" i="38"/>
  <c r="G229" i="38"/>
  <c r="F229" i="38"/>
  <c r="G228" i="38"/>
  <c r="F228" i="38"/>
  <c r="G227" i="38"/>
  <c r="F227" i="38"/>
  <c r="G226" i="38"/>
  <c r="F226" i="38"/>
  <c r="G225" i="38"/>
  <c r="F225" i="38"/>
  <c r="D225" i="38"/>
  <c r="G224" i="38"/>
  <c r="F224" i="38"/>
  <c r="G218" i="38"/>
  <c r="F218" i="38"/>
  <c r="G217" i="38"/>
  <c r="F217" i="38"/>
  <c r="G216" i="38"/>
  <c r="F216" i="38"/>
  <c r="G215" i="38"/>
  <c r="F215" i="38"/>
  <c r="G214" i="38"/>
  <c r="F214" i="38"/>
  <c r="G213" i="38"/>
  <c r="F213" i="38"/>
  <c r="G212" i="38"/>
  <c r="F212" i="38"/>
  <c r="G211" i="38"/>
  <c r="F211" i="38"/>
  <c r="G210" i="38"/>
  <c r="F210" i="38"/>
  <c r="G209" i="38"/>
  <c r="F209" i="38"/>
  <c r="G208" i="38"/>
  <c r="F208" i="38"/>
  <c r="G207" i="38"/>
  <c r="F207" i="38"/>
  <c r="G206" i="38"/>
  <c r="F206" i="38"/>
  <c r="G205" i="38"/>
  <c r="F205" i="38"/>
  <c r="G204" i="38"/>
  <c r="F204" i="38"/>
  <c r="D204" i="38"/>
  <c r="G203" i="38"/>
  <c r="F203" i="38"/>
  <c r="G192" i="38"/>
  <c r="F192" i="38"/>
  <c r="G191" i="38"/>
  <c r="F191" i="38"/>
  <c r="G190" i="38"/>
  <c r="F190" i="38"/>
  <c r="G189" i="38"/>
  <c r="F189" i="38"/>
  <c r="G188" i="38"/>
  <c r="F188" i="38"/>
  <c r="G187" i="38"/>
  <c r="F187" i="38"/>
  <c r="G186" i="38"/>
  <c r="F186" i="38"/>
  <c r="G185" i="38"/>
  <c r="F185" i="38"/>
  <c r="G184" i="38"/>
  <c r="F184" i="38"/>
  <c r="G183" i="38"/>
  <c r="F183" i="38"/>
  <c r="G182" i="38"/>
  <c r="F182" i="38"/>
  <c r="G181" i="38"/>
  <c r="F181" i="38"/>
  <c r="G180" i="38"/>
  <c r="F180" i="38"/>
  <c r="G179" i="38"/>
  <c r="F179" i="38"/>
  <c r="G178" i="38"/>
  <c r="F178" i="38"/>
  <c r="G177" i="38"/>
  <c r="F177" i="38"/>
  <c r="G176" i="38"/>
  <c r="F176" i="38"/>
  <c r="G175" i="38"/>
  <c r="F175" i="38"/>
  <c r="G174" i="38"/>
  <c r="F174" i="38"/>
  <c r="G173" i="38"/>
  <c r="F173" i="38"/>
  <c r="G172" i="38"/>
  <c r="F172" i="38"/>
  <c r="G171" i="38"/>
  <c r="F171" i="38"/>
  <c r="G170" i="38"/>
  <c r="F170" i="38"/>
  <c r="G169" i="38"/>
  <c r="F169" i="38"/>
  <c r="G168" i="38"/>
  <c r="F168" i="38"/>
  <c r="G167" i="38"/>
  <c r="F167" i="38"/>
  <c r="G166" i="38"/>
  <c r="F166" i="38"/>
  <c r="G165" i="38"/>
  <c r="F165" i="38"/>
  <c r="G164" i="38"/>
  <c r="F164" i="38"/>
  <c r="G163" i="38"/>
  <c r="F163" i="38"/>
  <c r="G162" i="38"/>
  <c r="F162" i="38"/>
  <c r="G161" i="38"/>
  <c r="F161" i="38"/>
  <c r="G160" i="38"/>
  <c r="F160" i="38"/>
  <c r="G159" i="38"/>
  <c r="F159" i="38"/>
  <c r="G158" i="38"/>
  <c r="F158" i="38"/>
  <c r="G157" i="38"/>
  <c r="F157" i="38"/>
  <c r="G156" i="38"/>
  <c r="F156" i="38"/>
  <c r="G155" i="38"/>
  <c r="F155" i="38"/>
  <c r="G154" i="38"/>
  <c r="F154" i="38"/>
  <c r="G153" i="38"/>
  <c r="F153" i="38"/>
  <c r="G152" i="38"/>
  <c r="F152" i="38"/>
  <c r="G151" i="38"/>
  <c r="F151" i="38"/>
  <c r="G150" i="38"/>
  <c r="F150" i="38"/>
  <c r="G149" i="38"/>
  <c r="F149" i="38"/>
  <c r="G148" i="38"/>
  <c r="F148" i="38"/>
  <c r="G147" i="38"/>
  <c r="F147" i="38"/>
  <c r="G146" i="38"/>
  <c r="F146" i="38"/>
  <c r="G145" i="38"/>
  <c r="F145" i="38"/>
  <c r="G144" i="38"/>
  <c r="F144" i="38"/>
  <c r="G143" i="38"/>
  <c r="F143" i="38"/>
  <c r="G142" i="38"/>
  <c r="F142" i="38"/>
  <c r="D142" i="38"/>
  <c r="G141" i="38"/>
  <c r="F141" i="38"/>
  <c r="G139" i="38"/>
  <c r="F139" i="38"/>
  <c r="G138" i="38"/>
  <c r="F138" i="38"/>
  <c r="G137" i="38"/>
  <c r="F137" i="38"/>
  <c r="G136" i="38"/>
  <c r="F136" i="38"/>
  <c r="G135" i="38"/>
  <c r="F135" i="38"/>
  <c r="G134" i="38"/>
  <c r="F134" i="38"/>
  <c r="G133" i="38"/>
  <c r="F133" i="38"/>
  <c r="G132" i="38"/>
  <c r="F132" i="38"/>
  <c r="G131" i="38"/>
  <c r="F131" i="38"/>
  <c r="G130" i="38"/>
  <c r="F130" i="38"/>
  <c r="G129" i="38"/>
  <c r="F129" i="38"/>
  <c r="G128" i="38"/>
  <c r="F128" i="38"/>
  <c r="G127" i="38"/>
  <c r="F127" i="38"/>
  <c r="G126" i="38"/>
  <c r="F126" i="38"/>
  <c r="G125" i="38"/>
  <c r="F125" i="38"/>
  <c r="G124" i="38"/>
  <c r="F124" i="38"/>
  <c r="G123" i="38"/>
  <c r="F123" i="38"/>
  <c r="G122" i="38"/>
  <c r="F122" i="38"/>
  <c r="G121" i="38"/>
  <c r="F121" i="38"/>
  <c r="G120" i="38"/>
  <c r="F120" i="38"/>
  <c r="G119" i="38"/>
  <c r="F119" i="38"/>
  <c r="G118" i="38"/>
  <c r="F118" i="38"/>
  <c r="G117" i="38"/>
  <c r="F117" i="38"/>
  <c r="G116" i="38"/>
  <c r="F116" i="38"/>
  <c r="G115" i="38"/>
  <c r="F115" i="38"/>
  <c r="G114" i="38"/>
  <c r="F114" i="38"/>
  <c r="G113" i="38"/>
  <c r="F113" i="38"/>
  <c r="G112" i="38"/>
  <c r="F112" i="38"/>
  <c r="G111" i="38"/>
  <c r="F111" i="38"/>
  <c r="G110" i="38"/>
  <c r="F110" i="38"/>
  <c r="G109" i="38"/>
  <c r="F109" i="38"/>
  <c r="G108" i="38"/>
  <c r="F108" i="38"/>
  <c r="G107" i="38"/>
  <c r="F107" i="38"/>
  <c r="G106" i="38"/>
  <c r="F106" i="38"/>
  <c r="G105" i="38"/>
  <c r="F105" i="38"/>
  <c r="G104" i="38"/>
  <c r="F104" i="38"/>
  <c r="G103" i="38"/>
  <c r="F103" i="38"/>
  <c r="G102" i="38"/>
  <c r="F102" i="38"/>
  <c r="G101" i="38"/>
  <c r="F101" i="38"/>
  <c r="G100" i="38"/>
  <c r="F100" i="38"/>
  <c r="G99" i="38"/>
  <c r="F99" i="38"/>
  <c r="G98" i="38"/>
  <c r="F98" i="38"/>
  <c r="G97" i="38"/>
  <c r="F97" i="38"/>
  <c r="G96" i="38"/>
  <c r="F96" i="38"/>
  <c r="G95" i="38"/>
  <c r="F95" i="38"/>
  <c r="D95" i="38"/>
  <c r="G94" i="38"/>
  <c r="F94" i="38"/>
  <c r="G93" i="38"/>
  <c r="F93" i="38"/>
  <c r="G92" i="38"/>
  <c r="F92" i="38"/>
  <c r="G91" i="38"/>
  <c r="F91" i="38"/>
  <c r="G90" i="38"/>
  <c r="F90" i="38"/>
  <c r="G89" i="38"/>
  <c r="F89" i="38"/>
  <c r="G88" i="38"/>
  <c r="F88" i="38"/>
  <c r="G87" i="38"/>
  <c r="F87" i="38"/>
  <c r="G86" i="38"/>
  <c r="F86" i="38"/>
  <c r="M85" i="38"/>
  <c r="L85" i="38"/>
  <c r="G85" i="38"/>
  <c r="F85" i="38"/>
  <c r="M84" i="38"/>
  <c r="L84" i="38"/>
  <c r="G84" i="38"/>
  <c r="F84" i="38"/>
  <c r="D84" i="38"/>
  <c r="G83" i="38"/>
  <c r="F83" i="38"/>
  <c r="K82" i="38"/>
  <c r="M80" i="38"/>
  <c r="L80" i="38"/>
  <c r="M79" i="38"/>
  <c r="L79" i="38"/>
  <c r="M77" i="38"/>
  <c r="L77" i="38"/>
  <c r="G77" i="38"/>
  <c r="F77" i="38"/>
  <c r="G76" i="38"/>
  <c r="F76" i="38"/>
  <c r="K75" i="38"/>
  <c r="G75" i="38"/>
  <c r="F75" i="38"/>
  <c r="G74" i="38"/>
  <c r="F74" i="38"/>
  <c r="M73" i="38"/>
  <c r="L73" i="38"/>
  <c r="G73" i="38"/>
  <c r="F73" i="38"/>
  <c r="G72" i="38"/>
  <c r="F72" i="38"/>
  <c r="K71" i="38"/>
  <c r="G71" i="38"/>
  <c r="F71" i="38"/>
  <c r="G70" i="38"/>
  <c r="F70" i="38"/>
  <c r="M69" i="38"/>
  <c r="L69" i="38"/>
  <c r="G69" i="38"/>
  <c r="F69" i="38"/>
  <c r="M68" i="38"/>
  <c r="L68" i="38"/>
  <c r="G68" i="38"/>
  <c r="F68" i="38"/>
  <c r="M67" i="38"/>
  <c r="L67" i="38"/>
  <c r="G67" i="38"/>
  <c r="F67" i="38"/>
  <c r="M66" i="38"/>
  <c r="L66" i="38"/>
  <c r="G66" i="38"/>
  <c r="F66" i="38"/>
  <c r="G65" i="38"/>
  <c r="F65" i="38"/>
  <c r="M64" i="38"/>
  <c r="L64" i="38"/>
  <c r="G64" i="38"/>
  <c r="F64" i="38"/>
  <c r="M63" i="38"/>
  <c r="L63" i="38"/>
  <c r="G63" i="38"/>
  <c r="F63" i="38"/>
  <c r="D63" i="38"/>
  <c r="M62" i="38"/>
  <c r="L62" i="38"/>
  <c r="G62" i="38"/>
  <c r="F62" i="38"/>
  <c r="G61" i="38"/>
  <c r="F61" i="38"/>
  <c r="G60" i="38"/>
  <c r="F60" i="38"/>
  <c r="M59" i="38"/>
  <c r="L59" i="38"/>
  <c r="G59" i="38"/>
  <c r="F59" i="38"/>
  <c r="M58" i="38"/>
  <c r="L58" i="38"/>
  <c r="G58" i="38"/>
  <c r="F58" i="38"/>
  <c r="M57" i="38"/>
  <c r="L57" i="38"/>
  <c r="G57" i="38"/>
  <c r="F57" i="38"/>
  <c r="M56" i="38"/>
  <c r="L56" i="38"/>
  <c r="G56" i="38"/>
  <c r="F56" i="38"/>
  <c r="M55" i="38"/>
  <c r="L55" i="38"/>
  <c r="G55" i="38"/>
  <c r="F55" i="38"/>
  <c r="G54" i="38"/>
  <c r="F54" i="38"/>
  <c r="M53" i="38"/>
  <c r="L53" i="38"/>
  <c r="G53" i="38"/>
  <c r="F53" i="38"/>
  <c r="G52" i="38"/>
  <c r="F52" i="38"/>
  <c r="K51" i="38"/>
  <c r="G51" i="38"/>
  <c r="F51" i="38"/>
  <c r="G50" i="38"/>
  <c r="F50" i="38"/>
  <c r="M49" i="38"/>
  <c r="L49" i="38"/>
  <c r="G49" i="38"/>
  <c r="F49" i="38"/>
  <c r="M48" i="38"/>
  <c r="L48" i="38"/>
  <c r="G48" i="38"/>
  <c r="F48" i="38"/>
  <c r="G47" i="38"/>
  <c r="F47" i="38"/>
  <c r="M46" i="38"/>
  <c r="L46" i="38"/>
  <c r="G46" i="38"/>
  <c r="F46" i="38"/>
  <c r="G45" i="38"/>
  <c r="F45" i="38"/>
  <c r="K44" i="38"/>
  <c r="G44" i="38"/>
  <c r="F44" i="38"/>
  <c r="G43" i="38"/>
  <c r="F43" i="38"/>
  <c r="M42" i="38"/>
  <c r="L42" i="38"/>
  <c r="G42" i="38"/>
  <c r="F42" i="38"/>
  <c r="G41" i="38"/>
  <c r="F41" i="38"/>
  <c r="M40" i="38"/>
  <c r="L40" i="38"/>
  <c r="G40" i="38"/>
  <c r="F40" i="38"/>
  <c r="G39" i="38"/>
  <c r="F39" i="38"/>
  <c r="M38" i="38"/>
  <c r="L38" i="38"/>
  <c r="G38" i="38"/>
  <c r="F38" i="38"/>
  <c r="G37" i="38"/>
  <c r="F37" i="38"/>
  <c r="M36" i="38"/>
  <c r="E12" i="38" s="1"/>
  <c r="L36" i="38"/>
  <c r="G36" i="38"/>
  <c r="F36" i="38"/>
  <c r="M35" i="38"/>
  <c r="L35" i="38"/>
  <c r="G35" i="38"/>
  <c r="F35" i="38"/>
  <c r="G34" i="38"/>
  <c r="F34" i="38"/>
  <c r="K33" i="38"/>
  <c r="G33" i="38"/>
  <c r="F33" i="38"/>
  <c r="G32" i="38"/>
  <c r="F32" i="38"/>
  <c r="M31" i="38"/>
  <c r="L31" i="38"/>
  <c r="G31" i="38"/>
  <c r="F31" i="38"/>
  <c r="M30" i="38"/>
  <c r="L30" i="38"/>
  <c r="G30" i="38"/>
  <c r="F30" i="38"/>
  <c r="G29" i="38"/>
  <c r="F29" i="38"/>
  <c r="K28" i="38"/>
  <c r="G28" i="38"/>
  <c r="F28" i="38"/>
  <c r="G27" i="38"/>
  <c r="F27" i="38"/>
  <c r="M26" i="38"/>
  <c r="L26" i="38"/>
  <c r="G26" i="38"/>
  <c r="I11" i="38" s="1"/>
  <c r="F26" i="38"/>
  <c r="G25" i="38"/>
  <c r="F25" i="38"/>
  <c r="K24" i="38"/>
  <c r="M12" i="38" s="1"/>
  <c r="G24" i="38"/>
  <c r="F24" i="38"/>
  <c r="G23" i="38"/>
  <c r="F23" i="38"/>
  <c r="G22" i="38"/>
  <c r="F22" i="38"/>
  <c r="G21" i="38"/>
  <c r="F21" i="38"/>
  <c r="M20" i="38"/>
  <c r="F12" i="38" s="1"/>
  <c r="L20" i="38"/>
  <c r="G20" i="38"/>
  <c r="F20" i="38"/>
  <c r="M19" i="38"/>
  <c r="L19" i="38"/>
  <c r="G19" i="38"/>
  <c r="F19" i="38"/>
  <c r="G18" i="38"/>
  <c r="B11" i="38" s="1"/>
  <c r="F18" i="38"/>
  <c r="K17" i="38"/>
  <c r="L16" i="38" s="1"/>
  <c r="D17" i="38"/>
  <c r="G12" i="38"/>
  <c r="C11" i="38"/>
  <c r="M7" i="38"/>
  <c r="D7" i="38"/>
  <c r="F7" i="38" s="1"/>
  <c r="M6" i="38"/>
  <c r="D5" i="38"/>
  <c r="F5" i="38" s="1"/>
  <c r="C5" i="38"/>
  <c r="B5" i="38"/>
  <c r="N4" i="38"/>
  <c r="D4" i="38"/>
  <c r="D3" i="38" s="1"/>
  <c r="E3" i="38" s="1"/>
  <c r="B4" i="38"/>
  <c r="N3" i="38"/>
  <c r="C3" i="38"/>
  <c r="N3" i="37"/>
  <c r="B4" i="37"/>
  <c r="F4" i="37" s="1"/>
  <c r="D4" i="37"/>
  <c r="D3" i="37" s="1"/>
  <c r="N4" i="37"/>
  <c r="C5" i="37"/>
  <c r="C3" i="37" s="1"/>
  <c r="D5" i="37"/>
  <c r="M6" i="37"/>
  <c r="D7" i="37"/>
  <c r="F7" i="37" s="1"/>
  <c r="M7" i="37"/>
  <c r="D17" i="37"/>
  <c r="M11" i="37" s="1"/>
  <c r="K17" i="37"/>
  <c r="M12" i="37" s="1"/>
  <c r="F18" i="37"/>
  <c r="G18" i="37"/>
  <c r="B11" i="37" s="1"/>
  <c r="F19" i="37"/>
  <c r="G19" i="37"/>
  <c r="F11" i="37" s="1"/>
  <c r="L19" i="37"/>
  <c r="M19" i="37"/>
  <c r="E12" i="37" s="1"/>
  <c r="F20" i="37"/>
  <c r="G20" i="37"/>
  <c r="L20" i="37"/>
  <c r="M20" i="37"/>
  <c r="D12" i="37" s="1"/>
  <c r="F21" i="37"/>
  <c r="G21" i="37"/>
  <c r="F22" i="37"/>
  <c r="G22" i="37"/>
  <c r="F23" i="37"/>
  <c r="G23" i="37"/>
  <c r="F24" i="37"/>
  <c r="G24" i="37"/>
  <c r="K24" i="37"/>
  <c r="F25" i="37"/>
  <c r="G25" i="37"/>
  <c r="F26" i="37"/>
  <c r="G26" i="37"/>
  <c r="L26" i="37"/>
  <c r="M26" i="37"/>
  <c r="I12" i="37" s="1"/>
  <c r="F27" i="37"/>
  <c r="G27" i="37"/>
  <c r="G11" i="37" s="1"/>
  <c r="F28" i="37"/>
  <c r="G28" i="37"/>
  <c r="K28" i="37"/>
  <c r="F29" i="37"/>
  <c r="G29" i="37"/>
  <c r="F30" i="37"/>
  <c r="G30" i="37"/>
  <c r="L30" i="37"/>
  <c r="M30" i="37"/>
  <c r="F31" i="37"/>
  <c r="G31" i="37"/>
  <c r="L31" i="37"/>
  <c r="M31" i="37"/>
  <c r="F32" i="37"/>
  <c r="G32" i="37"/>
  <c r="F33" i="37"/>
  <c r="G33" i="37"/>
  <c r="K33" i="37"/>
  <c r="F34" i="37"/>
  <c r="G34" i="37"/>
  <c r="E11" i="37" s="1"/>
  <c r="F35" i="37"/>
  <c r="G35" i="37"/>
  <c r="L35" i="37"/>
  <c r="M35" i="37"/>
  <c r="C12" i="37" s="1"/>
  <c r="F36" i="37"/>
  <c r="G36" i="37"/>
  <c r="L36" i="37"/>
  <c r="M36" i="37"/>
  <c r="F37" i="37"/>
  <c r="G37" i="37"/>
  <c r="F38" i="37"/>
  <c r="G38" i="37"/>
  <c r="L38" i="37"/>
  <c r="M38" i="37"/>
  <c r="F39" i="37"/>
  <c r="G39" i="37"/>
  <c r="F40" i="37"/>
  <c r="G40" i="37"/>
  <c r="L40" i="37"/>
  <c r="M40" i="37"/>
  <c r="F41" i="37"/>
  <c r="G41" i="37"/>
  <c r="F42" i="37"/>
  <c r="G42" i="37"/>
  <c r="L42" i="37"/>
  <c r="M42" i="37"/>
  <c r="F43" i="37"/>
  <c r="G43" i="37"/>
  <c r="F44" i="37"/>
  <c r="G44" i="37"/>
  <c r="K44" i="37"/>
  <c r="F45" i="37"/>
  <c r="G45" i="37"/>
  <c r="F46" i="37"/>
  <c r="G46" i="37"/>
  <c r="L46" i="37"/>
  <c r="M46" i="37"/>
  <c r="F47" i="37"/>
  <c r="G47" i="37"/>
  <c r="F48" i="37"/>
  <c r="G48" i="37"/>
  <c r="L48" i="37"/>
  <c r="M48" i="37"/>
  <c r="F49" i="37"/>
  <c r="G49" i="37"/>
  <c r="L49" i="37"/>
  <c r="M49" i="37"/>
  <c r="F50" i="37"/>
  <c r="G50" i="37"/>
  <c r="F51" i="37"/>
  <c r="G51" i="37"/>
  <c r="K51" i="37"/>
  <c r="F52" i="37"/>
  <c r="G52" i="37"/>
  <c r="F53" i="37"/>
  <c r="G53" i="37"/>
  <c r="L53" i="37"/>
  <c r="M53" i="37"/>
  <c r="F54" i="37"/>
  <c r="G54" i="37"/>
  <c r="F55" i="37"/>
  <c r="G55" i="37"/>
  <c r="L55" i="37"/>
  <c r="M55" i="37"/>
  <c r="F56" i="37"/>
  <c r="G56" i="37"/>
  <c r="L56" i="37"/>
  <c r="M56" i="37"/>
  <c r="F57" i="37"/>
  <c r="G57" i="37"/>
  <c r="L57" i="37"/>
  <c r="M57" i="37"/>
  <c r="F58" i="37"/>
  <c r="G58" i="37"/>
  <c r="L58" i="37"/>
  <c r="M58" i="37"/>
  <c r="F59" i="37"/>
  <c r="G59" i="37"/>
  <c r="L59" i="37"/>
  <c r="M59" i="37"/>
  <c r="F60" i="37"/>
  <c r="G60" i="37"/>
  <c r="F61" i="37"/>
  <c r="G61" i="37"/>
  <c r="F62" i="37"/>
  <c r="G62" i="37"/>
  <c r="L62" i="37"/>
  <c r="M62" i="37"/>
  <c r="D63" i="37"/>
  <c r="F63" i="37"/>
  <c r="G63" i="37"/>
  <c r="L63" i="37"/>
  <c r="M63" i="37"/>
  <c r="F64" i="37"/>
  <c r="G64" i="37"/>
  <c r="L64" i="37"/>
  <c r="M64" i="37"/>
  <c r="F65" i="37"/>
  <c r="G65" i="37"/>
  <c r="F66" i="37"/>
  <c r="G66" i="37"/>
  <c r="L66" i="37"/>
  <c r="M66" i="37"/>
  <c r="F67" i="37"/>
  <c r="G67" i="37"/>
  <c r="L67" i="37"/>
  <c r="M67" i="37"/>
  <c r="F68" i="37"/>
  <c r="G68" i="37"/>
  <c r="L68" i="37"/>
  <c r="M68" i="37"/>
  <c r="F69" i="37"/>
  <c r="G69" i="37"/>
  <c r="L69" i="37"/>
  <c r="M69" i="37"/>
  <c r="F70" i="37"/>
  <c r="G70" i="37"/>
  <c r="F71" i="37"/>
  <c r="G71" i="37"/>
  <c r="K71" i="37"/>
  <c r="F72" i="37"/>
  <c r="G72" i="37"/>
  <c r="F73" i="37"/>
  <c r="G73" i="37"/>
  <c r="L73" i="37"/>
  <c r="M73" i="37"/>
  <c r="F74" i="37"/>
  <c r="G74" i="37"/>
  <c r="F75" i="37"/>
  <c r="G75" i="37"/>
  <c r="K75" i="37"/>
  <c r="F76" i="37"/>
  <c r="G76" i="37"/>
  <c r="F77" i="37"/>
  <c r="G77" i="37"/>
  <c r="L77" i="37"/>
  <c r="M77" i="37"/>
  <c r="F78" i="37"/>
  <c r="G78" i="37"/>
  <c r="F79" i="37"/>
  <c r="G79" i="37"/>
  <c r="L79" i="37"/>
  <c r="M79" i="37"/>
  <c r="F80" i="37"/>
  <c r="G80" i="37"/>
  <c r="L80" i="37"/>
  <c r="M80" i="37"/>
  <c r="F81" i="37"/>
  <c r="G81" i="37"/>
  <c r="F82" i="37"/>
  <c r="G82" i="37"/>
  <c r="K82" i="37"/>
  <c r="F83" i="37"/>
  <c r="G83" i="37"/>
  <c r="D84" i="37"/>
  <c r="F84" i="37"/>
  <c r="G84" i="37"/>
  <c r="L84" i="37"/>
  <c r="M84" i="37"/>
  <c r="F85" i="37"/>
  <c r="G85" i="37"/>
  <c r="L85" i="37"/>
  <c r="M85" i="37"/>
  <c r="F86" i="37"/>
  <c r="G86" i="37"/>
  <c r="F87" i="37"/>
  <c r="G87" i="37"/>
  <c r="F88" i="37"/>
  <c r="G88" i="37"/>
  <c r="F89" i="37"/>
  <c r="G89" i="37"/>
  <c r="F90" i="37"/>
  <c r="G90" i="37"/>
  <c r="F91" i="37"/>
  <c r="G91" i="37"/>
  <c r="F92" i="37"/>
  <c r="G92" i="37"/>
  <c r="F93" i="37"/>
  <c r="G93" i="37"/>
  <c r="F94" i="37"/>
  <c r="G94" i="37"/>
  <c r="D95" i="37"/>
  <c r="F95" i="37"/>
  <c r="G95" i="37"/>
  <c r="F96" i="37"/>
  <c r="G96" i="37"/>
  <c r="F97" i="37"/>
  <c r="G97" i="37"/>
  <c r="F98" i="37"/>
  <c r="G98" i="37"/>
  <c r="F99" i="37"/>
  <c r="G99" i="37"/>
  <c r="F100" i="37"/>
  <c r="G100" i="37"/>
  <c r="F101" i="37"/>
  <c r="G101" i="37"/>
  <c r="F102" i="37"/>
  <c r="G102" i="37"/>
  <c r="F103" i="37"/>
  <c r="G103" i="37"/>
  <c r="F104" i="37"/>
  <c r="G104" i="37"/>
  <c r="F105" i="37"/>
  <c r="G105" i="37"/>
  <c r="F106" i="37"/>
  <c r="G106" i="37"/>
  <c r="F107" i="37"/>
  <c r="G107" i="37"/>
  <c r="F108" i="37"/>
  <c r="G108" i="37"/>
  <c r="F109" i="37"/>
  <c r="G109" i="37"/>
  <c r="F110" i="37"/>
  <c r="G110" i="37"/>
  <c r="F111" i="37"/>
  <c r="G111" i="37"/>
  <c r="F112" i="37"/>
  <c r="G112" i="37"/>
  <c r="F113" i="37"/>
  <c r="G113" i="37"/>
  <c r="F114" i="37"/>
  <c r="G114" i="37"/>
  <c r="F115" i="37"/>
  <c r="G115" i="37"/>
  <c r="F116" i="37"/>
  <c r="G116" i="37"/>
  <c r="F117" i="37"/>
  <c r="G117" i="37"/>
  <c r="F118" i="37"/>
  <c r="G118" i="37"/>
  <c r="F119" i="37"/>
  <c r="G119" i="37"/>
  <c r="F120" i="37"/>
  <c r="G120" i="37"/>
  <c r="F121" i="37"/>
  <c r="G121" i="37"/>
  <c r="F122" i="37"/>
  <c r="G122" i="37"/>
  <c r="F123" i="37"/>
  <c r="G123" i="37"/>
  <c r="F124" i="37"/>
  <c r="G124" i="37"/>
  <c r="F125" i="37"/>
  <c r="G125" i="37"/>
  <c r="F126" i="37"/>
  <c r="G126" i="37"/>
  <c r="F127" i="37"/>
  <c r="G127" i="37"/>
  <c r="F128" i="37"/>
  <c r="G128" i="37"/>
  <c r="F129" i="37"/>
  <c r="G129" i="37"/>
  <c r="F130" i="37"/>
  <c r="G130" i="37"/>
  <c r="F131" i="37"/>
  <c r="G131" i="37"/>
  <c r="F132" i="37"/>
  <c r="G132" i="37"/>
  <c r="F133" i="37"/>
  <c r="G133" i="37"/>
  <c r="F134" i="37"/>
  <c r="G134" i="37"/>
  <c r="F135" i="37"/>
  <c r="G135" i="37"/>
  <c r="F136" i="37"/>
  <c r="G136" i="37"/>
  <c r="F137" i="37"/>
  <c r="G137" i="37"/>
  <c r="F138" i="37"/>
  <c r="G138" i="37"/>
  <c r="F139" i="37"/>
  <c r="G139" i="37"/>
  <c r="F140" i="37"/>
  <c r="G140" i="37"/>
  <c r="F141" i="37"/>
  <c r="G141" i="37"/>
  <c r="D142" i="37"/>
  <c r="F142" i="37"/>
  <c r="G142" i="37"/>
  <c r="F143" i="37"/>
  <c r="G143" i="37"/>
  <c r="F144" i="37"/>
  <c r="G144" i="37"/>
  <c r="F145" i="37"/>
  <c r="G145" i="37"/>
  <c r="F146" i="37"/>
  <c r="G146" i="37"/>
  <c r="F147" i="37"/>
  <c r="G147" i="37"/>
  <c r="F148" i="37"/>
  <c r="G148" i="37"/>
  <c r="F149" i="37"/>
  <c r="G149" i="37"/>
  <c r="F150" i="37"/>
  <c r="G150" i="37"/>
  <c r="F151" i="37"/>
  <c r="G151" i="37"/>
  <c r="F152" i="37"/>
  <c r="G152" i="37"/>
  <c r="F153" i="37"/>
  <c r="G153" i="37"/>
  <c r="F154" i="37"/>
  <c r="G154" i="37"/>
  <c r="F155" i="37"/>
  <c r="G155" i="37"/>
  <c r="F156" i="37"/>
  <c r="G156" i="37"/>
  <c r="F157" i="37"/>
  <c r="G157" i="37"/>
  <c r="F158" i="37"/>
  <c r="G158" i="37"/>
  <c r="F159" i="37"/>
  <c r="G159" i="37"/>
  <c r="F160" i="37"/>
  <c r="G160" i="37"/>
  <c r="F161" i="37"/>
  <c r="G161" i="37"/>
  <c r="F162" i="37"/>
  <c r="G162" i="37"/>
  <c r="F163" i="37"/>
  <c r="G163" i="37"/>
  <c r="F164" i="37"/>
  <c r="G164" i="37"/>
  <c r="F165" i="37"/>
  <c r="G165" i="37"/>
  <c r="F166" i="37"/>
  <c r="G166" i="37"/>
  <c r="F167" i="37"/>
  <c r="G167" i="37"/>
  <c r="F168" i="37"/>
  <c r="G168" i="37"/>
  <c r="F169" i="37"/>
  <c r="G169" i="37"/>
  <c r="F170" i="37"/>
  <c r="G170" i="37"/>
  <c r="F171" i="37"/>
  <c r="G171" i="37"/>
  <c r="F172" i="37"/>
  <c r="G172" i="37"/>
  <c r="F173" i="37"/>
  <c r="G173" i="37"/>
  <c r="F174" i="37"/>
  <c r="G174" i="37"/>
  <c r="F175" i="37"/>
  <c r="G175" i="37"/>
  <c r="F176" i="37"/>
  <c r="G176" i="37"/>
  <c r="F177" i="37"/>
  <c r="G177" i="37"/>
  <c r="F178" i="37"/>
  <c r="G178" i="37"/>
  <c r="F179" i="37"/>
  <c r="G179" i="37"/>
  <c r="F180" i="37"/>
  <c r="G180" i="37"/>
  <c r="F181" i="37"/>
  <c r="G181" i="37"/>
  <c r="F182" i="37"/>
  <c r="G182" i="37"/>
  <c r="F183" i="37"/>
  <c r="G183" i="37"/>
  <c r="F184" i="37"/>
  <c r="G184" i="37"/>
  <c r="F185" i="37"/>
  <c r="G185" i="37"/>
  <c r="F186" i="37"/>
  <c r="G186" i="37"/>
  <c r="F187" i="37"/>
  <c r="G187" i="37"/>
  <c r="F188" i="37"/>
  <c r="G188" i="37"/>
  <c r="F189" i="37"/>
  <c r="G189" i="37"/>
  <c r="F190" i="37"/>
  <c r="G190" i="37"/>
  <c r="F191" i="37"/>
  <c r="G191" i="37"/>
  <c r="F192" i="37"/>
  <c r="G192" i="37"/>
  <c r="F193" i="37"/>
  <c r="G193" i="37"/>
  <c r="F203" i="37"/>
  <c r="G203" i="37"/>
  <c r="D204" i="37"/>
  <c r="F204" i="37"/>
  <c r="G204" i="37"/>
  <c r="F205" i="37"/>
  <c r="G205" i="37"/>
  <c r="F206" i="37"/>
  <c r="G206" i="37"/>
  <c r="F207" i="37"/>
  <c r="G207" i="37"/>
  <c r="F208" i="37"/>
  <c r="G208" i="37"/>
  <c r="F209" i="37"/>
  <c r="G209" i="37"/>
  <c r="F210" i="37"/>
  <c r="G210" i="37"/>
  <c r="F211" i="37"/>
  <c r="G211" i="37"/>
  <c r="F212" i="37"/>
  <c r="G212" i="37"/>
  <c r="F213" i="37"/>
  <c r="G213" i="37"/>
  <c r="F214" i="37"/>
  <c r="G214" i="37"/>
  <c r="F215" i="37"/>
  <c r="G215" i="37"/>
  <c r="F216" i="37"/>
  <c r="G216" i="37"/>
  <c r="F217" i="37"/>
  <c r="G217" i="37"/>
  <c r="F218" i="37"/>
  <c r="G218" i="37"/>
  <c r="F219" i="37"/>
  <c r="G219" i="37"/>
  <c r="F220" i="37"/>
  <c r="G220" i="37"/>
  <c r="F221" i="37"/>
  <c r="G221" i="37"/>
  <c r="F222" i="37"/>
  <c r="G222" i="37"/>
  <c r="F223" i="37"/>
  <c r="G223" i="37"/>
  <c r="F224" i="37"/>
  <c r="G224" i="37"/>
  <c r="D225" i="37"/>
  <c r="F225" i="37"/>
  <c r="G225" i="37"/>
  <c r="F226" i="37"/>
  <c r="G226" i="37"/>
  <c r="F227" i="37"/>
  <c r="G227" i="37"/>
  <c r="F228" i="37"/>
  <c r="G228" i="37"/>
  <c r="F229" i="37"/>
  <c r="G229" i="37"/>
  <c r="F230" i="37"/>
  <c r="G230" i="37"/>
  <c r="F231" i="37"/>
  <c r="D232" i="37"/>
  <c r="F232" i="37"/>
  <c r="G232" i="37"/>
  <c r="F233" i="37"/>
  <c r="G233" i="37"/>
  <c r="F234" i="37"/>
  <c r="G234" i="37"/>
  <c r="D235" i="37"/>
  <c r="F235" i="37"/>
  <c r="G235" i="37"/>
  <c r="F236" i="37"/>
  <c r="G236" i="37"/>
  <c r="F237" i="37"/>
  <c r="G237" i="37"/>
  <c r="F238" i="37"/>
  <c r="G238" i="37"/>
  <c r="F239" i="37"/>
  <c r="G239" i="37"/>
  <c r="F240" i="37"/>
  <c r="G240" i="37"/>
  <c r="F241" i="37"/>
  <c r="G241" i="37"/>
  <c r="F242" i="37"/>
  <c r="G242" i="37"/>
  <c r="F243" i="37"/>
  <c r="G243" i="37"/>
  <c r="F244" i="37"/>
  <c r="G244" i="37"/>
  <c r="F245" i="37"/>
  <c r="G245" i="37"/>
  <c r="F246" i="37"/>
  <c r="G246" i="37"/>
  <c r="D247" i="37"/>
  <c r="F247" i="37"/>
  <c r="G247" i="37"/>
  <c r="F248" i="37"/>
  <c r="G248" i="37"/>
  <c r="F249" i="37"/>
  <c r="G249" i="37"/>
  <c r="M4" i="33" l="1"/>
  <c r="E22" i="33"/>
  <c r="H22" i="33"/>
  <c r="G23" i="33"/>
  <c r="E38" i="33"/>
  <c r="F38" i="33"/>
  <c r="L65" i="33"/>
  <c r="J38" i="33"/>
  <c r="L66" i="33"/>
  <c r="E30" i="33"/>
  <c r="C30" i="33"/>
  <c r="K38" i="33"/>
  <c r="B38" i="33"/>
  <c r="I38" i="33"/>
  <c r="D30" i="33"/>
  <c r="H38" i="33"/>
  <c r="L56" i="33"/>
  <c r="M56" i="33" s="1"/>
  <c r="M57" i="33"/>
  <c r="G29" i="33"/>
  <c r="J30" i="33"/>
  <c r="E29" i="33"/>
  <c r="L51" i="33"/>
  <c r="H62" i="33" s="1"/>
  <c r="C38" i="33"/>
  <c r="H30" i="33"/>
  <c r="G30" i="33"/>
  <c r="F29" i="33"/>
  <c r="F30" i="33"/>
  <c r="D38" i="33"/>
  <c r="H23" i="33"/>
  <c r="F23" i="33"/>
  <c r="L23" i="33" s="1"/>
  <c r="M58" i="33"/>
  <c r="I30" i="33"/>
  <c r="J29" i="33"/>
  <c r="I29" i="33"/>
  <c r="C3" i="33"/>
  <c r="H29" i="33"/>
  <c r="B30" i="33"/>
  <c r="K22" i="33"/>
  <c r="L22" i="33" s="1"/>
  <c r="I22" i="33"/>
  <c r="M52" i="33"/>
  <c r="K29" i="33"/>
  <c r="B29" i="33"/>
  <c r="J23" i="33"/>
  <c r="I23" i="33"/>
  <c r="D29" i="33"/>
  <c r="I38" i="34"/>
  <c r="J30" i="34"/>
  <c r="H23" i="34"/>
  <c r="B22" i="34"/>
  <c r="L3" i="34"/>
  <c r="M3" i="34" s="1"/>
  <c r="L65" i="34"/>
  <c r="E38" i="34"/>
  <c r="K22" i="34"/>
  <c r="K38" i="34"/>
  <c r="L51" i="34"/>
  <c r="H62" i="34" s="1"/>
  <c r="K29" i="34"/>
  <c r="B29" i="34"/>
  <c r="I29" i="34"/>
  <c r="D38" i="34"/>
  <c r="C22" i="34"/>
  <c r="L4" i="34"/>
  <c r="M55" i="34"/>
  <c r="M54" i="34"/>
  <c r="L56" i="34"/>
  <c r="M56" i="34" s="1"/>
  <c r="M52" i="34" s="1"/>
  <c r="M57" i="34"/>
  <c r="F38" i="34"/>
  <c r="K30" i="34"/>
  <c r="B23" i="34"/>
  <c r="F30" i="34"/>
  <c r="C30" i="34"/>
  <c r="D30" i="34"/>
  <c r="F23" i="34"/>
  <c r="G22" i="34"/>
  <c r="F22" i="34"/>
  <c r="E22" i="34"/>
  <c r="H29" i="34"/>
  <c r="G38" i="34"/>
  <c r="D29" i="34"/>
  <c r="F29" i="34"/>
  <c r="J38" i="34"/>
  <c r="I23" i="34"/>
  <c r="E30" i="34"/>
  <c r="E23" i="34"/>
  <c r="G23" i="34"/>
  <c r="L66" i="34"/>
  <c r="M66" i="34" s="1"/>
  <c r="K30" i="35"/>
  <c r="D29" i="35"/>
  <c r="C30" i="35"/>
  <c r="H22" i="35"/>
  <c r="K38" i="35"/>
  <c r="C22" i="35"/>
  <c r="J22" i="35"/>
  <c r="E29" i="35"/>
  <c r="B22" i="35"/>
  <c r="F23" i="35"/>
  <c r="L65" i="35"/>
  <c r="E23" i="35"/>
  <c r="L23" i="35" s="1"/>
  <c r="I22" i="35"/>
  <c r="L4" i="35"/>
  <c r="M4" i="35" s="1"/>
  <c r="M55" i="35"/>
  <c r="I23" i="35"/>
  <c r="L51" i="35"/>
  <c r="H62" i="35" s="1"/>
  <c r="E30" i="35"/>
  <c r="F38" i="35"/>
  <c r="M54" i="35"/>
  <c r="L65" i="36"/>
  <c r="L51" i="36"/>
  <c r="H62" i="36" s="1"/>
  <c r="L22" i="36"/>
  <c r="L4" i="36"/>
  <c r="M4" i="36" s="1"/>
  <c r="M55" i="36"/>
  <c r="M66" i="36"/>
  <c r="L23" i="36"/>
  <c r="L56" i="36"/>
  <c r="M56" i="36" s="1"/>
  <c r="M57" i="36"/>
  <c r="K38" i="36"/>
  <c r="L53" i="36"/>
  <c r="M53" i="36" s="1"/>
  <c r="M52" i="36" s="1"/>
  <c r="L3" i="36"/>
  <c r="E5" i="40"/>
  <c r="F5" i="40"/>
  <c r="B12" i="40"/>
  <c r="C12" i="40"/>
  <c r="D12" i="40"/>
  <c r="D3" i="40"/>
  <c r="E3" i="40" s="1"/>
  <c r="E12" i="40"/>
  <c r="B11" i="40"/>
  <c r="F12" i="40"/>
  <c r="C11" i="40"/>
  <c r="G12" i="40"/>
  <c r="D11" i="40"/>
  <c r="H12" i="40"/>
  <c r="E11" i="40"/>
  <c r="I12" i="40"/>
  <c r="E4" i="40"/>
  <c r="G11" i="40"/>
  <c r="H11" i="40"/>
  <c r="M12" i="40"/>
  <c r="E5" i="39"/>
  <c r="E3" i="39"/>
  <c r="K11" i="39"/>
  <c r="J11" i="39"/>
  <c r="I11" i="39"/>
  <c r="B5" i="39"/>
  <c r="H11" i="39"/>
  <c r="K12" i="39"/>
  <c r="G11" i="39"/>
  <c r="F4" i="39"/>
  <c r="J12" i="39"/>
  <c r="F11" i="39"/>
  <c r="E4" i="39"/>
  <c r="I12" i="39"/>
  <c r="E11" i="39"/>
  <c r="H12" i="39"/>
  <c r="D11" i="39"/>
  <c r="C11" i="39"/>
  <c r="F12" i="39"/>
  <c r="E12" i="39"/>
  <c r="D11" i="38"/>
  <c r="H12" i="38"/>
  <c r="E11" i="38"/>
  <c r="I12" i="38"/>
  <c r="E4" i="38"/>
  <c r="F11" i="38"/>
  <c r="J12" i="38"/>
  <c r="F4" i="38"/>
  <c r="G11" i="38"/>
  <c r="K12" i="38"/>
  <c r="H11" i="38"/>
  <c r="K11" i="38"/>
  <c r="E5" i="38"/>
  <c r="B12" i="38"/>
  <c r="C12" i="38"/>
  <c r="D12" i="38"/>
  <c r="E5" i="37"/>
  <c r="E3" i="37"/>
  <c r="B12" i="37"/>
  <c r="K11" i="37"/>
  <c r="L16" i="37"/>
  <c r="J11" i="37"/>
  <c r="I11" i="37"/>
  <c r="B5" i="37"/>
  <c r="H11" i="37"/>
  <c r="K12" i="37"/>
  <c r="J12" i="37"/>
  <c r="E4" i="37"/>
  <c r="H12" i="37"/>
  <c r="D11" i="37"/>
  <c r="G12" i="37"/>
  <c r="C11" i="37"/>
  <c r="F12" i="37"/>
  <c r="M66" i="33" l="1"/>
  <c r="M65" i="33"/>
  <c r="L64" i="33"/>
  <c r="L22" i="34"/>
  <c r="L23" i="34"/>
  <c r="M4" i="34"/>
  <c r="M65" i="34"/>
  <c r="L64" i="34"/>
  <c r="L22" i="35"/>
  <c r="M3" i="35"/>
  <c r="M65" i="35"/>
  <c r="L64" i="35"/>
  <c r="M66" i="35"/>
  <c r="M3" i="36"/>
  <c r="M65" i="36"/>
  <c r="L64" i="36"/>
  <c r="L11" i="40"/>
  <c r="L12" i="40"/>
  <c r="F5" i="39"/>
  <c r="L12" i="39"/>
  <c r="L11" i="39"/>
  <c r="L12" i="38"/>
  <c r="F5" i="37"/>
  <c r="L12" i="37"/>
  <c r="L11" i="37"/>
  <c r="I23" i="13"/>
  <c r="F24" i="13"/>
  <c r="G24" i="13"/>
  <c r="G23" i="13"/>
  <c r="H23" i="13"/>
  <c r="H22" i="13"/>
  <c r="M64" i="33" l="1"/>
  <c r="D68" i="33"/>
  <c r="I67" i="33"/>
  <c r="E68" i="33"/>
  <c r="G68" i="33"/>
  <c r="J68" i="33"/>
  <c r="I68" i="33"/>
  <c r="C67" i="33"/>
  <c r="F68" i="33"/>
  <c r="K67" i="33"/>
  <c r="E67" i="33"/>
  <c r="J67" i="33"/>
  <c r="D67" i="33"/>
  <c r="H68" i="33"/>
  <c r="B67" i="33"/>
  <c r="K68" i="33"/>
  <c r="H67" i="33"/>
  <c r="F67" i="33"/>
  <c r="C68" i="33"/>
  <c r="B68" i="33"/>
  <c r="G67" i="33"/>
  <c r="M64" i="34"/>
  <c r="J67" i="34"/>
  <c r="J68" i="34"/>
  <c r="I67" i="34"/>
  <c r="H68" i="34"/>
  <c r="E67" i="34"/>
  <c r="G68" i="34"/>
  <c r="C68" i="34"/>
  <c r="F68" i="34"/>
  <c r="D67" i="34"/>
  <c r="C67" i="34"/>
  <c r="K67" i="34"/>
  <c r="I68" i="34"/>
  <c r="G67" i="34"/>
  <c r="B67" i="34"/>
  <c r="E68" i="34"/>
  <c r="F67" i="34"/>
  <c r="K68" i="34"/>
  <c r="H67" i="34"/>
  <c r="B68" i="34"/>
  <c r="D68" i="34"/>
  <c r="M64" i="35"/>
  <c r="I68" i="35"/>
  <c r="E67" i="35"/>
  <c r="C68" i="35"/>
  <c r="K68" i="35"/>
  <c r="H67" i="35"/>
  <c r="I67" i="35"/>
  <c r="G68" i="35"/>
  <c r="J67" i="35"/>
  <c r="D67" i="35"/>
  <c r="D68" i="35"/>
  <c r="F67" i="35"/>
  <c r="E68" i="35"/>
  <c r="H68" i="35"/>
  <c r="B68" i="35"/>
  <c r="J68" i="35"/>
  <c r="C67" i="35"/>
  <c r="G67" i="35"/>
  <c r="K67" i="35"/>
  <c r="F68" i="35"/>
  <c r="B67" i="35"/>
  <c r="M64" i="36"/>
  <c r="I68" i="36"/>
  <c r="E68" i="36"/>
  <c r="H67" i="36"/>
  <c r="E67" i="36"/>
  <c r="F68" i="36"/>
  <c r="J67" i="36"/>
  <c r="C68" i="36"/>
  <c r="H68" i="36"/>
  <c r="D67" i="36"/>
  <c r="K68" i="36"/>
  <c r="I67" i="36"/>
  <c r="B68" i="36"/>
  <c r="D68" i="36"/>
  <c r="G68" i="36"/>
  <c r="C67" i="36"/>
  <c r="J68" i="36"/>
  <c r="K67" i="36"/>
  <c r="B67" i="36"/>
  <c r="F67" i="36"/>
  <c r="G67" i="36"/>
  <c r="G22" i="13"/>
  <c r="M8" i="13" l="1"/>
  <c r="M10" i="13" l="1"/>
  <c r="M7" i="13"/>
  <c r="M9" i="13"/>
  <c r="F25" i="13" l="1"/>
  <c r="J25" i="13"/>
  <c r="I25" i="13"/>
  <c r="L25" i="13"/>
  <c r="K25" i="13"/>
  <c r="H25" i="13"/>
  <c r="E25" i="13"/>
  <c r="D25" i="13"/>
  <c r="J24" i="13"/>
  <c r="L24" i="13"/>
  <c r="K24" i="13"/>
  <c r="I24" i="13"/>
  <c r="H24" i="13"/>
  <c r="E24" i="13"/>
  <c r="D24" i="13"/>
  <c r="C24" i="13" l="1"/>
  <c r="G25" i="13"/>
  <c r="K23" i="13"/>
  <c r="J23" i="13"/>
  <c r="E23" i="13"/>
  <c r="C23" i="13" l="1"/>
  <c r="K22" i="13"/>
  <c r="F22" i="13"/>
  <c r="E22" i="13"/>
  <c r="I22" i="13"/>
  <c r="L22" i="13" l="1"/>
  <c r="L23" i="13"/>
  <c r="D22" i="13"/>
  <c r="M16" i="13"/>
  <c r="M17" i="13"/>
  <c r="C25" i="13"/>
  <c r="C22" i="13"/>
  <c r="M14" i="13" l="1"/>
  <c r="D23" i="13"/>
  <c r="M15" i="1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Jorge Medina</author>
    <author>Enrique Hernandez Cárdenas</author>
  </authors>
  <commentList>
    <comment ref="H38" authorId="0" shapeId="0" xr:uid="{1E1DBA28-513C-4DAC-A19F-9BE1754E0E4A}">
      <text>
        <r>
          <rPr>
            <b/>
            <sz val="9"/>
            <color indexed="81"/>
            <rFont val="Tahoma"/>
            <family val="2"/>
          </rPr>
          <t>Jorge Medina:</t>
        </r>
        <r>
          <rPr>
            <sz val="9"/>
            <color indexed="81"/>
            <rFont val="Tahoma"/>
            <family val="2"/>
          </rPr>
          <t xml:space="preserve">
chitre 
penonome 
santiago</t>
        </r>
      </text>
    </comment>
    <comment ref="H46" authorId="0" shapeId="0" xr:uid="{6CC785F6-336A-42F0-B3CE-0084D4C83330}">
      <text>
        <r>
          <rPr>
            <b/>
            <sz val="9"/>
            <color indexed="81"/>
            <rFont val="Tahoma"/>
            <family val="2"/>
          </rPr>
          <t>Jorge Medina:</t>
        </r>
        <r>
          <rPr>
            <sz val="9"/>
            <color indexed="81"/>
            <rFont val="Tahoma"/>
            <family val="2"/>
          </rPr>
          <t xml:space="preserve">
el torno
burunga
chorrera</t>
        </r>
      </text>
    </comment>
    <comment ref="H48" authorId="0" shapeId="0" xr:uid="{7184B914-9067-45DF-A735-1C4595C49181}">
      <text>
        <r>
          <rPr>
            <b/>
            <sz val="9"/>
            <color indexed="81"/>
            <rFont val="Tahoma"/>
            <family val="2"/>
          </rPr>
          <t>Jorge Medina:</t>
        </r>
        <r>
          <rPr>
            <sz val="9"/>
            <color indexed="81"/>
            <rFont val="Tahoma"/>
            <family val="2"/>
          </rPr>
          <t xml:space="preserve">
plaza italia</t>
        </r>
      </text>
    </comment>
    <comment ref="H59" authorId="0" shapeId="0" xr:uid="{1096597F-DC96-4E58-8A0F-D1E2F0E45C89}">
      <text>
        <r>
          <rPr>
            <b/>
            <sz val="9"/>
            <color indexed="81"/>
            <rFont val="Tahoma"/>
            <family val="2"/>
          </rPr>
          <t>Jorge Medina:</t>
        </r>
        <r>
          <rPr>
            <sz val="9"/>
            <color indexed="81"/>
            <rFont val="Tahoma"/>
            <family val="2"/>
          </rPr>
          <t xml:space="preserve">
Pzatoc
faro
costae
pgolf
dona
pzacar</t>
        </r>
      </text>
    </comment>
    <comment ref="H69" authorId="0" shapeId="0" xr:uid="{A47DB588-A77C-4D1D-8803-11C1174835FE}">
      <text>
        <r>
          <rPr>
            <b/>
            <sz val="9"/>
            <color indexed="81"/>
            <rFont val="Tahoma"/>
            <family val="2"/>
          </rPr>
          <t>Jorge Medina:</t>
        </r>
        <r>
          <rPr>
            <sz val="9"/>
            <color indexed="81"/>
            <rFont val="Tahoma"/>
            <family val="2"/>
          </rPr>
          <t xml:space="preserve">
Vporr
Ptapac
tmuert
albrook
Sanfco</t>
        </r>
      </text>
    </comment>
    <comment ref="H73" authorId="1" shapeId="0" xr:uid="{AC778A2E-D295-41CC-8733-35BA7662185F}">
      <text>
        <r>
          <rPr>
            <b/>
            <sz val="9"/>
            <color indexed="81"/>
            <rFont val="Tahoma"/>
            <family val="2"/>
          </rPr>
          <t>Enrique Hernandez Cárdenas:</t>
        </r>
        <r>
          <rPr>
            <sz val="9"/>
            <color indexed="81"/>
            <rFont val="Tahoma"/>
            <family val="2"/>
          </rPr>
          <t xml:space="preserve">
En el indicativo de demanda no aparece valores, se tomo en cuenta la información del periodo 2021-2029</t>
        </r>
      </text>
    </comment>
    <comment ref="H80" authorId="0" shapeId="0" xr:uid="{FCCAB3E6-11D5-4DC6-B7A9-44069F04CF54}">
      <text>
        <r>
          <rPr>
            <b/>
            <sz val="9"/>
            <color indexed="81"/>
            <rFont val="Tahoma"/>
            <family val="2"/>
          </rPr>
          <t>Jorge Medina:</t>
        </r>
        <r>
          <rPr>
            <sz val="9"/>
            <color indexed="81"/>
            <rFont val="Tahoma"/>
            <family val="2"/>
          </rPr>
          <t xml:space="preserve">
col2k
porto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Jorge Medina</author>
    <author>Enrique Hernandez Cárdenas</author>
  </authors>
  <commentList>
    <comment ref="H38" authorId="0" shapeId="0" xr:uid="{89519C6F-067D-430A-A15B-07E2BBD2935B}">
      <text>
        <r>
          <rPr>
            <b/>
            <sz val="9"/>
            <color indexed="81"/>
            <rFont val="Tahoma"/>
            <family val="2"/>
          </rPr>
          <t>Jorge Medina:</t>
        </r>
        <r>
          <rPr>
            <sz val="9"/>
            <color indexed="81"/>
            <rFont val="Tahoma"/>
            <family val="2"/>
          </rPr>
          <t xml:space="preserve">
chitre 
penonome 
santiago</t>
        </r>
      </text>
    </comment>
    <comment ref="H46" authorId="0" shapeId="0" xr:uid="{268CD277-61DF-4AB8-85D2-C4F8869FEBDF}">
      <text>
        <r>
          <rPr>
            <b/>
            <sz val="9"/>
            <color indexed="81"/>
            <rFont val="Tahoma"/>
            <family val="2"/>
          </rPr>
          <t>Jorge Medina:</t>
        </r>
        <r>
          <rPr>
            <sz val="9"/>
            <color indexed="81"/>
            <rFont val="Tahoma"/>
            <family val="2"/>
          </rPr>
          <t xml:space="preserve">
el torno
burunga
chorrera</t>
        </r>
      </text>
    </comment>
    <comment ref="H48" authorId="0" shapeId="0" xr:uid="{EEC6B343-EC5C-4565-A9A7-CE098B14A3DF}">
      <text>
        <r>
          <rPr>
            <b/>
            <sz val="9"/>
            <color indexed="81"/>
            <rFont val="Tahoma"/>
            <family val="2"/>
          </rPr>
          <t>Jorge Medina:</t>
        </r>
        <r>
          <rPr>
            <sz val="9"/>
            <color indexed="81"/>
            <rFont val="Tahoma"/>
            <family val="2"/>
          </rPr>
          <t xml:space="preserve">
plaza italia</t>
        </r>
      </text>
    </comment>
    <comment ref="H59" authorId="0" shapeId="0" xr:uid="{69117953-C988-419C-900B-B788B7DCA24B}">
      <text>
        <r>
          <rPr>
            <b/>
            <sz val="9"/>
            <color indexed="81"/>
            <rFont val="Tahoma"/>
            <family val="2"/>
          </rPr>
          <t>Jorge Medina:</t>
        </r>
        <r>
          <rPr>
            <sz val="9"/>
            <color indexed="81"/>
            <rFont val="Tahoma"/>
            <family val="2"/>
          </rPr>
          <t xml:space="preserve">
Pzatoc
faro
costae
pgolf
dona
pzacar</t>
        </r>
      </text>
    </comment>
    <comment ref="H69" authorId="0" shapeId="0" xr:uid="{8B8F7833-FCF6-49BA-B70C-D41D142698D4}">
      <text>
        <r>
          <rPr>
            <b/>
            <sz val="9"/>
            <color indexed="81"/>
            <rFont val="Tahoma"/>
            <family val="2"/>
          </rPr>
          <t>Jorge Medina:</t>
        </r>
        <r>
          <rPr>
            <sz val="9"/>
            <color indexed="81"/>
            <rFont val="Tahoma"/>
            <family val="2"/>
          </rPr>
          <t xml:space="preserve">
Vporr
Ptapac
tmuert
albrook
Sanfco</t>
        </r>
      </text>
    </comment>
    <comment ref="H73" authorId="1" shapeId="0" xr:uid="{D67DDFBA-097D-4E08-A5DC-47E689B60F0F}">
      <text>
        <r>
          <rPr>
            <b/>
            <sz val="9"/>
            <color indexed="81"/>
            <rFont val="Tahoma"/>
            <family val="2"/>
          </rPr>
          <t>Enrique Hernandez Cárdenas:</t>
        </r>
        <r>
          <rPr>
            <sz val="9"/>
            <color indexed="81"/>
            <rFont val="Tahoma"/>
            <family val="2"/>
          </rPr>
          <t xml:space="preserve">
En el indicativo de demanda no aparece valores, se tomo en cuenta la información del periodo 2021-2029</t>
        </r>
      </text>
    </comment>
    <comment ref="H80" authorId="0" shapeId="0" xr:uid="{F4F98CDC-88B2-46F0-B216-421513109568}">
      <text>
        <r>
          <rPr>
            <b/>
            <sz val="9"/>
            <color indexed="81"/>
            <rFont val="Tahoma"/>
            <family val="2"/>
          </rPr>
          <t>Jorge Medina:</t>
        </r>
        <r>
          <rPr>
            <sz val="9"/>
            <color indexed="81"/>
            <rFont val="Tahoma"/>
            <family val="2"/>
          </rPr>
          <t xml:space="preserve">
col2k
porto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Jorge Medina</author>
    <author>Enrique Hernandez Cárdenas</author>
  </authors>
  <commentList>
    <comment ref="H38" authorId="0" shapeId="0" xr:uid="{82BCE5A7-281C-430E-97FB-B6E940D2D612}">
      <text>
        <r>
          <rPr>
            <b/>
            <sz val="9"/>
            <color indexed="81"/>
            <rFont val="Tahoma"/>
            <family val="2"/>
          </rPr>
          <t>Jorge Medina:</t>
        </r>
        <r>
          <rPr>
            <sz val="9"/>
            <color indexed="81"/>
            <rFont val="Tahoma"/>
            <family val="2"/>
          </rPr>
          <t xml:space="preserve">
chitre 
penonome 
santiago</t>
        </r>
      </text>
    </comment>
    <comment ref="H46" authorId="0" shapeId="0" xr:uid="{492B5F12-6A64-4B00-99B2-9332D28D9A41}">
      <text>
        <r>
          <rPr>
            <b/>
            <sz val="9"/>
            <color indexed="81"/>
            <rFont val="Tahoma"/>
            <family val="2"/>
          </rPr>
          <t>Jorge Medina:</t>
        </r>
        <r>
          <rPr>
            <sz val="9"/>
            <color indexed="81"/>
            <rFont val="Tahoma"/>
            <family val="2"/>
          </rPr>
          <t xml:space="preserve">
el torno
burunga
chorrera</t>
        </r>
      </text>
    </comment>
    <comment ref="H48" authorId="0" shapeId="0" xr:uid="{162A8DF7-FEA2-4990-B07C-720EFC4DEB5D}">
      <text>
        <r>
          <rPr>
            <b/>
            <sz val="9"/>
            <color indexed="81"/>
            <rFont val="Tahoma"/>
            <family val="2"/>
          </rPr>
          <t>Jorge Medina:</t>
        </r>
        <r>
          <rPr>
            <sz val="9"/>
            <color indexed="81"/>
            <rFont val="Tahoma"/>
            <family val="2"/>
          </rPr>
          <t xml:space="preserve">
plaza italia</t>
        </r>
      </text>
    </comment>
    <comment ref="H59" authorId="0" shapeId="0" xr:uid="{A482CAC6-E5AD-4032-BEDC-4F7FAFC8F432}">
      <text>
        <r>
          <rPr>
            <b/>
            <sz val="9"/>
            <color indexed="81"/>
            <rFont val="Tahoma"/>
            <family val="2"/>
          </rPr>
          <t>Jorge Medina:</t>
        </r>
        <r>
          <rPr>
            <sz val="9"/>
            <color indexed="81"/>
            <rFont val="Tahoma"/>
            <family val="2"/>
          </rPr>
          <t xml:space="preserve">
Pzatoc
faro
costae
pgolf
dona
pzacar</t>
        </r>
      </text>
    </comment>
    <comment ref="H69" authorId="0" shapeId="0" xr:uid="{06ABC399-4288-440C-A2F0-5461D4D767B5}">
      <text>
        <r>
          <rPr>
            <b/>
            <sz val="9"/>
            <color indexed="81"/>
            <rFont val="Tahoma"/>
            <family val="2"/>
          </rPr>
          <t>Jorge Medina:</t>
        </r>
        <r>
          <rPr>
            <sz val="9"/>
            <color indexed="81"/>
            <rFont val="Tahoma"/>
            <family val="2"/>
          </rPr>
          <t xml:space="preserve">
Vporr
Ptapac
tmuert
albrook
Sanfco</t>
        </r>
      </text>
    </comment>
    <comment ref="H73" authorId="1" shapeId="0" xr:uid="{3D079CAE-BC5A-4FA7-AE62-504562C3731C}">
      <text>
        <r>
          <rPr>
            <b/>
            <sz val="9"/>
            <color indexed="81"/>
            <rFont val="Tahoma"/>
            <family val="2"/>
          </rPr>
          <t>Enrique Hernandez Cárdenas:</t>
        </r>
        <r>
          <rPr>
            <sz val="9"/>
            <color indexed="81"/>
            <rFont val="Tahoma"/>
            <family val="2"/>
          </rPr>
          <t xml:space="preserve">
En el indicativo de demanda no aparece valores, se tomo en cuenta la información del periodo 2021-2029</t>
        </r>
      </text>
    </comment>
    <comment ref="H80" authorId="0" shapeId="0" xr:uid="{B1D6E0BF-D573-4BE2-A614-5FAC027DBC1D}">
      <text>
        <r>
          <rPr>
            <b/>
            <sz val="9"/>
            <color indexed="81"/>
            <rFont val="Tahoma"/>
            <family val="2"/>
          </rPr>
          <t>Jorge Medina:</t>
        </r>
        <r>
          <rPr>
            <sz val="9"/>
            <color indexed="81"/>
            <rFont val="Tahoma"/>
            <family val="2"/>
          </rPr>
          <t xml:space="preserve">
col2k
porto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Jorge Medina</author>
    <author>Enrique Hernandez Cárdenas</author>
  </authors>
  <commentList>
    <comment ref="H38" authorId="0" shapeId="0" xr:uid="{5A829D05-358E-4080-B28E-18ABA7CBC783}">
      <text>
        <r>
          <rPr>
            <b/>
            <sz val="9"/>
            <color indexed="81"/>
            <rFont val="Tahoma"/>
            <family val="2"/>
          </rPr>
          <t>Jorge Medina:</t>
        </r>
        <r>
          <rPr>
            <sz val="9"/>
            <color indexed="81"/>
            <rFont val="Tahoma"/>
            <family val="2"/>
          </rPr>
          <t xml:space="preserve">
chitre 
penonome 
santiago</t>
        </r>
      </text>
    </comment>
    <comment ref="H46" authorId="0" shapeId="0" xr:uid="{76AE56A6-03C8-4B38-A154-B3A8CED621D7}">
      <text>
        <r>
          <rPr>
            <b/>
            <sz val="9"/>
            <color indexed="81"/>
            <rFont val="Tahoma"/>
            <family val="2"/>
          </rPr>
          <t>Jorge Medina:</t>
        </r>
        <r>
          <rPr>
            <sz val="9"/>
            <color indexed="81"/>
            <rFont val="Tahoma"/>
            <family val="2"/>
          </rPr>
          <t xml:space="preserve">
el torno
burunga
chorrera</t>
        </r>
      </text>
    </comment>
    <comment ref="H48" authorId="0" shapeId="0" xr:uid="{6DD01FD4-F62E-4253-AFCC-3FCE27116B5A}">
      <text>
        <r>
          <rPr>
            <b/>
            <sz val="9"/>
            <color indexed="81"/>
            <rFont val="Tahoma"/>
            <family val="2"/>
          </rPr>
          <t>Jorge Medina:</t>
        </r>
        <r>
          <rPr>
            <sz val="9"/>
            <color indexed="81"/>
            <rFont val="Tahoma"/>
            <family val="2"/>
          </rPr>
          <t xml:space="preserve">
plaza italia</t>
        </r>
      </text>
    </comment>
    <comment ref="H59" authorId="0" shapeId="0" xr:uid="{A792A4CD-EA51-4D60-8DA2-CE1709E65ACA}">
      <text>
        <r>
          <rPr>
            <b/>
            <sz val="9"/>
            <color indexed="81"/>
            <rFont val="Tahoma"/>
            <family val="2"/>
          </rPr>
          <t>Jorge Medina:</t>
        </r>
        <r>
          <rPr>
            <sz val="9"/>
            <color indexed="81"/>
            <rFont val="Tahoma"/>
            <family val="2"/>
          </rPr>
          <t xml:space="preserve">
Pzatoc
faro
costae
pgolf
dona
pzacar</t>
        </r>
      </text>
    </comment>
    <comment ref="H69" authorId="0" shapeId="0" xr:uid="{3E5F363E-C389-4AE6-981A-6698D16BF905}">
      <text>
        <r>
          <rPr>
            <b/>
            <sz val="9"/>
            <color indexed="81"/>
            <rFont val="Tahoma"/>
            <family val="2"/>
          </rPr>
          <t>Jorge Medina:</t>
        </r>
        <r>
          <rPr>
            <sz val="9"/>
            <color indexed="81"/>
            <rFont val="Tahoma"/>
            <family val="2"/>
          </rPr>
          <t xml:space="preserve">
Vporr
Ptapac
tmuert
albrook
Sanfco</t>
        </r>
      </text>
    </comment>
    <comment ref="H73" authorId="1" shapeId="0" xr:uid="{BED49D3C-9AF1-463E-9B64-13FD86103163}">
      <text>
        <r>
          <rPr>
            <b/>
            <sz val="9"/>
            <color indexed="81"/>
            <rFont val="Tahoma"/>
            <family val="2"/>
          </rPr>
          <t>Enrique Hernandez Cárdenas:</t>
        </r>
        <r>
          <rPr>
            <sz val="9"/>
            <color indexed="81"/>
            <rFont val="Tahoma"/>
            <family val="2"/>
          </rPr>
          <t xml:space="preserve">
En el indicativo de demanda no aparece valores, se tomo en cuenta la información del periodo 2021-2029</t>
        </r>
      </text>
    </comment>
    <comment ref="H80" authorId="0" shapeId="0" xr:uid="{182B5585-72CF-4B3F-8D40-6214CEEBB9A8}">
      <text>
        <r>
          <rPr>
            <b/>
            <sz val="9"/>
            <color indexed="81"/>
            <rFont val="Tahoma"/>
            <family val="2"/>
          </rPr>
          <t>Jorge Medina:</t>
        </r>
        <r>
          <rPr>
            <sz val="9"/>
            <color indexed="81"/>
            <rFont val="Tahoma"/>
            <family val="2"/>
          </rPr>
          <t xml:space="preserve">
col2k
porto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MES</author>
  </authors>
  <commentList>
    <comment ref="B3" authorId="0" shapeId="0" xr:uid="{5A860B6E-88DA-4037-9FDD-07AF48887D14}">
      <text>
        <r>
          <rPr>
            <sz val="9"/>
            <color indexed="81"/>
            <rFont val="Tahoma"/>
            <family val="2"/>
          </rPr>
          <t>Se actualiza desde "1. DatosFijos.xls"</t>
        </r>
      </text>
    </comment>
    <comment ref="B7" authorId="0" shapeId="0" xr:uid="{44F5039D-802D-47C2-8091-56B021CCDB17}">
      <text>
        <r>
          <rPr>
            <sz val="9"/>
            <color indexed="81"/>
            <rFont val="Tahoma"/>
            <family val="2"/>
          </rPr>
          <t>Se actualiza desde "1. DatosFijos.xls"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MES</author>
  </authors>
  <commentList>
    <comment ref="B3" authorId="0" shapeId="0" xr:uid="{593C9F58-1961-4A86-B226-30E9A6AFEB4D}">
      <text>
        <r>
          <rPr>
            <sz val="9"/>
            <color indexed="81"/>
            <rFont val="Tahoma"/>
            <family val="2"/>
          </rPr>
          <t>Se actualiza desde "1. DatosFijos.xls"</t>
        </r>
      </text>
    </comment>
    <comment ref="B7" authorId="0" shapeId="0" xr:uid="{099577DB-81DC-45EE-92B3-94506615A5DE}">
      <text>
        <r>
          <rPr>
            <sz val="9"/>
            <color indexed="81"/>
            <rFont val="Tahoma"/>
            <family val="2"/>
          </rPr>
          <t>Se actualiza desde "1. DatosFijos.xls"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MES</author>
  </authors>
  <commentList>
    <comment ref="B3" authorId="0" shapeId="0" xr:uid="{6F2F6560-4862-487B-8DD8-97F911F9C9E0}">
      <text>
        <r>
          <rPr>
            <sz val="9"/>
            <color indexed="81"/>
            <rFont val="Tahoma"/>
            <family val="2"/>
          </rPr>
          <t>Se actualiza desde "1. DatosFijos.xls"</t>
        </r>
      </text>
    </comment>
    <comment ref="B7" authorId="0" shapeId="0" xr:uid="{687C0027-372B-4062-8F01-153714CCAEA4}">
      <text>
        <r>
          <rPr>
            <sz val="9"/>
            <color indexed="81"/>
            <rFont val="Tahoma"/>
            <family val="2"/>
          </rPr>
          <t>Se actualiza desde "1. DatosFijos.xls"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MES</author>
  </authors>
  <commentList>
    <comment ref="B3" authorId="0" shapeId="0" xr:uid="{1624B2E0-3BA0-435A-B8C6-1B0655CB7F61}">
      <text>
        <r>
          <rPr>
            <sz val="9"/>
            <color indexed="81"/>
            <rFont val="Tahoma"/>
            <family val="2"/>
          </rPr>
          <t>Se actualiza desde "1. DatosFijos.xls"</t>
        </r>
      </text>
    </comment>
    <comment ref="B7" authorId="0" shapeId="0" xr:uid="{C1033C55-26FB-40B4-B494-ACF4A28A1FEA}">
      <text>
        <r>
          <rPr>
            <sz val="9"/>
            <color indexed="81"/>
            <rFont val="Tahoma"/>
            <family val="2"/>
          </rPr>
          <t>Se actualiza desde "1. DatosFijos.xls"</t>
        </r>
      </text>
    </comment>
  </commentList>
</comments>
</file>

<file path=xl/sharedStrings.xml><?xml version="1.0" encoding="utf-8"?>
<sst xmlns="http://schemas.openxmlformats.org/spreadsheetml/2006/main" count="1764" uniqueCount="368">
  <si>
    <t>Año Tarifario:</t>
  </si>
  <si>
    <t>IPSPA: Nuevas Inversiones (por Estampilla Postal)</t>
  </si>
  <si>
    <t>IPSPEGyD  (k B/.)</t>
  </si>
  <si>
    <t>Longitud  (km)</t>
  </si>
  <si>
    <t>CU</t>
  </si>
  <si>
    <t>Total:</t>
  </si>
  <si>
    <t>(kB/./km)</t>
  </si>
  <si>
    <t>IPSPAGyD:</t>
  </si>
  <si>
    <t>(k B/.)</t>
  </si>
  <si>
    <t>%ASIGP (G) =</t>
  </si>
  <si>
    <t xml:space="preserve">230 kV </t>
  </si>
  <si>
    <t>%ASIGP (D) =</t>
  </si>
  <si>
    <t xml:space="preserve">115 kV </t>
  </si>
  <si>
    <r>
      <rPr>
        <b/>
        <i/>
        <sz val="10"/>
        <color indexed="63"/>
        <rFont val="Times New Roman"/>
        <family val="1"/>
      </rPr>
      <t>Energía Estimada</t>
    </r>
    <r>
      <rPr>
        <i/>
        <sz val="10"/>
        <color indexed="63"/>
        <rFont val="Times New Roman"/>
        <family val="1"/>
      </rPr>
      <t xml:space="preserve"> (indicativo demanda) =</t>
    </r>
  </si>
  <si>
    <t>(GWh)</t>
  </si>
  <si>
    <t>IPSPED (k B/.):</t>
  </si>
  <si>
    <t>IPSPAD:</t>
  </si>
  <si>
    <t>Generación =</t>
  </si>
  <si>
    <r>
      <t xml:space="preserve">Capacidad instalada de generación </t>
    </r>
    <r>
      <rPr>
        <sz val="10"/>
        <color indexed="56"/>
        <rFont val="Times New Roman"/>
        <family val="1"/>
      </rPr>
      <t xml:space="preserve">(Pinst) y </t>
    </r>
    <r>
      <rPr>
        <b/>
        <sz val="10"/>
        <color indexed="56"/>
        <rFont val="Times New Roman"/>
        <family val="1"/>
      </rPr>
      <t>Demanda máxima no coincidente</t>
    </r>
    <r>
      <rPr>
        <sz val="10"/>
        <color indexed="56"/>
        <rFont val="Times New Roman"/>
        <family val="1"/>
      </rPr>
      <t xml:space="preserve"> prevista anual (Pma) en MW por Zona</t>
    </r>
  </si>
  <si>
    <t>ZONA</t>
  </si>
  <si>
    <t>Total</t>
  </si>
  <si>
    <t>Pinst (G)</t>
  </si>
  <si>
    <t>Pma (D)</t>
  </si>
  <si>
    <t xml:space="preserve">   Capacidad Instalada  (MW)</t>
  </si>
  <si>
    <t xml:space="preserve">   Demanda Máxima No Coincidente  (MW)</t>
  </si>
  <si>
    <t>Zona</t>
  </si>
  <si>
    <t>Nodo</t>
  </si>
  <si>
    <t>Mes de Ingreso</t>
  </si>
  <si>
    <t>Baitún</t>
  </si>
  <si>
    <t>EDECHI</t>
  </si>
  <si>
    <t>Bajo de Mina</t>
  </si>
  <si>
    <t>Progreso T1 y T2</t>
  </si>
  <si>
    <t>La Potra</t>
  </si>
  <si>
    <t>Charco Azul</t>
  </si>
  <si>
    <t>Salsipuedes</t>
  </si>
  <si>
    <t>…</t>
  </si>
  <si>
    <t xml:space="preserve">San Andrés </t>
  </si>
  <si>
    <t>Caldera 115-19</t>
  </si>
  <si>
    <t>Mata Nance 34-9</t>
  </si>
  <si>
    <t xml:space="preserve">Mata Nance 34-10/11/15 </t>
  </si>
  <si>
    <t>EDEMET</t>
  </si>
  <si>
    <t>Llano Sánchez y El Higo</t>
  </si>
  <si>
    <t>GRANDES CLIENTES</t>
  </si>
  <si>
    <t>Fortuna</t>
  </si>
  <si>
    <t>Super 99</t>
  </si>
  <si>
    <t>Varela (Fábrica de Pesé)</t>
  </si>
  <si>
    <t>Gualaca</t>
  </si>
  <si>
    <t>sunstar</t>
  </si>
  <si>
    <t>Lorena</t>
  </si>
  <si>
    <t>MINERA PANAMá</t>
  </si>
  <si>
    <t>Prudencia</t>
  </si>
  <si>
    <t>Minera Panamá</t>
  </si>
  <si>
    <t>La Estrella</t>
  </si>
  <si>
    <t>Panamá Oeste</t>
  </si>
  <si>
    <t>Los Valles</t>
  </si>
  <si>
    <t>Mendre</t>
  </si>
  <si>
    <t>Cochea</t>
  </si>
  <si>
    <t>Cemento Interoceánico</t>
  </si>
  <si>
    <t>Mendre II</t>
  </si>
  <si>
    <t>Algarrobos</t>
  </si>
  <si>
    <t>ENSA</t>
  </si>
  <si>
    <t>Panamá</t>
  </si>
  <si>
    <t>Concepción</t>
  </si>
  <si>
    <t>Panamá 2</t>
  </si>
  <si>
    <t>Macano</t>
  </si>
  <si>
    <t>24 de Diciembre</t>
  </si>
  <si>
    <t>Paso Ancho</t>
  </si>
  <si>
    <t>RP-490</t>
  </si>
  <si>
    <t>CEMEX</t>
  </si>
  <si>
    <t>Contraloría</t>
  </si>
  <si>
    <t>Las Perlas Norte</t>
  </si>
  <si>
    <t>Las Perlas Sur</t>
  </si>
  <si>
    <t>AVIPAC</t>
  </si>
  <si>
    <t>San Lorenzo</t>
  </si>
  <si>
    <t>Embajada de Estados Unidos</t>
  </si>
  <si>
    <t>Monte Lirio</t>
  </si>
  <si>
    <t>CSS (CHAAM)</t>
  </si>
  <si>
    <t xml:space="preserve">Pando </t>
  </si>
  <si>
    <t>Varela (Cía. Panameña de Licores)</t>
  </si>
  <si>
    <t>Bugaba I</t>
  </si>
  <si>
    <t>El Alto</t>
  </si>
  <si>
    <t>Bajo del Totumo</t>
  </si>
  <si>
    <t>Bayano (Cañitas-Aserradero)</t>
  </si>
  <si>
    <t xml:space="preserve">Las Cruces </t>
  </si>
  <si>
    <t>Barro Blanco</t>
  </si>
  <si>
    <t>Colón</t>
  </si>
  <si>
    <t>La Cuchilla</t>
  </si>
  <si>
    <t>ECO GROOVE INVESTMENT, INC.</t>
  </si>
  <si>
    <t>Argos Panamá, S.A.</t>
  </si>
  <si>
    <t>RP-550</t>
  </si>
  <si>
    <t>La Yeguada</t>
  </si>
  <si>
    <t>Panam</t>
  </si>
  <si>
    <t>Pacora</t>
  </si>
  <si>
    <t>Bayano</t>
  </si>
  <si>
    <t xml:space="preserve">BLM </t>
  </si>
  <si>
    <t>Cativá</t>
  </si>
  <si>
    <t>Termo-Colón Ciclo Combinado</t>
  </si>
  <si>
    <t>Costa Norte</t>
  </si>
  <si>
    <t>TROPITÉRMICA</t>
  </si>
  <si>
    <t>Changuinola</t>
  </si>
  <si>
    <t>Bonyic</t>
  </si>
  <si>
    <t>AT2</t>
  </si>
  <si>
    <t>AT3</t>
  </si>
  <si>
    <t>AT4</t>
  </si>
  <si>
    <t xml:space="preserve">El coco </t>
  </si>
  <si>
    <t>PRELIMINARES ( a la espera de ser aprobado el Pliego Tarifario)</t>
  </si>
  <si>
    <t>Según Resolución AN No. 8068-Elec del 20 de noviembre de 2014</t>
  </si>
  <si>
    <t>Ingreso Total Previsto por CUSPT (Seguimiento Eléctrico + Estampilla Postal)  [ kB/. ]</t>
  </si>
  <si>
    <t>Zona:</t>
  </si>
  <si>
    <t>AT1</t>
  </si>
  <si>
    <t>GEN</t>
  </si>
  <si>
    <t>Capacidad Instalada de Generación (Cinst) [ MW ]</t>
  </si>
  <si>
    <t xml:space="preserve"> Cinst (G)</t>
  </si>
  <si>
    <t>CARGOS EQUIVALENTES PRELIMINARES</t>
  </si>
  <si>
    <t>CUSPT equivalentes  [ B/. / kW-mes ]</t>
  </si>
  <si>
    <t>CUP</t>
  </si>
  <si>
    <t>IPSPED:</t>
  </si>
  <si>
    <t>Mes Tarifario:</t>
  </si>
  <si>
    <t>M01</t>
  </si>
  <si>
    <t>M02</t>
  </si>
  <si>
    <t>M03</t>
  </si>
  <si>
    <t>M04</t>
  </si>
  <si>
    <t>M05</t>
  </si>
  <si>
    <t>M06</t>
  </si>
  <si>
    <t>M07</t>
  </si>
  <si>
    <t>M08</t>
  </si>
  <si>
    <t>M09</t>
  </si>
  <si>
    <t>M10</t>
  </si>
  <si>
    <t>M11</t>
  </si>
  <si>
    <t>M12</t>
  </si>
  <si>
    <t>Jul</t>
  </si>
  <si>
    <t>Ago</t>
  </si>
  <si>
    <t>Sep</t>
  </si>
  <si>
    <t>Oct</t>
  </si>
  <si>
    <t>Nov</t>
  </si>
  <si>
    <t>Dic</t>
  </si>
  <si>
    <t>Ene</t>
  </si>
  <si>
    <t>Feb</t>
  </si>
  <si>
    <t>Mar</t>
  </si>
  <si>
    <t>Abr</t>
  </si>
  <si>
    <t>May</t>
  </si>
  <si>
    <t>Jun</t>
  </si>
  <si>
    <t>Periodo Est.:</t>
  </si>
  <si>
    <t>Lluv.</t>
  </si>
  <si>
    <t>Seco</t>
  </si>
  <si>
    <t>Te (Hs/Mes):</t>
  </si>
  <si>
    <t>Te / 8760 =</t>
  </si>
  <si>
    <t>Principales Referencias</t>
  </si>
  <si>
    <t>Progreso Baitún</t>
  </si>
  <si>
    <t>Fortuna Guasquitas</t>
  </si>
  <si>
    <t>Caldera L.Estrella</t>
  </si>
  <si>
    <t>Mata Nance Boquerón 3</t>
  </si>
  <si>
    <t>Ll.Sánchez   El Higo</t>
  </si>
  <si>
    <t>Chorrera      Pan-Am</t>
  </si>
  <si>
    <t>Panamá Pacora</t>
  </si>
  <si>
    <t>Bayano Cañitas</t>
  </si>
  <si>
    <t>T.Colón L.Minas</t>
  </si>
  <si>
    <t>Changinola Cañazas</t>
  </si>
  <si>
    <t>Capacidad instalada de generación (Cinst) y Demanda máxima no coincidente prevista anual (Pma) en MW por Zona</t>
  </si>
  <si>
    <t>Cinst (G)</t>
  </si>
  <si>
    <t>Despacho de potencia promedio anual previsto (MW)</t>
  </si>
  <si>
    <t>Pg (G)</t>
  </si>
  <si>
    <t>Pd (D)</t>
  </si>
  <si>
    <t>Despacho de energia anual previsto por zona (GWh)</t>
  </si>
  <si>
    <t>Eg (G)</t>
  </si>
  <si>
    <t>Ed (D)</t>
  </si>
  <si>
    <r>
      <rPr>
        <b/>
        <sz val="10"/>
        <rFont val="Times New Roman"/>
        <family val="1"/>
      </rPr>
      <t>CXUSOPS  (B/. / MWh)</t>
    </r>
    <r>
      <rPr>
        <sz val="10"/>
        <rFont val="Times New Roman"/>
        <family val="1"/>
      </rPr>
      <t>:  Seg. Electrico x uso red</t>
    </r>
  </si>
  <si>
    <t>DEM</t>
  </si>
  <si>
    <r>
      <rPr>
        <b/>
        <sz val="10"/>
        <rFont val="Times New Roman"/>
        <family val="1"/>
      </rPr>
      <t>CXUSOPE  (B/. / kW)</t>
    </r>
    <r>
      <rPr>
        <sz val="10"/>
        <rFont val="Times New Roman"/>
        <family val="1"/>
      </rPr>
      <t>:  Est. Postal x capacidad remanente</t>
    </r>
  </si>
  <si>
    <t>GEN =</t>
  </si>
  <si>
    <t>DEM =</t>
  </si>
  <si>
    <r>
      <rPr>
        <b/>
        <sz val="10"/>
        <rFont val="Times New Roman"/>
        <family val="1"/>
      </rPr>
      <t>CXCADIC  (B/. / kW)</t>
    </r>
    <r>
      <rPr>
        <sz val="10"/>
        <rFont val="Times New Roman"/>
        <family val="1"/>
      </rPr>
      <t>:  Est. Postal x no pago zonas 6, 7 y 9</t>
    </r>
  </si>
  <si>
    <r>
      <rPr>
        <b/>
        <sz val="10"/>
        <rFont val="Times New Roman"/>
        <family val="1"/>
      </rPr>
      <t>CXUSODS  (B/. / MWh)</t>
    </r>
    <r>
      <rPr>
        <sz val="10"/>
        <rFont val="Times New Roman"/>
        <family val="1"/>
      </rPr>
      <t>:  Seg. Electrico x uso equipamiento asociado totalmente a la demanda</t>
    </r>
  </si>
  <si>
    <r>
      <rPr>
        <b/>
        <sz val="10"/>
        <rFont val="Times New Roman"/>
        <family val="1"/>
      </rPr>
      <t>CXUSODE  (B/. / kW)</t>
    </r>
    <r>
      <rPr>
        <sz val="10"/>
        <rFont val="Times New Roman"/>
        <family val="1"/>
      </rPr>
      <t>:  Est. Postal x equipamiento asociado totalmente a la demanda</t>
    </r>
  </si>
  <si>
    <t>TOTAL  CXUSO_S  (B/. / MWh):  Seg. Electrico</t>
  </si>
  <si>
    <t>TOTAL  CXUSO_E  (B/. / kW - año):  Est. Postal</t>
  </si>
  <si>
    <t>Recaudación prevista por cargos  (kB/.)</t>
  </si>
  <si>
    <t>CXUSOPS :  Seg. Electrico x uso red</t>
  </si>
  <si>
    <t>CXUSOPE:  Est. Postal x capacidad remanente</t>
  </si>
  <si>
    <t>CXUSOD:  cargos x equipamiento asociado totalmente a la demanda</t>
  </si>
  <si>
    <t>Seg.Elec.</t>
  </si>
  <si>
    <t>Est.Post.</t>
  </si>
  <si>
    <t>CADIC:  monto anual zonas 6, 7 y 9 equivalente al cargo adicional =</t>
  </si>
  <si>
    <t>TOTAL  (kB/.)</t>
  </si>
  <si>
    <t>(230 kV)</t>
  </si>
  <si>
    <t>GRANDES CLIENTES ENSA</t>
  </si>
  <si>
    <t>GRANDES CLIENTES EDEMET</t>
  </si>
  <si>
    <t xml:space="preserve">Pedregalito + Pedregalito I Unidad 4 </t>
  </si>
  <si>
    <t>*Madre Vieja</t>
  </si>
  <si>
    <t>*Sol de David</t>
  </si>
  <si>
    <t>*Solar Caldera</t>
  </si>
  <si>
    <t xml:space="preserve">*Fotovoltaica Ecosolar </t>
  </si>
  <si>
    <t xml:space="preserve">*Fotovoltaica Ecosolar 2 </t>
  </si>
  <si>
    <t>*La Esperanza solar</t>
  </si>
  <si>
    <t xml:space="preserve">Estí </t>
  </si>
  <si>
    <t>*Central Solar La Hueca</t>
  </si>
  <si>
    <t xml:space="preserve">Bugaba II </t>
  </si>
  <si>
    <t xml:space="preserve">Los Planetas II </t>
  </si>
  <si>
    <t>*Solar Chiriquí</t>
  </si>
  <si>
    <t>* Ikako</t>
  </si>
  <si>
    <t>*Ikako I</t>
  </si>
  <si>
    <t>* Ikako II</t>
  </si>
  <si>
    <t>* Ikako III</t>
  </si>
  <si>
    <t xml:space="preserve">*Caoba Solar </t>
  </si>
  <si>
    <t>*Cedro Solar</t>
  </si>
  <si>
    <t xml:space="preserve"> *ECOENER RENOVABLE PANAMA, S.A</t>
  </si>
  <si>
    <t>(E) Los Planetas</t>
  </si>
  <si>
    <t xml:space="preserve">(E)Macho de Monte </t>
  </si>
  <si>
    <t>Cañazas</t>
  </si>
  <si>
    <t xml:space="preserve">(E)Dolega </t>
  </si>
  <si>
    <t>*(E)Solar Bugaba</t>
  </si>
  <si>
    <t>*(E)Macano Solar</t>
  </si>
  <si>
    <t>(E)Andreas Power</t>
  </si>
  <si>
    <t>El Fraile + El Fraile Und 3</t>
  </si>
  <si>
    <t xml:space="preserve">**Marañón </t>
  </si>
  <si>
    <t xml:space="preserve">**Rosa de los vientos  </t>
  </si>
  <si>
    <t xml:space="preserve">**Portobelo </t>
  </si>
  <si>
    <t xml:space="preserve">**Rosa de los Vientos Etapa II </t>
  </si>
  <si>
    <t xml:space="preserve">*Parque Solar Penonomé </t>
  </si>
  <si>
    <t>*Don Felix + Don Felix Et2</t>
  </si>
  <si>
    <t>*Solar Divisa</t>
  </si>
  <si>
    <t xml:space="preserve">*Farallón Solar </t>
  </si>
  <si>
    <t xml:space="preserve">*Coclé Solar  </t>
  </si>
  <si>
    <t>*Solar Paris</t>
  </si>
  <si>
    <t xml:space="preserve">*Sol Real </t>
  </si>
  <si>
    <t xml:space="preserve">*El Espinal </t>
  </si>
  <si>
    <t xml:space="preserve">*Vista Alegre </t>
  </si>
  <si>
    <t>*Milton Solar</t>
  </si>
  <si>
    <t xml:space="preserve">*Pocrí </t>
  </si>
  <si>
    <t>*PANASOLAR</t>
  </si>
  <si>
    <t>*Mayorca Solar (AES)</t>
  </si>
  <si>
    <t>*Solar Pesé (AES)</t>
  </si>
  <si>
    <t xml:space="preserve">El Fraile II </t>
  </si>
  <si>
    <t xml:space="preserve">* Los santos solar </t>
  </si>
  <si>
    <t xml:space="preserve">*Progresovidencia Solar 1 </t>
  </si>
  <si>
    <t xml:space="preserve">*SOLAR ENERGY PARK ENTERPRISES, INC. </t>
  </si>
  <si>
    <t>*Oro solar</t>
  </si>
  <si>
    <t xml:space="preserve">*MEGA SOLAR POWER GENERATION, S.A. </t>
  </si>
  <si>
    <t xml:space="preserve">*(E)El Fraile Solar 1 </t>
  </si>
  <si>
    <t xml:space="preserve">*Estrella Solar </t>
  </si>
  <si>
    <t>*fotovoltaica SANTIAGO GEN</t>
  </si>
  <si>
    <t xml:space="preserve">*(E)Daconan Solar </t>
  </si>
  <si>
    <t>*(E)TG4</t>
  </si>
  <si>
    <t>*Panasolar II</t>
  </si>
  <si>
    <t xml:space="preserve">*Panasolar III </t>
  </si>
  <si>
    <t>(E) Antón</t>
  </si>
  <si>
    <t xml:space="preserve">Miraflores  </t>
  </si>
  <si>
    <t xml:space="preserve">*(E)Pacora 2. </t>
  </si>
  <si>
    <t>Sparkle Power</t>
  </si>
  <si>
    <t xml:space="preserve">C.T. Gatún </t>
  </si>
  <si>
    <t>CELSIA CENTROAMÉRICA, S.A. (Cativa)</t>
  </si>
  <si>
    <t>CELSIA CENTROAMÉRICA, S.A. (9 de enero Unidad 8)</t>
  </si>
  <si>
    <t>CELSIA CENTROAMÉRICA, S.A. (9 de enero J. Brown G6)</t>
  </si>
  <si>
    <t>AVANZALIA PANAMA, S.A (PV Penonomé  2)</t>
  </si>
  <si>
    <t>*(E)Fotovoltaica zona franca de Albrook.</t>
  </si>
  <si>
    <t>ENERGY GREEN CORPORATION, S.A.</t>
  </si>
  <si>
    <t>LUZ ENERGY INTERNATIONAL CORP., S.A.</t>
  </si>
  <si>
    <t>SOLAR GREEN, S.A.</t>
  </si>
  <si>
    <t>AES PANAMÁ S.R.L (VERANERA)</t>
  </si>
  <si>
    <t>AES PANAMÁ S.R.L (Flamboyán)</t>
  </si>
  <si>
    <t>CARMALENGO INVESTMENT CORP. (Forsun Solar)</t>
  </si>
  <si>
    <t xml:space="preserve">ALMACENADORA SOLAR PANAMA OESTE, S.A. </t>
  </si>
  <si>
    <t>ARGENTUM SOLAR, S.A. (PV La Cantera)</t>
  </si>
  <si>
    <t>ARGENTUM SOLAR, S.A. (Cacao Solar)</t>
  </si>
  <si>
    <t>CLEAN ENERGY SANTA CRUZ CORP.</t>
  </si>
  <si>
    <t>GENERADORA BRILLO SOLAR, S.A.</t>
  </si>
  <si>
    <t>(E)MASPV PANAMA INC. (SUNRISE MASPV2)</t>
  </si>
  <si>
    <t>TINTO SOLAR, S.A. (Fotolvotaica Chame Solar)</t>
  </si>
  <si>
    <t>ECOENER FOTOVOLTAICA PANAMÁ, S.A. (San Juan)</t>
  </si>
  <si>
    <t>(E)MASPV PANAMA INC. (SUNRISE MASPV1)</t>
  </si>
  <si>
    <t xml:space="preserve">*(E)ELECTRICIDAD SOLAR, S.A. (Mendosa solar) </t>
  </si>
  <si>
    <t>*(E)CONCEPTO SOLAR, S.A. (Bejuco Solar)</t>
  </si>
  <si>
    <t>PANAMA SOLAR INTEGRAL (PV Cotaba Solar (Fase 2)</t>
  </si>
  <si>
    <t>PARQUE EÓLICO TOABRÉ, S.A. (Toabré Etapa 3)</t>
  </si>
  <si>
    <t>PARQUE EÓLICO TOABRÉ, S.A. (Toabré Etapa 2)</t>
  </si>
  <si>
    <t>AES PANAMÁ S.R.L ( Coclé Solar 1)</t>
  </si>
  <si>
    <t>GRUPO DOE, S.A. (La Union Solar)</t>
  </si>
  <si>
    <t>UKA PARQUE EÓLICO LA COLORADA S.A. (La Colorada)</t>
  </si>
  <si>
    <t>DESARRROLLO Y ENERGIA RENOVABLE S.A ( PV Pacora Solar)</t>
  </si>
  <si>
    <t>HIDROBURICA (Burica)</t>
  </si>
  <si>
    <t xml:space="preserve">SANTA CRUZ WIND, S.A. </t>
  </si>
  <si>
    <t>PANAMA SOLAR INTEGRAL (PV Cotaba Solar (Fase 1)</t>
  </si>
  <si>
    <t>SOLAR DEVELOPMENT PANAMÁ, S.A. (El Chumical I)</t>
  </si>
  <si>
    <t>GED GERSOL DOS, S.A. (La Salamanca)</t>
  </si>
  <si>
    <t>GED GERSOL UNO, S.A. (Llano Sánchez)</t>
  </si>
  <si>
    <t>*Llano Sánchez</t>
  </si>
  <si>
    <t>*fotovoltaica Farallón Solar 2</t>
  </si>
  <si>
    <t>GENERADORA DE ENERGÍA RENOVABLE, S.A (Campo Solar La Victoria)</t>
  </si>
  <si>
    <t>ARRENDADORA ISTMO ENERGY, S.A. (Chupampa Solar)</t>
  </si>
  <si>
    <t>SOCIEDAD SUPER SERVICIOS, S.A. (Ancon Solar I)</t>
  </si>
  <si>
    <t>ARGENTUM SOLAR, S.A. (Rio de Jesús Solar )</t>
  </si>
  <si>
    <t>*Soná Solar (rio de jesus)</t>
  </si>
  <si>
    <t>* Proyecto Fotovoltaico Jaguito solar</t>
  </si>
  <si>
    <t xml:space="preserve">(p)Central termoeléctrica Cobre Panamá (Auto-generador)  </t>
  </si>
  <si>
    <t xml:space="preserve">**Parque eólico Toabré </t>
  </si>
  <si>
    <t>**UEP PENONOMÉ II, S.A. (Nuevo Chagres II)</t>
  </si>
  <si>
    <t>**AES PANAMA, S.R.L. (Nuevo Chagres - Fase 1)</t>
  </si>
  <si>
    <t>*Solar Los ángeles</t>
  </si>
  <si>
    <t>*Solar Coclé</t>
  </si>
  <si>
    <t>HELIOS APOLO SOLAR, S.A. (PV Gualaca Solar (Helios)</t>
  </si>
  <si>
    <t>MEGA SOLAR POWER GENERATION, S.A. ( PV Megasolar)</t>
  </si>
  <si>
    <t>JAGÜITO GREEN ENERGY III, S.A.</t>
  </si>
  <si>
    <t>JAGÜITO GREEN ENERGY II, S.A.</t>
  </si>
  <si>
    <t>JAGÜITO GREEN ENERGY I, S.A.</t>
  </si>
  <si>
    <t xml:space="preserve">SAN LORENZO SOLAR, S.A. </t>
  </si>
  <si>
    <t>SOLAR LOADGE, S.A. ( La Torre Solar)</t>
  </si>
  <si>
    <t>*ECOENER FOTOVOLTAICA PANAMA (San Juan)</t>
  </si>
  <si>
    <t>(Auto generador) CADASA</t>
  </si>
  <si>
    <t xml:space="preserve">Pedregalito II + Pedregalito II Unidad 3 </t>
  </si>
  <si>
    <t>Central fotovoltaica UP4</t>
  </si>
  <si>
    <t>Central Fotovoltáica UP3</t>
  </si>
  <si>
    <t>Proyecto Solar UP2</t>
  </si>
  <si>
    <t xml:space="preserve">RA SOLAR, S.A. </t>
  </si>
  <si>
    <t>GENERADORA SOLAR SANTA CRUZ, S.A. ( PV  Santa Cruz Solar (Etapa 1, Fase 2)</t>
  </si>
  <si>
    <t>HIDROELÉCTRICA MACANO II, S.A. ( RP-550)</t>
  </si>
  <si>
    <t>PAN ENERGY II ( Boquerón Solar)</t>
  </si>
  <si>
    <t>GENERADORA SOLAR SANTA CRUZ, S.A.</t>
  </si>
  <si>
    <t xml:space="preserve"> GRANJA SOLAR ALANJE TRES, S.A (  PV Solar Alanje 3)</t>
  </si>
  <si>
    <t>GRANJA SOLAR ALANJE DOS, S.A (PV Solar Alanje 2)</t>
  </si>
  <si>
    <t>GRANJA SOLAR ALANJE UNO, S.A. (PV Solar Alanje 1)</t>
  </si>
  <si>
    <t>AES PANAMÁ S.R.L ( Corotú Solar)</t>
  </si>
  <si>
    <t>Rio de Jesús Etapa III</t>
  </si>
  <si>
    <t>Chupampa Solar</t>
  </si>
  <si>
    <t>La Villa Solar</t>
  </si>
  <si>
    <t>Rodeo Solar</t>
  </si>
  <si>
    <t>*CELSOLAR, S.A. (Solar Prudencia)</t>
  </si>
  <si>
    <t>*GENERADORA SOLAR OCCIDENTE, S.A. ( Cerro Viejo Solar)</t>
  </si>
  <si>
    <t>SB-4 PROJECT S.A. (San Bartolo 4)</t>
  </si>
  <si>
    <t>SB-3 PROJECT S.A. (San Bartolo 3)</t>
  </si>
  <si>
    <t>SB-2 PROJECT S.A. (San Bartolo 2)</t>
  </si>
  <si>
    <t>SB-1 PROJECT S.A. (San Bartolo 1)</t>
  </si>
  <si>
    <t>Gold Mills</t>
  </si>
  <si>
    <t>*SOLAR DESIGN ( PV La Hueca)</t>
  </si>
  <si>
    <t>*PANASOLAR GENERADORA DE POTENCIA VERDE, S.A. ( Panasolar IX)</t>
  </si>
  <si>
    <t>*PANASOLAR GENERADORA DE POTENCIA VERDE, S.A. ( Panasolar VIII)</t>
  </si>
  <si>
    <t>*PANASOLAR GENERADORA DE POTENCIA VERDE, S.A. ( Panasolar VII)</t>
  </si>
  <si>
    <t>*LAS LOMAS SOLAR ELECTRIC, S.A. ( Las Lomas)</t>
  </si>
  <si>
    <t>ECOENER GENERADORA PANAMA, S.A. ( PV Agua Viva)</t>
  </si>
  <si>
    <t>ECOENER SOLAR PANAMA, S.A ( PV San Bartolo (Ecoener))</t>
  </si>
  <si>
    <t>ECOENER PRODUCTORA PANAMA, S.A. ( PV La Mesa (Ecoener)</t>
  </si>
  <si>
    <t>ECOENER RENOVABLE PANAMA, S.A (PV Santiago (Ecoener)</t>
  </si>
  <si>
    <t>*PANASOLAR CLEAN POWER, S.A. ( PV Panasolar V)</t>
  </si>
  <si>
    <t>*PANASOLAR CLEAN POWER, S.A. ( PV Panasolar IV)</t>
  </si>
  <si>
    <t>*AES PANAMA, S.R.L. (PV Estí Solar 2)</t>
  </si>
  <si>
    <t>*SANTIAGO SOLAR PTY, CORP (PV Santiago PTY 7)</t>
  </si>
  <si>
    <t>*SANTIAGO SOLAR PTY, CORP (PV Santiago PTY 6)</t>
  </si>
  <si>
    <t>*SANTIAGO SOLAR PTY, CORP (PV Santiago PTY 5)</t>
  </si>
  <si>
    <t>*SANTIAGO SOLAR PTY, CORP (PV Santiago PTY 4)</t>
  </si>
  <si>
    <t>*SANTIAGO SOLAR PTY, CORP (PV Santiago PTY 3)</t>
  </si>
  <si>
    <t>*SANTIAGO SOLAR PTY, CORP (PV Santiago PTY 2)</t>
  </si>
  <si>
    <t>*SANTIAGO SOLAR PTY, CORP (PV Santiago PTY 1)</t>
  </si>
  <si>
    <t xml:space="preserve">*(E) Progreso Energy </t>
  </si>
  <si>
    <t>*Central Fotovoltáica San Carlos Solar</t>
  </si>
  <si>
    <t>*Baco Solar</t>
  </si>
  <si>
    <t>*Progreso Solar 20MW, S.A.</t>
  </si>
  <si>
    <t xml:space="preserve">*Photovoltaics Venture Corp. </t>
  </si>
  <si>
    <t xml:space="preserve">*Photovoltaics Operations Corp. </t>
  </si>
  <si>
    <t xml:space="preserve">*Photovoltaics Business Corp. </t>
  </si>
  <si>
    <t xml:space="preserve">*Photovoltaics Developments, Corp. </t>
  </si>
  <si>
    <t xml:space="preserve">*Photovoltaics Investments Corp. </t>
  </si>
  <si>
    <t>2026-2027</t>
  </si>
  <si>
    <t>2025-2026</t>
  </si>
  <si>
    <t>- </t>
  </si>
  <si>
    <t>2027-2028</t>
  </si>
  <si>
    <t>2028-2029</t>
  </si>
  <si>
    <t xml:space="preserve">Los Ingresos y las capacidades de los agentes generadores del Periodo Tarifario 2025-2029 son preliminares y están a la espera que sea aprobado el Pliego Tarifario de ETESA. </t>
  </si>
  <si>
    <t xml:space="preserve">Los Cargos se consideran preliminares ya que se está a la espera de la Aprobación del Pliego tarifario de ETESA para el nuevo Periodo 2025-2029 </t>
  </si>
  <si>
    <t>CARGO EQUIVALENTE POR USO DEL SISTEMA DE TRANSMISIÓN PARA GENERADORES-PERIODO TARIFARIO 2025-2029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</si>
</sst>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-* #,##0.00_-;\-* #,##0.00_-;_-* &quot;-&quot;??_-;_-@_-"/>
    <numFmt numFmtId="164" formatCode="0.0%"/>
    <numFmt numFmtId="165" formatCode="#,##0.0"/>
    <numFmt numFmtId="166" formatCode="0.0"/>
    <numFmt numFmtId="167" formatCode="_ * #,##0.00_ ;_ * \-#,##0.00_ ;_ * &quot;-&quot;??_ ;_ @_ "/>
    <numFmt numFmtId="168" formatCode="_(* #,##0.00_);_(* \(#,##0.00\);_(* &quot;-&quot;??_);_(@_)"/>
    <numFmt numFmtId="169" formatCode="0.000"/>
    <numFmt numFmtId="170" formatCode="_(* #,##0.000_);_(* \(#,##0.000\);_(* &quot;-&quot;??_);_(@_)"/>
    <numFmt numFmtId="171" formatCode="0.0000"/>
    <numFmt numFmtId="172" formatCode="#,##0.000"/>
    <numFmt numFmtId="173" formatCode="_-* #,##0.00\ _€_-;\-* #,##0.00\ _€_-;_-* &quot;-&quot;??\ _€_-;_-@_-"/>
    <numFmt numFmtId="174" formatCode="#.00"/>
    <numFmt numFmtId="175" formatCode="_-[$€-2]* #,##0.00_-;\-[$€-2]* #,##0.00_-;_-[$€-2]* &quot;-&quot;??_-"/>
    <numFmt numFmtId="176" formatCode="_-* #,##0.00\ _P_t_a_-;\-* #,##0.00\ _P_t_a_-;_-* &quot;-&quot;??\ _P_t_a_-;_-@_-"/>
  </numFmts>
  <fonts count="1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name val="Times New Roman"/>
      <family val="1"/>
    </font>
    <font>
      <b/>
      <sz val="11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sz val="10"/>
      <name val="Times New Roman"/>
      <family val="1"/>
    </font>
    <font>
      <sz val="10"/>
      <color theme="3"/>
      <name val="Times New Roman"/>
      <family val="1"/>
    </font>
    <font>
      <i/>
      <sz val="10"/>
      <color theme="1" tint="0.499984740745262"/>
      <name val="Times New Roman"/>
      <family val="1"/>
    </font>
    <font>
      <b/>
      <i/>
      <sz val="10"/>
      <color theme="4"/>
      <name val="Times New Roman"/>
      <family val="1"/>
    </font>
    <font>
      <sz val="10"/>
      <color theme="4"/>
      <name val="Times New Roman"/>
      <family val="1"/>
    </font>
    <font>
      <sz val="10"/>
      <name val="Times New Roman"/>
      <family val="1"/>
    </font>
    <font>
      <i/>
      <sz val="10"/>
      <color theme="4"/>
      <name val="Times New Roman"/>
      <family val="1"/>
    </font>
    <font>
      <i/>
      <sz val="10"/>
      <color indexed="63"/>
      <name val="Times New Roman"/>
      <family val="1"/>
    </font>
    <font>
      <b/>
      <i/>
      <sz val="10"/>
      <color indexed="63"/>
      <name val="Times New Roman"/>
      <family val="1"/>
    </font>
    <font>
      <b/>
      <sz val="10"/>
      <color theme="3"/>
      <name val="Times New Roman"/>
      <family val="1"/>
    </font>
    <font>
      <sz val="10"/>
      <color indexed="56"/>
      <name val="Times New Roman"/>
      <family val="1"/>
    </font>
    <font>
      <b/>
      <sz val="10"/>
      <color indexed="56"/>
      <name val="Times New Roman"/>
      <family val="1"/>
    </font>
    <font>
      <b/>
      <sz val="10"/>
      <color theme="0"/>
      <name val="Times New Roman"/>
      <family val="1"/>
    </font>
    <font>
      <b/>
      <i/>
      <sz val="10"/>
      <color theme="0"/>
      <name val="Times New Roman"/>
      <family val="1"/>
    </font>
    <font>
      <sz val="9"/>
      <color theme="1" tint="0.499984740745262"/>
      <name val="Times New Roman"/>
      <family val="1"/>
    </font>
    <font>
      <sz val="10"/>
      <color rgb="FF000000"/>
      <name val="Times New Roman"/>
      <family val="1"/>
    </font>
    <font>
      <sz val="9"/>
      <color theme="3"/>
      <name val="Times New Roman"/>
      <family val="1"/>
    </font>
    <font>
      <b/>
      <i/>
      <sz val="10"/>
      <color theme="1"/>
      <name val="Times New Roman"/>
      <family val="1"/>
    </font>
    <font>
      <sz val="10"/>
      <color rgb="FFFF0000"/>
      <name val="Times New Roman"/>
      <family val="1"/>
    </font>
    <font>
      <sz val="12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theme="1"/>
      <name val="Calibri"/>
      <family val="2"/>
      <scheme val="minor"/>
    </font>
    <font>
      <b/>
      <sz val="12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  <font>
      <b/>
      <sz val="12"/>
      <color theme="0"/>
      <name val="Times New Roman"/>
      <family val="1"/>
    </font>
    <font>
      <sz val="12"/>
      <color theme="1" tint="0.34998626667073579"/>
      <name val="Times New Roman"/>
      <family val="1"/>
    </font>
    <font>
      <b/>
      <i/>
      <sz val="14"/>
      <color theme="1"/>
      <name val="Times New Roman"/>
      <family val="1"/>
    </font>
    <font>
      <sz val="12"/>
      <color rgb="FFFF0000"/>
      <name val="Times New Roman"/>
      <family val="1"/>
    </font>
    <font>
      <i/>
      <sz val="9"/>
      <color theme="1" tint="0.499984740745262"/>
      <name val="Times New Roman"/>
      <family val="1"/>
    </font>
    <font>
      <i/>
      <sz val="10"/>
      <name val="Times New Roman"/>
      <family val="1"/>
    </font>
    <font>
      <sz val="9"/>
      <name val="Times New Roman"/>
      <family val="1"/>
    </font>
    <font>
      <i/>
      <sz val="9"/>
      <color theme="4"/>
      <name val="Times New Roman"/>
      <family val="1"/>
    </font>
    <font>
      <b/>
      <i/>
      <sz val="10"/>
      <name val="Times New Roman"/>
      <family val="1"/>
    </font>
    <font>
      <b/>
      <i/>
      <sz val="11"/>
      <color theme="3"/>
      <name val="Times New Roman"/>
      <family val="1"/>
    </font>
    <font>
      <b/>
      <i/>
      <sz val="11"/>
      <name val="Times New Roman"/>
      <family val="1"/>
    </font>
    <font>
      <i/>
      <sz val="11"/>
      <color theme="4"/>
      <name val="Times New Roman"/>
      <family val="1"/>
    </font>
    <font>
      <sz val="11"/>
      <name val="Times New Roman"/>
      <family val="1"/>
    </font>
    <font>
      <b/>
      <i/>
      <sz val="9"/>
      <color theme="7" tint="-0.249977111117893"/>
      <name val="Times New Roman"/>
      <family val="1"/>
    </font>
    <font>
      <b/>
      <sz val="9"/>
      <color theme="7" tint="-0.249977111117893"/>
      <name val="Times New Roman"/>
      <family val="1"/>
    </font>
    <font>
      <b/>
      <i/>
      <sz val="11"/>
      <color theme="4" tint="-0.499984740745262"/>
      <name val="Times New Roman"/>
      <family val="1"/>
    </font>
    <font>
      <i/>
      <sz val="10"/>
      <color theme="4" tint="-0.499984740745262"/>
      <name val="Times New Roman"/>
      <family val="1"/>
    </font>
    <font>
      <b/>
      <i/>
      <sz val="9"/>
      <color theme="4"/>
      <name val="Times New Roman"/>
      <family val="1"/>
    </font>
    <font>
      <b/>
      <sz val="10"/>
      <color theme="4" tint="-0.499984740745262"/>
      <name val="Times New Roman"/>
      <family val="1"/>
    </font>
    <font>
      <b/>
      <sz val="10"/>
      <color theme="4"/>
      <name val="Times New Roman"/>
      <family val="1"/>
    </font>
    <font>
      <b/>
      <i/>
      <sz val="10"/>
      <color theme="4" tint="-0.499984740745262"/>
      <name val="Times New Roman"/>
      <family val="1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5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u/>
      <sz val="9"/>
      <color indexed="12"/>
      <name val="Arial"/>
      <family val="2"/>
    </font>
    <font>
      <sz val="1"/>
      <color indexed="8"/>
      <name val="Courier"/>
      <family val="3"/>
    </font>
    <font>
      <i/>
      <sz val="1"/>
      <color indexed="8"/>
      <name val="Courier"/>
      <family val="3"/>
    </font>
    <font>
      <sz val="11"/>
      <color indexed="8"/>
      <name val="Times New Roman"/>
      <family val="1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22"/>
      <color indexed="8"/>
      <name val="Times New Roman"/>
      <family val="1"/>
    </font>
    <font>
      <sz val="12"/>
      <color theme="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b/>
      <u/>
      <sz val="11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11"/>
      <color theme="1"/>
      <name val="Times New Roman"/>
      <family val="1"/>
    </font>
    <font>
      <sz val="11"/>
      <color rgb="FF000000"/>
      <name val="Arial"/>
      <family val="2"/>
    </font>
    <font>
      <sz val="11"/>
      <color theme="1"/>
      <name val="Arial"/>
      <family val="2"/>
    </font>
    <font>
      <sz val="12"/>
      <name val="DIN-Regular"/>
      <family val="2"/>
    </font>
    <font>
      <sz val="10"/>
      <color theme="1"/>
      <name val="DIN-Regular"/>
      <family val="2"/>
    </font>
    <font>
      <b/>
      <i/>
      <sz val="10"/>
      <color theme="1"/>
      <name val="Arial Narrow"/>
      <family val="2"/>
    </font>
    <font>
      <sz val="10"/>
      <color theme="1"/>
      <name val="Arial"/>
      <family val="2"/>
    </font>
    <font>
      <sz val="10"/>
      <name val="Calibri"/>
      <family val="2"/>
      <scheme val="minor"/>
    </font>
    <font>
      <b/>
      <sz val="14"/>
      <name val="Times New Roman"/>
      <family val="1"/>
    </font>
    <font>
      <sz val="14"/>
      <name val="Times New Roman"/>
      <family val="1"/>
    </font>
    <font>
      <b/>
      <sz val="11"/>
      <color rgb="FF000000"/>
      <name val="Arial"/>
      <family val="2"/>
    </font>
    <font>
      <b/>
      <sz val="10"/>
      <color rgb="FF000000"/>
      <name val="Arial"/>
      <family val="2"/>
    </font>
  </fonts>
  <fills count="7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rgb="FFA6A6A6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3" tint="0.89999084444715716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ck">
        <color theme="0"/>
      </top>
      <bottom style="thick">
        <color theme="0" tint="-0.14996795556505021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theme="0"/>
      </bottom>
      <diagonal/>
    </border>
    <border>
      <left/>
      <right/>
      <top style="thick">
        <color theme="0" tint="-0.14996795556505021"/>
      </top>
      <bottom/>
      <diagonal/>
    </border>
    <border>
      <left style="thick">
        <color theme="3"/>
      </left>
      <right/>
      <top style="thick">
        <color theme="3"/>
      </top>
      <bottom/>
      <diagonal/>
    </border>
    <border>
      <left/>
      <right/>
      <top style="thick">
        <color theme="3"/>
      </top>
      <bottom/>
      <diagonal/>
    </border>
    <border>
      <left/>
      <right style="thick">
        <color theme="3"/>
      </right>
      <top style="thick">
        <color theme="3"/>
      </top>
      <bottom/>
      <diagonal/>
    </border>
    <border>
      <left style="thick">
        <color theme="3"/>
      </left>
      <right style="thin">
        <color indexed="64"/>
      </right>
      <top style="thin">
        <color indexed="64"/>
      </top>
      <bottom/>
      <diagonal/>
    </border>
    <border>
      <left/>
      <right style="thick">
        <color theme="3"/>
      </right>
      <top style="thin">
        <color indexed="64"/>
      </top>
      <bottom/>
      <diagonal/>
    </border>
    <border>
      <left style="thick">
        <color theme="3"/>
      </left>
      <right style="thin">
        <color indexed="64"/>
      </right>
      <top/>
      <bottom style="thin">
        <color indexed="64"/>
      </bottom>
      <diagonal/>
    </border>
    <border>
      <left/>
      <right style="thick">
        <color theme="3"/>
      </right>
      <top/>
      <bottom style="thin">
        <color indexed="64"/>
      </bottom>
      <diagonal/>
    </border>
    <border>
      <left style="thick">
        <color theme="3"/>
      </left>
      <right/>
      <top/>
      <bottom/>
      <diagonal/>
    </border>
    <border>
      <left/>
      <right style="thick">
        <color theme="3"/>
      </right>
      <top/>
      <bottom/>
      <diagonal/>
    </border>
    <border>
      <left style="thick">
        <color theme="3"/>
      </left>
      <right/>
      <top style="thin">
        <color indexed="64"/>
      </top>
      <bottom style="thin">
        <color indexed="64"/>
      </bottom>
      <diagonal/>
    </border>
    <border>
      <left style="thick">
        <color theme="3"/>
      </left>
      <right/>
      <top/>
      <bottom style="thick">
        <color theme="3"/>
      </bottom>
      <diagonal/>
    </border>
    <border>
      <left/>
      <right/>
      <top/>
      <bottom style="thick">
        <color theme="3"/>
      </bottom>
      <diagonal/>
    </border>
    <border>
      <left/>
      <right style="thick">
        <color theme="3"/>
      </right>
      <top/>
      <bottom style="thick">
        <color theme="3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91">
    <xf numFmtId="0" fontId="0" fillId="0" borderId="0"/>
    <xf numFmtId="0" fontId="1" fillId="0" borderId="0"/>
    <xf numFmtId="9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26" fillId="0" borderId="0"/>
    <xf numFmtId="0" fontId="26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7" fontId="1" fillId="0" borderId="0" applyFont="0" applyFill="0" applyBorder="0" applyAlignment="0" applyProtection="0"/>
    <xf numFmtId="0" fontId="26" fillId="0" borderId="0"/>
    <xf numFmtId="16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5" fillId="0" borderId="37" applyNumberFormat="0" applyFill="0" applyAlignment="0" applyProtection="0"/>
    <xf numFmtId="0" fontId="56" fillId="0" borderId="38" applyNumberFormat="0" applyFill="0" applyAlignment="0" applyProtection="0"/>
    <xf numFmtId="0" fontId="57" fillId="0" borderId="39" applyNumberFormat="0" applyFill="0" applyAlignment="0" applyProtection="0"/>
    <xf numFmtId="0" fontId="57" fillId="0" borderId="0" applyNumberFormat="0" applyFill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60" fillId="19" borderId="40" applyNumberFormat="0" applyAlignment="0" applyProtection="0"/>
    <xf numFmtId="0" fontId="61" fillId="20" borderId="41" applyNumberFormat="0" applyAlignment="0" applyProtection="0"/>
    <xf numFmtId="0" fontId="62" fillId="20" borderId="40" applyNumberFormat="0" applyAlignment="0" applyProtection="0"/>
    <xf numFmtId="0" fontId="63" fillId="0" borderId="42" applyNumberFormat="0" applyFill="0" applyAlignment="0" applyProtection="0"/>
    <xf numFmtId="0" fontId="64" fillId="21" borderId="43" applyNumberFormat="0" applyAlignment="0" applyProtection="0"/>
    <xf numFmtId="0" fontId="65" fillId="0" borderId="0" applyNumberFormat="0" applyFill="0" applyBorder="0" applyAlignment="0" applyProtection="0"/>
    <xf numFmtId="0" fontId="1" fillId="22" borderId="44" applyNumberFormat="0" applyFont="0" applyAlignment="0" applyProtection="0"/>
    <xf numFmtId="0" fontId="66" fillId="0" borderId="0" applyNumberFormat="0" applyFill="0" applyBorder="0" applyAlignment="0" applyProtection="0"/>
    <xf numFmtId="0" fontId="67" fillId="0" borderId="45" applyNumberFormat="0" applyFill="0" applyAlignment="0" applyProtection="0"/>
    <xf numFmtId="0" fontId="68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68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68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68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68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68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5" borderId="0" applyNumberFormat="0" applyBorder="0" applyAlignment="0" applyProtection="0"/>
    <xf numFmtId="0" fontId="69" fillId="47" borderId="0" applyNumberFormat="0" applyBorder="0" applyAlignment="0" applyProtection="0"/>
    <xf numFmtId="0" fontId="69" fillId="47" borderId="0" applyNumberFormat="0" applyBorder="0" applyAlignment="0" applyProtection="0"/>
    <xf numFmtId="0" fontId="69" fillId="48" borderId="0" applyNumberFormat="0" applyBorder="0" applyAlignment="0" applyProtection="0"/>
    <xf numFmtId="0" fontId="69" fillId="48" borderId="0" applyNumberFormat="0" applyBorder="0" applyAlignment="0" applyProtection="0"/>
    <xf numFmtId="0" fontId="69" fillId="49" borderId="0" applyNumberFormat="0" applyBorder="0" applyAlignment="0" applyProtection="0"/>
    <xf numFmtId="0" fontId="69" fillId="49" borderId="0" applyNumberFormat="0" applyBorder="0" applyAlignment="0" applyProtection="0"/>
    <xf numFmtId="0" fontId="69" fillId="50" borderId="0" applyNumberFormat="0" applyBorder="0" applyAlignment="0" applyProtection="0"/>
    <xf numFmtId="0" fontId="69" fillId="50" borderId="0" applyNumberFormat="0" applyBorder="0" applyAlignment="0" applyProtection="0"/>
    <xf numFmtId="0" fontId="69" fillId="51" borderId="0" applyNumberFormat="0" applyBorder="0" applyAlignment="0" applyProtection="0"/>
    <xf numFmtId="0" fontId="69" fillId="51" borderId="0" applyNumberFormat="0" applyBorder="0" applyAlignment="0" applyProtection="0"/>
    <xf numFmtId="0" fontId="69" fillId="52" borderId="0" applyNumberFormat="0" applyBorder="0" applyAlignment="0" applyProtection="0"/>
    <xf numFmtId="0" fontId="69" fillId="52" borderId="0" applyNumberFormat="0" applyBorder="0" applyAlignment="0" applyProtection="0"/>
    <xf numFmtId="0" fontId="69" fillId="53" borderId="0" applyNumberFormat="0" applyBorder="0" applyAlignment="0" applyProtection="0"/>
    <xf numFmtId="0" fontId="69" fillId="53" borderId="0" applyNumberFormat="0" applyBorder="0" applyAlignment="0" applyProtection="0"/>
    <xf numFmtId="0" fontId="69" fillId="54" borderId="0" applyNumberFormat="0" applyBorder="0" applyAlignment="0" applyProtection="0"/>
    <xf numFmtId="0" fontId="69" fillId="54" borderId="0" applyNumberFormat="0" applyBorder="0" applyAlignment="0" applyProtection="0"/>
    <xf numFmtId="0" fontId="69" fillId="55" borderId="0" applyNumberFormat="0" applyBorder="0" applyAlignment="0" applyProtection="0"/>
    <xf numFmtId="0" fontId="69" fillId="55" borderId="0" applyNumberFormat="0" applyBorder="0" applyAlignment="0" applyProtection="0"/>
    <xf numFmtId="0" fontId="69" fillId="50" borderId="0" applyNumberFormat="0" applyBorder="0" applyAlignment="0" applyProtection="0"/>
    <xf numFmtId="0" fontId="69" fillId="50" borderId="0" applyNumberFormat="0" applyBorder="0" applyAlignment="0" applyProtection="0"/>
    <xf numFmtId="0" fontId="69" fillId="53" borderId="0" applyNumberFormat="0" applyBorder="0" applyAlignment="0" applyProtection="0"/>
    <xf numFmtId="0" fontId="69" fillId="53" borderId="0" applyNumberFormat="0" applyBorder="0" applyAlignment="0" applyProtection="0"/>
    <xf numFmtId="0" fontId="69" fillId="56" borderId="0" applyNumberFormat="0" applyBorder="0" applyAlignment="0" applyProtection="0"/>
    <xf numFmtId="0" fontId="69" fillId="56" borderId="0" applyNumberFormat="0" applyBorder="0" applyAlignment="0" applyProtection="0"/>
    <xf numFmtId="0" fontId="68" fillId="26" borderId="0" applyNumberFormat="0" applyBorder="0" applyAlignment="0" applyProtection="0"/>
    <xf numFmtId="0" fontId="70" fillId="57" borderId="0" applyNumberFormat="0" applyBorder="0" applyAlignment="0" applyProtection="0"/>
    <xf numFmtId="0" fontId="68" fillId="30" borderId="0" applyNumberFormat="0" applyBorder="0" applyAlignment="0" applyProtection="0"/>
    <xf numFmtId="0" fontId="70" fillId="54" borderId="0" applyNumberFormat="0" applyBorder="0" applyAlignment="0" applyProtection="0"/>
    <xf numFmtId="0" fontId="68" fillId="34" borderId="0" applyNumberFormat="0" applyBorder="0" applyAlignment="0" applyProtection="0"/>
    <xf numFmtId="0" fontId="70" fillId="55" borderId="0" applyNumberFormat="0" applyBorder="0" applyAlignment="0" applyProtection="0"/>
    <xf numFmtId="0" fontId="68" fillId="38" borderId="0" applyNumberFormat="0" applyBorder="0" applyAlignment="0" applyProtection="0"/>
    <xf numFmtId="0" fontId="70" fillId="58" borderId="0" applyNumberFormat="0" applyBorder="0" applyAlignment="0" applyProtection="0"/>
    <xf numFmtId="0" fontId="68" fillId="42" borderId="0" applyNumberFormat="0" applyBorder="0" applyAlignment="0" applyProtection="0"/>
    <xf numFmtId="0" fontId="70" fillId="59" borderId="0" applyNumberFormat="0" applyBorder="0" applyAlignment="0" applyProtection="0"/>
    <xf numFmtId="0" fontId="68" fillId="46" borderId="0" applyNumberFormat="0" applyBorder="0" applyAlignment="0" applyProtection="0"/>
    <xf numFmtId="0" fontId="70" fillId="60" borderId="0" applyNumberFormat="0" applyBorder="0" applyAlignment="0" applyProtection="0"/>
    <xf numFmtId="0" fontId="71" fillId="49" borderId="0" applyNumberFormat="0" applyBorder="0" applyAlignment="0" applyProtection="0"/>
    <xf numFmtId="0" fontId="72" fillId="61" borderId="46" applyNumberFormat="0" applyAlignment="0" applyProtection="0"/>
    <xf numFmtId="0" fontId="73" fillId="62" borderId="47" applyNumberFormat="0" applyAlignment="0" applyProtection="0"/>
    <xf numFmtId="0" fontId="74" fillId="0" borderId="48" applyNumberFormat="0" applyFill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5" fillId="0" borderId="49" applyNumberFormat="0" applyFill="0" applyAlignment="0" applyProtection="0"/>
    <xf numFmtId="0" fontId="76" fillId="0" borderId="0" applyNumberFormat="0" applyFill="0" applyBorder="0" applyAlignment="0" applyProtection="0"/>
    <xf numFmtId="0" fontId="70" fillId="63" borderId="0" applyNumberFormat="0" applyBorder="0" applyAlignment="0" applyProtection="0"/>
    <xf numFmtId="0" fontId="93" fillId="23" borderId="0" applyNumberFormat="0" applyBorder="0" applyAlignment="0" applyProtection="0"/>
    <xf numFmtId="0" fontId="93" fillId="23" borderId="0" applyNumberFormat="0" applyBorder="0" applyAlignment="0" applyProtection="0"/>
    <xf numFmtId="0" fontId="70" fillId="64" borderId="0" applyNumberFormat="0" applyBorder="0" applyAlignment="0" applyProtection="0"/>
    <xf numFmtId="0" fontId="70" fillId="65" borderId="0" applyNumberFormat="0" applyBorder="0" applyAlignment="0" applyProtection="0"/>
    <xf numFmtId="0" fontId="70" fillId="58" borderId="0" applyNumberFormat="0" applyBorder="0" applyAlignment="0" applyProtection="0"/>
    <xf numFmtId="0" fontId="70" fillId="59" borderId="0" applyNumberFormat="0" applyBorder="0" applyAlignment="0" applyProtection="0"/>
    <xf numFmtId="0" fontId="70" fillId="66" borderId="0" applyNumberFormat="0" applyBorder="0" applyAlignment="0" applyProtection="0"/>
    <xf numFmtId="0" fontId="77" fillId="52" borderId="46" applyNumberFormat="0" applyAlignment="0" applyProtection="0"/>
    <xf numFmtId="175" fontId="26" fillId="0" borderId="0" applyFont="0" applyFill="0" applyBorder="0" applyAlignment="0" applyProtection="0"/>
    <xf numFmtId="174" fontId="87" fillId="0" borderId="0">
      <protection locked="0"/>
    </xf>
    <xf numFmtId="174" fontId="87" fillId="0" borderId="0">
      <protection locked="0"/>
    </xf>
    <xf numFmtId="174" fontId="88" fillId="0" borderId="0">
      <protection locked="0"/>
    </xf>
    <xf numFmtId="174" fontId="87" fillId="0" borderId="0">
      <protection locked="0"/>
    </xf>
    <xf numFmtId="174" fontId="87" fillId="0" borderId="0">
      <protection locked="0"/>
    </xf>
    <xf numFmtId="174" fontId="87" fillId="0" borderId="0">
      <protection locked="0"/>
    </xf>
    <xf numFmtId="174" fontId="88" fillId="0" borderId="0">
      <protection locked="0"/>
    </xf>
    <xf numFmtId="0" fontId="86" fillId="0" borderId="0" applyNumberFormat="0" applyFill="0" applyBorder="0" applyAlignment="0" applyProtection="0">
      <alignment vertical="top"/>
      <protection locked="0"/>
    </xf>
    <xf numFmtId="0" fontId="78" fillId="48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17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167" fontId="69" fillId="0" borderId="0" applyFont="0" applyFill="0" applyBorder="0" applyAlignment="0" applyProtection="0"/>
    <xf numFmtId="176" fontId="26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94" fillId="18" borderId="0" applyNumberFormat="0" applyBorder="0" applyAlignment="0" applyProtection="0"/>
    <xf numFmtId="0" fontId="79" fillId="6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69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68" borderId="50" applyNumberFormat="0" applyFont="0" applyAlignment="0" applyProtection="0"/>
    <xf numFmtId="40" fontId="89" fillId="69" borderId="0">
      <alignment horizontal="right"/>
    </xf>
    <xf numFmtId="0" fontId="90" fillId="69" borderId="0">
      <alignment horizontal="right"/>
    </xf>
    <xf numFmtId="0" fontId="91" fillId="69" borderId="8"/>
    <xf numFmtId="0" fontId="91" fillId="0" borderId="0" applyBorder="0">
      <alignment horizontal="centerContinuous"/>
    </xf>
    <xf numFmtId="0" fontId="92" fillId="0" borderId="0" applyBorder="0">
      <alignment horizontal="centerContinuous"/>
    </xf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69" fillId="0" borderId="0" applyFont="0" applyFill="0" applyBorder="0" applyAlignment="0" applyProtection="0"/>
    <xf numFmtId="0" fontId="80" fillId="61" borderId="51" applyNumberFormat="0" applyAlignment="0" applyProtection="0"/>
    <xf numFmtId="0" fontId="81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4" fillId="0" borderId="52" applyNumberFormat="0" applyFill="0" applyAlignment="0" applyProtection="0"/>
    <xf numFmtId="0" fontId="76" fillId="0" borderId="53" applyNumberFormat="0" applyFill="0" applyAlignment="0" applyProtection="0"/>
    <xf numFmtId="0" fontId="83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85" fillId="0" borderId="54" applyNumberFormat="0" applyFill="0" applyAlignment="0" applyProtection="0"/>
    <xf numFmtId="0" fontId="102" fillId="0" borderId="0"/>
    <xf numFmtId="0" fontId="1" fillId="0" borderId="0"/>
  </cellStyleXfs>
  <cellXfs count="374">
    <xf numFmtId="0" fontId="0" fillId="0" borderId="0" xfId="0"/>
    <xf numFmtId="0" fontId="2" fillId="0" borderId="0" xfId="1" applyFont="1" applyAlignment="1">
      <alignment horizontal="center" vertical="center"/>
    </xf>
    <xf numFmtId="0" fontId="3" fillId="0" borderId="0" xfId="1" applyFont="1" applyAlignment="1">
      <alignment horizontal="left" vertical="center"/>
    </xf>
    <xf numFmtId="0" fontId="4" fillId="0" borderId="0" xfId="1" applyFont="1" applyAlignment="1">
      <alignment horizontal="center" vertical="center"/>
    </xf>
    <xf numFmtId="0" fontId="5" fillId="2" borderId="1" xfId="1" applyFont="1" applyFill="1" applyBorder="1" applyAlignment="1">
      <alignment horizontal="centerContinuous" vertical="center" wrapText="1"/>
    </xf>
    <xf numFmtId="0" fontId="4" fillId="2" borderId="2" xfId="1" applyFont="1" applyFill="1" applyBorder="1" applyAlignment="1">
      <alignment horizontal="centerContinuous" vertical="center" wrapText="1"/>
    </xf>
    <xf numFmtId="0" fontId="6" fillId="0" borderId="3" xfId="1" applyFont="1" applyBorder="1" applyAlignment="1">
      <alignment horizontal="left" vertical="center"/>
    </xf>
    <xf numFmtId="0" fontId="6" fillId="3" borderId="4" xfId="1" applyFont="1" applyFill="1" applyBorder="1" applyAlignment="1">
      <alignment horizontal="centerContinuous" vertical="center"/>
    </xf>
    <xf numFmtId="0" fontId="7" fillId="3" borderId="5" xfId="1" applyFont="1" applyFill="1" applyBorder="1" applyAlignment="1">
      <alignment horizontal="centerContinuous" vertical="center"/>
    </xf>
    <xf numFmtId="0" fontId="6" fillId="0" borderId="1" xfId="1" applyFont="1" applyBorder="1" applyAlignment="1">
      <alignment horizontal="center" vertical="center"/>
    </xf>
    <xf numFmtId="164" fontId="8" fillId="0" borderId="2" xfId="2" applyNumberFormat="1" applyFont="1" applyBorder="1" applyAlignment="1">
      <alignment horizontal="center" vertical="center"/>
    </xf>
    <xf numFmtId="165" fontId="6" fillId="2" borderId="6" xfId="1" applyNumberFormat="1" applyFont="1" applyFill="1" applyBorder="1" applyAlignment="1">
      <alignment horizontal="right" vertical="center"/>
    </xf>
    <xf numFmtId="0" fontId="4" fillId="0" borderId="0" xfId="1" applyFont="1" applyAlignment="1">
      <alignment horizontal="left" vertical="center"/>
    </xf>
    <xf numFmtId="0" fontId="4" fillId="0" borderId="0" xfId="1" applyFont="1" applyAlignment="1">
      <alignment horizontal="right" vertical="center"/>
    </xf>
    <xf numFmtId="9" fontId="4" fillId="0" borderId="0" xfId="2" applyFont="1" applyAlignment="1">
      <alignment horizontal="center" vertical="center"/>
    </xf>
    <xf numFmtId="165" fontId="10" fillId="0" borderId="0" xfId="1" applyNumberFormat="1" applyFont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4" fontId="11" fillId="3" borderId="7" xfId="1" applyNumberFormat="1" applyFont="1" applyFill="1" applyBorder="1" applyAlignment="1">
      <alignment horizontal="right" vertical="center"/>
    </xf>
    <xf numFmtId="164" fontId="8" fillId="6" borderId="8" xfId="2" applyNumberFormat="1" applyFont="1" applyFill="1" applyBorder="1" applyAlignment="1">
      <alignment horizontal="center" vertical="center"/>
    </xf>
    <xf numFmtId="0" fontId="6" fillId="0" borderId="9" xfId="1" applyFont="1" applyBorder="1" applyAlignment="1">
      <alignment horizontal="center" vertical="center"/>
    </xf>
    <xf numFmtId="4" fontId="11" fillId="3" borderId="9" xfId="1" applyNumberFormat="1" applyFont="1" applyFill="1" applyBorder="1" applyAlignment="1">
      <alignment horizontal="right" vertical="center"/>
    </xf>
    <xf numFmtId="164" fontId="8" fillId="6" borderId="3" xfId="2" applyNumberFormat="1" applyFont="1" applyFill="1" applyBorder="1" applyAlignment="1">
      <alignment horizontal="center" vertical="center"/>
    </xf>
    <xf numFmtId="0" fontId="11" fillId="0" borderId="0" xfId="1" applyFont="1" applyAlignment="1">
      <alignment horizontal="center" vertical="center"/>
    </xf>
    <xf numFmtId="164" fontId="4" fillId="0" borderId="0" xfId="1" applyNumberFormat="1" applyFont="1" applyAlignment="1">
      <alignment horizontal="center" vertical="center"/>
    </xf>
    <xf numFmtId="0" fontId="13" fillId="0" borderId="0" xfId="1" applyFont="1" applyAlignment="1">
      <alignment horizontal="right" vertical="center"/>
    </xf>
    <xf numFmtId="4" fontId="11" fillId="6" borderId="0" xfId="1" applyNumberFormat="1" applyFont="1" applyFill="1" applyAlignment="1">
      <alignment horizontal="center" vertical="center"/>
    </xf>
    <xf numFmtId="0" fontId="4" fillId="6" borderId="0" xfId="1" applyFont="1" applyFill="1" applyAlignment="1">
      <alignment horizontal="left" vertical="center"/>
    </xf>
    <xf numFmtId="0" fontId="6" fillId="0" borderId="0" xfId="1" applyFont="1" applyAlignment="1">
      <alignment horizontal="center" vertical="center"/>
    </xf>
    <xf numFmtId="0" fontId="10" fillId="0" borderId="0" xfId="1" applyFont="1" applyAlignment="1">
      <alignment horizontal="center" vertical="center"/>
    </xf>
    <xf numFmtId="4" fontId="10" fillId="6" borderId="0" xfId="1" applyNumberFormat="1" applyFont="1" applyFill="1" applyAlignment="1">
      <alignment horizontal="center" vertical="center"/>
    </xf>
    <xf numFmtId="0" fontId="10" fillId="6" borderId="0" xfId="1" applyFont="1" applyFill="1" applyAlignment="1">
      <alignment horizontal="left" vertical="center"/>
    </xf>
    <xf numFmtId="0" fontId="20" fillId="0" borderId="0" xfId="1" applyFont="1" applyAlignment="1">
      <alignment horizontal="left" vertical="center" indent="1"/>
    </xf>
    <xf numFmtId="0" fontId="15" fillId="0" borderId="2" xfId="0" applyFont="1" applyBorder="1" applyAlignment="1">
      <alignment horizontal="center" vertical="center" wrapText="1"/>
    </xf>
    <xf numFmtId="0" fontId="5" fillId="4" borderId="7" xfId="1" applyFont="1" applyFill="1" applyBorder="1" applyAlignment="1">
      <alignment horizontal="right" vertical="center"/>
    </xf>
    <xf numFmtId="0" fontId="5" fillId="4" borderId="0" xfId="1" applyFont="1" applyFill="1" applyAlignment="1">
      <alignment horizontal="center" vertical="center"/>
    </xf>
    <xf numFmtId="0" fontId="5" fillId="4" borderId="19" xfId="1" applyFont="1" applyFill="1" applyBorder="1" applyAlignment="1">
      <alignment horizontal="center" vertical="center"/>
    </xf>
    <xf numFmtId="0" fontId="5" fillId="4" borderId="7" xfId="1" applyFont="1" applyFill="1" applyBorder="1" applyAlignment="1">
      <alignment horizontal="center" vertical="center"/>
    </xf>
    <xf numFmtId="0" fontId="5" fillId="0" borderId="7" xfId="0" applyFont="1" applyBorder="1" applyAlignment="1">
      <alignment horizontal="left" vertical="center" indent="2"/>
    </xf>
    <xf numFmtId="0" fontId="4" fillId="0" borderId="0" xfId="0" applyFont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19" xfId="1" applyFont="1" applyBorder="1" applyAlignment="1">
      <alignment horizontal="center" vertical="center"/>
    </xf>
    <xf numFmtId="0" fontId="4" fillId="0" borderId="7" xfId="1" applyFont="1" applyBorder="1" applyAlignment="1">
      <alignment horizontal="left" vertical="center" indent="2"/>
    </xf>
    <xf numFmtId="0" fontId="4" fillId="0" borderId="10" xfId="1" applyFont="1" applyBorder="1" applyAlignment="1">
      <alignment horizontal="center" vertical="center"/>
    </xf>
    <xf numFmtId="0" fontId="4" fillId="0" borderId="18" xfId="1" applyFont="1" applyBorder="1" applyAlignment="1">
      <alignment horizontal="center" vertical="center"/>
    </xf>
    <xf numFmtId="0" fontId="5" fillId="4" borderId="17" xfId="1" applyFont="1" applyFill="1" applyBorder="1" applyAlignment="1">
      <alignment horizontal="center" vertical="center"/>
    </xf>
    <xf numFmtId="0" fontId="5" fillId="4" borderId="16" xfId="1" applyFont="1" applyFill="1" applyBorder="1" applyAlignment="1">
      <alignment horizontal="center" vertical="center"/>
    </xf>
    <xf numFmtId="2" fontId="5" fillId="4" borderId="16" xfId="1" applyNumberFormat="1" applyFont="1" applyFill="1" applyBorder="1" applyAlignment="1">
      <alignment horizontal="center" vertical="center"/>
    </xf>
    <xf numFmtId="0" fontId="5" fillId="4" borderId="4" xfId="1" applyFont="1" applyFill="1" applyBorder="1" applyAlignment="1">
      <alignment horizontal="center" vertical="center"/>
    </xf>
    <xf numFmtId="2" fontId="4" fillId="0" borderId="19" xfId="1" applyNumberFormat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5" fillId="4" borderId="4" xfId="1" applyFont="1" applyFill="1" applyBorder="1" applyAlignment="1">
      <alignment horizontal="right" vertical="center"/>
    </xf>
    <xf numFmtId="0" fontId="5" fillId="0" borderId="7" xfId="1" applyFont="1" applyBorder="1" applyAlignment="1">
      <alignment horizontal="left" vertical="center" indent="2"/>
    </xf>
    <xf numFmtId="2" fontId="4" fillId="0" borderId="18" xfId="1" applyNumberFormat="1" applyFont="1" applyBorder="1" applyAlignment="1">
      <alignment horizontal="center" vertical="center"/>
    </xf>
    <xf numFmtId="0" fontId="4" fillId="0" borderId="9" xfId="1" applyFont="1" applyBorder="1" applyAlignment="1">
      <alignment horizontal="center" vertical="center"/>
    </xf>
    <xf numFmtId="0" fontId="4" fillId="0" borderId="19" xfId="1" quotePrefix="1" applyFont="1" applyBorder="1" applyAlignment="1">
      <alignment horizontal="center" vertical="center"/>
    </xf>
    <xf numFmtId="0" fontId="11" fillId="0" borderId="19" xfId="1" quotePrefix="1" applyFont="1" applyBorder="1" applyAlignment="1">
      <alignment horizontal="center" vertical="center"/>
    </xf>
    <xf numFmtId="0" fontId="4" fillId="0" borderId="19" xfId="0" quotePrefix="1" applyFont="1" applyBorder="1" applyAlignment="1">
      <alignment horizontal="center" vertical="center"/>
    </xf>
    <xf numFmtId="0" fontId="4" fillId="0" borderId="7" xfId="0" applyFont="1" applyBorder="1" applyAlignment="1">
      <alignment horizontal="left" vertical="center" indent="2"/>
    </xf>
    <xf numFmtId="0" fontId="4" fillId="8" borderId="19" xfId="0" quotePrefix="1" applyFont="1" applyFill="1" applyBorder="1" applyAlignment="1">
      <alignment horizontal="center" vertical="center"/>
    </xf>
    <xf numFmtId="0" fontId="26" fillId="0" borderId="0" xfId="4"/>
    <xf numFmtId="0" fontId="4" fillId="0" borderId="9" xfId="1" applyFont="1" applyBorder="1" applyAlignment="1">
      <alignment horizontal="left" vertical="center" indent="2"/>
    </xf>
    <xf numFmtId="0" fontId="4" fillId="4" borderId="0" xfId="1" applyFont="1" applyFill="1" applyAlignment="1">
      <alignment horizontal="center" vertical="center"/>
    </xf>
    <xf numFmtId="0" fontId="4" fillId="4" borderId="17" xfId="1" applyFont="1" applyFill="1" applyBorder="1" applyAlignment="1">
      <alignment horizontal="center" vertical="center"/>
    </xf>
    <xf numFmtId="0" fontId="4" fillId="4" borderId="19" xfId="1" applyFont="1" applyFill="1" applyBorder="1" applyAlignment="1">
      <alignment horizontal="center" vertical="center"/>
    </xf>
    <xf numFmtId="0" fontId="4" fillId="4" borderId="16" xfId="1" applyFont="1" applyFill="1" applyBorder="1" applyAlignment="1">
      <alignment horizontal="center" vertical="center"/>
    </xf>
    <xf numFmtId="2" fontId="29" fillId="0" borderId="19" xfId="0" applyNumberFormat="1" applyFont="1" applyBorder="1" applyAlignment="1">
      <alignment horizontal="center" vertical="center"/>
    </xf>
    <xf numFmtId="2" fontId="5" fillId="4" borderId="19" xfId="1" applyNumberFormat="1" applyFont="1" applyFill="1" applyBorder="1" applyAlignment="1">
      <alignment horizontal="center" vertical="center"/>
    </xf>
    <xf numFmtId="0" fontId="4" fillId="0" borderId="0" xfId="8" applyFont="1" applyAlignment="1">
      <alignment horizontal="center" vertical="center"/>
    </xf>
    <xf numFmtId="0" fontId="4" fillId="0" borderId="19" xfId="8" applyFont="1" applyBorder="1" applyAlignment="1">
      <alignment horizontal="center" vertical="center"/>
    </xf>
    <xf numFmtId="0" fontId="4" fillId="0" borderId="7" xfId="8" applyFont="1" applyBorder="1" applyAlignment="1">
      <alignment horizontal="left" vertical="center" indent="2"/>
    </xf>
    <xf numFmtId="0" fontId="31" fillId="0" borderId="0" xfId="0" applyFont="1" applyAlignment="1">
      <alignment horizontal="center" vertical="center"/>
    </xf>
    <xf numFmtId="0" fontId="31" fillId="0" borderId="0" xfId="0" applyFont="1"/>
    <xf numFmtId="0" fontId="32" fillId="0" borderId="0" xfId="0" applyFont="1" applyAlignment="1">
      <alignment horizontal="center" vertical="center"/>
    </xf>
    <xf numFmtId="0" fontId="32" fillId="0" borderId="0" xfId="0" applyFont="1"/>
    <xf numFmtId="0" fontId="33" fillId="10" borderId="6" xfId="0" applyFont="1" applyFill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17" fontId="30" fillId="12" borderId="20" xfId="0" applyNumberFormat="1" applyFont="1" applyFill="1" applyBorder="1" applyAlignment="1">
      <alignment horizontal="center" vertical="center"/>
    </xf>
    <xf numFmtId="17" fontId="32" fillId="12" borderId="20" xfId="0" applyNumberFormat="1" applyFont="1" applyFill="1" applyBorder="1" applyAlignment="1">
      <alignment horizontal="center" vertical="center"/>
    </xf>
    <xf numFmtId="168" fontId="31" fillId="12" borderId="20" xfId="11" applyFont="1" applyFill="1" applyBorder="1"/>
    <xf numFmtId="0" fontId="32" fillId="0" borderId="0" xfId="0" applyFont="1" applyAlignment="1">
      <alignment horizontal="left" vertical="center"/>
    </xf>
    <xf numFmtId="0" fontId="32" fillId="0" borderId="0" xfId="0" applyFont="1" applyAlignment="1">
      <alignment horizontal="left" vertical="center" indent="1"/>
    </xf>
    <xf numFmtId="4" fontId="36" fillId="0" borderId="0" xfId="0" applyNumberFormat="1" applyFont="1" applyAlignment="1">
      <alignment horizontal="center" vertical="center"/>
    </xf>
    <xf numFmtId="4" fontId="36" fillId="0" borderId="0" xfId="11" applyNumberFormat="1" applyFont="1" applyAlignment="1">
      <alignment horizontal="right" vertical="center"/>
    </xf>
    <xf numFmtId="168" fontId="31" fillId="0" borderId="0" xfId="0" applyNumberFormat="1" applyFont="1"/>
    <xf numFmtId="168" fontId="31" fillId="0" borderId="0" xfId="11" applyFont="1" applyBorder="1" applyAlignment="1">
      <alignment horizontal="right"/>
    </xf>
    <xf numFmtId="168" fontId="36" fillId="0" borderId="0" xfId="11" applyFont="1" applyAlignment="1">
      <alignment horizontal="right" vertical="center"/>
    </xf>
    <xf numFmtId="170" fontId="31" fillId="0" borderId="0" xfId="11" applyNumberFormat="1" applyFont="1" applyFill="1"/>
    <xf numFmtId="0" fontId="33" fillId="10" borderId="21" xfId="0" applyFont="1" applyFill="1" applyBorder="1" applyAlignment="1">
      <alignment horizontal="center" vertical="center"/>
    </xf>
    <xf numFmtId="170" fontId="31" fillId="0" borderId="0" xfId="11" applyNumberFormat="1" applyFont="1" applyFill="1" applyAlignment="1">
      <alignment horizontal="center" vertical="center"/>
    </xf>
    <xf numFmtId="170" fontId="35" fillId="11" borderId="20" xfId="11" applyNumberFormat="1" applyFont="1" applyFill="1" applyBorder="1"/>
    <xf numFmtId="170" fontId="31" fillId="0" borderId="0" xfId="11" applyNumberFormat="1" applyFont="1" applyFill="1" applyAlignment="1">
      <alignment horizontal="right"/>
    </xf>
    <xf numFmtId="170" fontId="31" fillId="0" borderId="0" xfId="11" applyNumberFormat="1" applyFont="1" applyAlignment="1">
      <alignment horizontal="right" vertical="center"/>
    </xf>
    <xf numFmtId="168" fontId="31" fillId="0" borderId="0" xfId="11" applyFont="1" applyAlignment="1">
      <alignment horizontal="right" vertical="center"/>
    </xf>
    <xf numFmtId="168" fontId="31" fillId="0" borderId="0" xfId="11" applyFont="1" applyAlignment="1">
      <alignment horizontal="right"/>
    </xf>
    <xf numFmtId="168" fontId="31" fillId="0" borderId="0" xfId="11" applyFont="1"/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1" fillId="0" borderId="3" xfId="0" applyFont="1" applyBorder="1" applyAlignment="1">
      <alignment horizontal="left" vertical="center"/>
    </xf>
    <xf numFmtId="0" fontId="6" fillId="13" borderId="4" xfId="0" applyFont="1" applyFill="1" applyBorder="1" applyAlignment="1">
      <alignment horizontal="centerContinuous" vertical="center"/>
    </xf>
    <xf numFmtId="0" fontId="11" fillId="13" borderId="5" xfId="0" applyFont="1" applyFill="1" applyBorder="1" applyAlignment="1">
      <alignment horizontal="centerContinuous" vertical="center"/>
    </xf>
    <xf numFmtId="0" fontId="6" fillId="13" borderId="5" xfId="0" applyFont="1" applyFill="1" applyBorder="1" applyAlignment="1">
      <alignment horizontal="centerContinuous" vertical="center"/>
    </xf>
    <xf numFmtId="0" fontId="6" fillId="13" borderId="5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4" fontId="6" fillId="12" borderId="1" xfId="0" applyNumberFormat="1" applyFont="1" applyFill="1" applyBorder="1" applyAlignment="1">
      <alignment horizontal="right" vertical="center"/>
    </xf>
    <xf numFmtId="9" fontId="37" fillId="0" borderId="2" xfId="12" applyFont="1" applyFill="1" applyBorder="1" applyAlignment="1">
      <alignment horizontal="center" vertical="center"/>
    </xf>
    <xf numFmtId="165" fontId="38" fillId="0" borderId="1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39" fillId="0" borderId="0" xfId="0" applyFont="1" applyAlignment="1">
      <alignment horizontal="right" vertical="center"/>
    </xf>
    <xf numFmtId="9" fontId="39" fillId="0" borderId="0" xfId="12" applyFont="1" applyFill="1" applyAlignment="1">
      <alignment horizontal="center" vertical="center"/>
    </xf>
    <xf numFmtId="3" fontId="39" fillId="0" borderId="0" xfId="0" applyNumberFormat="1" applyFont="1" applyAlignment="1">
      <alignment horizontal="center" vertical="center"/>
    </xf>
    <xf numFmtId="0" fontId="39" fillId="0" borderId="0" xfId="0" applyFont="1" applyAlignment="1">
      <alignment horizontal="left" vertical="center"/>
    </xf>
    <xf numFmtId="4" fontId="40" fillId="0" borderId="0" xfId="0" applyNumberFormat="1" applyFont="1" applyAlignment="1">
      <alignment horizontal="right" vertical="center"/>
    </xf>
    <xf numFmtId="164" fontId="40" fillId="0" borderId="0" xfId="12" applyNumberFormat="1" applyFont="1" applyFill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4" fontId="11" fillId="0" borderId="7" xfId="0" applyNumberFormat="1" applyFont="1" applyBorder="1" applyAlignment="1">
      <alignment horizontal="right" vertical="center"/>
    </xf>
    <xf numFmtId="164" fontId="37" fillId="0" borderId="8" xfId="12" applyNumberFormat="1" applyFont="1" applyFill="1" applyBorder="1" applyAlignment="1">
      <alignment horizontal="center" vertical="center"/>
    </xf>
    <xf numFmtId="165" fontId="38" fillId="0" borderId="7" xfId="0" applyNumberFormat="1" applyFont="1" applyBorder="1" applyAlignment="1">
      <alignment horizontal="center" vertical="center"/>
    </xf>
    <xf numFmtId="166" fontId="38" fillId="0" borderId="8" xfId="0" applyNumberFormat="1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4" fontId="11" fillId="0" borderId="9" xfId="0" applyNumberFormat="1" applyFont="1" applyBorder="1" applyAlignment="1">
      <alignment horizontal="right" vertical="center"/>
    </xf>
    <xf numFmtId="164" fontId="37" fillId="0" borderId="3" xfId="12" applyNumberFormat="1" applyFont="1" applyFill="1" applyBorder="1" applyAlignment="1">
      <alignment horizontal="center" vertical="center"/>
    </xf>
    <xf numFmtId="165" fontId="38" fillId="0" borderId="9" xfId="0" applyNumberFormat="1" applyFont="1" applyBorder="1" applyAlignment="1">
      <alignment horizontal="center" vertical="center"/>
    </xf>
    <xf numFmtId="166" fontId="38" fillId="0" borderId="3" xfId="0" applyNumberFormat="1" applyFont="1" applyBorder="1" applyAlignment="1">
      <alignment horizontal="center" vertical="center"/>
    </xf>
    <xf numFmtId="4" fontId="11" fillId="0" borderId="0" xfId="0" applyNumberFormat="1" applyFont="1" applyAlignment="1">
      <alignment horizontal="center" vertical="center"/>
    </xf>
    <xf numFmtId="166" fontId="38" fillId="0" borderId="6" xfId="0" applyNumberFormat="1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12" borderId="4" xfId="0" applyFont="1" applyFill="1" applyBorder="1" applyAlignment="1">
      <alignment horizontal="center" vertical="center"/>
    </xf>
    <xf numFmtId="0" fontId="11" fillId="12" borderId="17" xfId="0" applyFont="1" applyFill="1" applyBorder="1" applyAlignment="1">
      <alignment horizontal="center" vertical="center"/>
    </xf>
    <xf numFmtId="0" fontId="11" fillId="14" borderId="17" xfId="0" applyFont="1" applyFill="1" applyBorder="1" applyAlignment="1">
      <alignment horizontal="center" vertical="center"/>
    </xf>
    <xf numFmtId="0" fontId="11" fillId="12" borderId="5" xfId="0" applyFont="1" applyFill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17" fontId="11" fillId="0" borderId="9" xfId="0" applyNumberFormat="1" applyFont="1" applyBorder="1" applyAlignment="1">
      <alignment horizontal="center" vertical="center"/>
    </xf>
    <xf numFmtId="17" fontId="11" fillId="0" borderId="10" xfId="0" applyNumberFormat="1" applyFont="1" applyBorder="1" applyAlignment="1">
      <alignment horizontal="center" vertical="center"/>
    </xf>
    <xf numFmtId="17" fontId="11" fillId="0" borderId="3" xfId="0" applyNumberFormat="1" applyFont="1" applyBorder="1" applyAlignment="1">
      <alignment horizontal="center" vertical="center"/>
    </xf>
    <xf numFmtId="0" fontId="37" fillId="0" borderId="18" xfId="0" applyFont="1" applyBorder="1" applyAlignment="1">
      <alignment horizontal="center" vertical="center"/>
    </xf>
    <xf numFmtId="0" fontId="37" fillId="0" borderId="9" xfId="0" applyFont="1" applyBorder="1" applyAlignment="1">
      <alignment horizontal="center" vertical="center"/>
    </xf>
    <xf numFmtId="0" fontId="37" fillId="0" borderId="10" xfId="0" applyFont="1" applyBorder="1" applyAlignment="1">
      <alignment horizontal="center" vertical="center"/>
    </xf>
    <xf numFmtId="0" fontId="37" fillId="0" borderId="3" xfId="0" applyFont="1" applyBorder="1" applyAlignment="1">
      <alignment horizontal="center" vertical="center"/>
    </xf>
    <xf numFmtId="0" fontId="38" fillId="0" borderId="16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171" fontId="11" fillId="0" borderId="9" xfId="0" applyNumberFormat="1" applyFont="1" applyBorder="1" applyAlignment="1">
      <alignment horizontal="center" vertical="center"/>
    </xf>
    <xf numFmtId="171" fontId="11" fillId="0" borderId="10" xfId="0" applyNumberFormat="1" applyFont="1" applyBorder="1" applyAlignment="1">
      <alignment horizontal="center" vertical="center"/>
    </xf>
    <xf numFmtId="171" fontId="11" fillId="0" borderId="3" xfId="0" applyNumberFormat="1" applyFont="1" applyBorder="1" applyAlignment="1">
      <alignment horizontal="center" vertical="center"/>
    </xf>
    <xf numFmtId="169" fontId="38" fillId="0" borderId="18" xfId="0" applyNumberFormat="1" applyFont="1" applyBorder="1" applyAlignment="1">
      <alignment horizontal="center" vertical="center"/>
    </xf>
    <xf numFmtId="0" fontId="6" fillId="13" borderId="6" xfId="0" applyFont="1" applyFill="1" applyBorder="1" applyAlignment="1">
      <alignment horizontal="center" vertical="center"/>
    </xf>
    <xf numFmtId="0" fontId="6" fillId="13" borderId="13" xfId="0" applyFont="1" applyFill="1" applyBorder="1" applyAlignment="1">
      <alignment horizontal="center" vertical="center"/>
    </xf>
    <xf numFmtId="0" fontId="6" fillId="13" borderId="2" xfId="0" applyFont="1" applyFill="1" applyBorder="1" applyAlignment="1">
      <alignment horizontal="center" vertical="center"/>
    </xf>
    <xf numFmtId="0" fontId="41" fillId="13" borderId="2" xfId="0" applyFont="1" applyFill="1" applyBorder="1" applyAlignment="1">
      <alignment horizontal="center" vertical="center"/>
    </xf>
    <xf numFmtId="0" fontId="39" fillId="0" borderId="6" xfId="0" applyFont="1" applyBorder="1" applyAlignment="1">
      <alignment horizontal="center" vertical="center" wrapText="1"/>
    </xf>
    <xf numFmtId="0" fontId="39" fillId="0" borderId="13" xfId="0" applyFont="1" applyBorder="1" applyAlignment="1">
      <alignment horizontal="center" vertical="center" wrapText="1"/>
    </xf>
    <xf numFmtId="0" fontId="39" fillId="0" borderId="2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 indent="1"/>
    </xf>
    <xf numFmtId="0" fontId="12" fillId="0" borderId="0" xfId="0" applyFont="1" applyAlignment="1">
      <alignment horizontal="center" vertical="center"/>
    </xf>
    <xf numFmtId="165" fontId="11" fillId="0" borderId="4" xfId="0" applyNumberFormat="1" applyFont="1" applyBorder="1" applyAlignment="1">
      <alignment horizontal="center" vertical="center"/>
    </xf>
    <xf numFmtId="165" fontId="11" fillId="0" borderId="17" xfId="0" applyNumberFormat="1" applyFont="1" applyBorder="1" applyAlignment="1">
      <alignment horizontal="center" vertical="center"/>
    </xf>
    <xf numFmtId="165" fontId="11" fillId="0" borderId="5" xfId="0" applyNumberFormat="1" applyFont="1" applyBorder="1" applyAlignment="1">
      <alignment horizontal="center" vertical="center"/>
    </xf>
    <xf numFmtId="165" fontId="12" fillId="0" borderId="5" xfId="0" applyNumberFormat="1" applyFont="1" applyBorder="1" applyAlignment="1">
      <alignment horizontal="center" vertical="center"/>
    </xf>
    <xf numFmtId="165" fontId="11" fillId="0" borderId="9" xfId="0" applyNumberFormat="1" applyFont="1" applyBorder="1" applyAlignment="1">
      <alignment horizontal="center" vertical="center"/>
    </xf>
    <xf numFmtId="165" fontId="11" fillId="0" borderId="10" xfId="0" applyNumberFormat="1" applyFont="1" applyBorder="1" applyAlignment="1">
      <alignment horizontal="center" vertical="center"/>
    </xf>
    <xf numFmtId="165" fontId="11" fillId="0" borderId="3" xfId="0" applyNumberFormat="1" applyFont="1" applyBorder="1" applyAlignment="1">
      <alignment horizontal="center" vertical="center"/>
    </xf>
    <xf numFmtId="165" fontId="12" fillId="0" borderId="3" xfId="0" applyNumberFormat="1" applyFont="1" applyBorder="1" applyAlignment="1">
      <alignment horizontal="center" vertical="center"/>
    </xf>
    <xf numFmtId="165" fontId="11" fillId="0" borderId="0" xfId="0" applyNumberFormat="1" applyFont="1" applyAlignment="1">
      <alignment horizontal="center" vertical="center"/>
    </xf>
    <xf numFmtId="165" fontId="12" fillId="0" borderId="0" xfId="0" applyNumberFormat="1" applyFont="1" applyAlignment="1">
      <alignment horizontal="center" vertical="center"/>
    </xf>
    <xf numFmtId="0" fontId="39" fillId="0" borderId="0" xfId="0" applyFont="1" applyAlignment="1">
      <alignment horizontal="center" vertical="center"/>
    </xf>
    <xf numFmtId="0" fontId="11" fillId="15" borderId="16" xfId="0" applyFont="1" applyFill="1" applyBorder="1" applyAlignment="1">
      <alignment horizontal="center" vertical="center"/>
    </xf>
    <xf numFmtId="172" fontId="11" fillId="15" borderId="4" xfId="0" applyNumberFormat="1" applyFont="1" applyFill="1" applyBorder="1" applyAlignment="1">
      <alignment horizontal="center" vertical="center"/>
    </xf>
    <xf numFmtId="172" fontId="11" fillId="15" borderId="17" xfId="0" applyNumberFormat="1" applyFont="1" applyFill="1" applyBorder="1" applyAlignment="1">
      <alignment horizontal="center" vertical="center"/>
    </xf>
    <xf numFmtId="172" fontId="11" fillId="15" borderId="5" xfId="0" applyNumberFormat="1" applyFont="1" applyFill="1" applyBorder="1" applyAlignment="1">
      <alignment horizontal="center" vertical="center"/>
    </xf>
    <xf numFmtId="0" fontId="11" fillId="14" borderId="18" xfId="0" applyFont="1" applyFill="1" applyBorder="1" applyAlignment="1">
      <alignment horizontal="center" vertical="center"/>
    </xf>
    <xf numFmtId="172" fontId="11" fillId="14" borderId="9" xfId="0" applyNumberFormat="1" applyFont="1" applyFill="1" applyBorder="1" applyAlignment="1">
      <alignment horizontal="center" vertical="center"/>
    </xf>
    <xf numFmtId="172" fontId="11" fillId="14" borderId="10" xfId="0" applyNumberFormat="1" applyFont="1" applyFill="1" applyBorder="1" applyAlignment="1">
      <alignment horizontal="center" vertical="center"/>
    </xf>
    <xf numFmtId="172" fontId="11" fillId="14" borderId="3" xfId="0" applyNumberFormat="1" applyFont="1" applyFill="1" applyBorder="1" applyAlignment="1">
      <alignment horizontal="center" vertical="center"/>
    </xf>
    <xf numFmtId="0" fontId="11" fillId="15" borderId="0" xfId="0" applyFont="1" applyFill="1" applyAlignment="1">
      <alignment horizontal="center" vertical="center"/>
    </xf>
    <xf numFmtId="169" fontId="11" fillId="15" borderId="0" xfId="0" applyNumberFormat="1" applyFont="1" applyFill="1" applyAlignment="1">
      <alignment horizontal="center" vertical="center"/>
    </xf>
    <xf numFmtId="0" fontId="11" fillId="14" borderId="0" xfId="0" applyFont="1" applyFill="1" applyAlignment="1">
      <alignment horizontal="center" vertical="center"/>
    </xf>
    <xf numFmtId="169" fontId="11" fillId="14" borderId="0" xfId="0" applyNumberFormat="1" applyFont="1" applyFill="1" applyAlignment="1">
      <alignment horizontal="center" vertical="center"/>
    </xf>
    <xf numFmtId="0" fontId="11" fillId="14" borderId="6" xfId="0" applyFont="1" applyFill="1" applyBorder="1" applyAlignment="1">
      <alignment horizontal="center" vertical="center"/>
    </xf>
    <xf numFmtId="172" fontId="11" fillId="14" borderId="1" xfId="0" applyNumberFormat="1" applyFont="1" applyFill="1" applyBorder="1" applyAlignment="1">
      <alignment horizontal="center" vertical="center"/>
    </xf>
    <xf numFmtId="172" fontId="11" fillId="14" borderId="13" xfId="0" applyNumberFormat="1" applyFont="1" applyFill="1" applyBorder="1" applyAlignment="1">
      <alignment horizontal="center" vertical="center"/>
    </xf>
    <xf numFmtId="172" fontId="11" fillId="14" borderId="2" xfId="0" applyNumberFormat="1" applyFont="1" applyFill="1" applyBorder="1" applyAlignment="1">
      <alignment horizontal="center" vertical="center"/>
    </xf>
    <xf numFmtId="0" fontId="42" fillId="9" borderId="24" xfId="0" applyFont="1" applyFill="1" applyBorder="1" applyAlignment="1">
      <alignment horizontal="left" vertical="center" indent="1"/>
    </xf>
    <xf numFmtId="0" fontId="43" fillId="9" borderId="25" xfId="0" applyFont="1" applyFill="1" applyBorder="1" applyAlignment="1">
      <alignment horizontal="center" vertical="center"/>
    </xf>
    <xf numFmtId="0" fontId="43" fillId="9" borderId="26" xfId="0" applyFont="1" applyFill="1" applyBorder="1" applyAlignment="1">
      <alignment horizontal="center" vertical="center"/>
    </xf>
    <xf numFmtId="0" fontId="44" fillId="0" borderId="0" xfId="0" applyFont="1" applyAlignment="1">
      <alignment horizontal="center" vertical="center"/>
    </xf>
    <xf numFmtId="0" fontId="43" fillId="15" borderId="27" xfId="0" applyFont="1" applyFill="1" applyBorder="1" applyAlignment="1">
      <alignment horizontal="center" vertical="center"/>
    </xf>
    <xf numFmtId="172" fontId="43" fillId="15" borderId="4" xfId="0" applyNumberFormat="1" applyFont="1" applyFill="1" applyBorder="1" applyAlignment="1">
      <alignment horizontal="center" vertical="center"/>
    </xf>
    <xf numFmtId="172" fontId="43" fillId="15" borderId="17" xfId="0" applyNumberFormat="1" applyFont="1" applyFill="1" applyBorder="1" applyAlignment="1">
      <alignment horizontal="center" vertical="center"/>
    </xf>
    <xf numFmtId="172" fontId="43" fillId="15" borderId="28" xfId="0" applyNumberFormat="1" applyFont="1" applyFill="1" applyBorder="1" applyAlignment="1">
      <alignment horizontal="center" vertical="center"/>
    </xf>
    <xf numFmtId="0" fontId="43" fillId="14" borderId="29" xfId="0" applyFont="1" applyFill="1" applyBorder="1" applyAlignment="1">
      <alignment horizontal="center" vertical="center"/>
    </xf>
    <xf numFmtId="172" fontId="43" fillId="14" borderId="10" xfId="0" applyNumberFormat="1" applyFont="1" applyFill="1" applyBorder="1" applyAlignment="1">
      <alignment horizontal="center" vertical="center"/>
    </xf>
    <xf numFmtId="172" fontId="43" fillId="14" borderId="30" xfId="0" applyNumberFormat="1" applyFont="1" applyFill="1" applyBorder="1" applyAlignment="1">
      <alignment horizontal="center" vertical="center"/>
    </xf>
    <xf numFmtId="0" fontId="42" fillId="9" borderId="31" xfId="0" applyFont="1" applyFill="1" applyBorder="1" applyAlignment="1">
      <alignment horizontal="left" vertical="center" indent="1"/>
    </xf>
    <xf numFmtId="0" fontId="43" fillId="9" borderId="0" xfId="0" applyFont="1" applyFill="1" applyAlignment="1">
      <alignment horizontal="center" vertical="center"/>
    </xf>
    <xf numFmtId="0" fontId="45" fillId="9" borderId="0" xfId="0" applyFont="1" applyFill="1" applyAlignment="1">
      <alignment horizontal="center" vertical="center"/>
    </xf>
    <xf numFmtId="0" fontId="45" fillId="9" borderId="32" xfId="0" applyFont="1" applyFill="1" applyBorder="1" applyAlignment="1">
      <alignment horizontal="center" vertical="center"/>
    </xf>
    <xf numFmtId="0" fontId="46" fillId="0" borderId="0" xfId="0" applyFont="1" applyAlignment="1">
      <alignment horizontal="left"/>
    </xf>
    <xf numFmtId="0" fontId="43" fillId="15" borderId="33" xfId="0" applyFont="1" applyFill="1" applyBorder="1" applyAlignment="1">
      <alignment horizontal="center" vertical="center"/>
    </xf>
    <xf numFmtId="169" fontId="43" fillId="15" borderId="2" xfId="0" applyNumberFormat="1" applyFont="1" applyFill="1" applyBorder="1" applyAlignment="1">
      <alignment horizontal="center" vertical="center"/>
    </xf>
    <xf numFmtId="0" fontId="11" fillId="9" borderId="0" xfId="0" applyFont="1" applyFill="1" applyAlignment="1">
      <alignment horizontal="center" vertical="center"/>
    </xf>
    <xf numFmtId="172" fontId="47" fillId="0" borderId="0" xfId="0" applyNumberFormat="1" applyFont="1" applyAlignment="1">
      <alignment horizontal="center" vertical="center"/>
    </xf>
    <xf numFmtId="0" fontId="43" fillId="14" borderId="33" xfId="0" applyFont="1" applyFill="1" applyBorder="1" applyAlignment="1">
      <alignment horizontal="center" vertical="center"/>
    </xf>
    <xf numFmtId="169" fontId="43" fillId="14" borderId="2" xfId="0" applyNumberFormat="1" applyFont="1" applyFill="1" applyBorder="1" applyAlignment="1">
      <alignment horizontal="center" vertical="center"/>
    </xf>
    <xf numFmtId="0" fontId="45" fillId="9" borderId="34" xfId="0" applyFont="1" applyFill="1" applyBorder="1" applyAlignment="1">
      <alignment horizontal="center" vertical="center"/>
    </xf>
    <xf numFmtId="169" fontId="45" fillId="9" borderId="35" xfId="0" applyNumberFormat="1" applyFont="1" applyFill="1" applyBorder="1" applyAlignment="1">
      <alignment horizontal="center" vertical="center"/>
    </xf>
    <xf numFmtId="0" fontId="45" fillId="9" borderId="35" xfId="0" applyFont="1" applyFill="1" applyBorder="1" applyAlignment="1">
      <alignment horizontal="center" vertical="center"/>
    </xf>
    <xf numFmtId="0" fontId="45" fillId="9" borderId="36" xfId="0" applyFont="1" applyFill="1" applyBorder="1" applyAlignment="1">
      <alignment horizontal="center" vertical="center"/>
    </xf>
    <xf numFmtId="169" fontId="11" fillId="0" borderId="0" xfId="0" applyNumberFormat="1" applyFont="1" applyAlignment="1">
      <alignment horizontal="center" vertical="center"/>
    </xf>
    <xf numFmtId="0" fontId="48" fillId="0" borderId="0" xfId="0" applyFont="1" applyAlignment="1">
      <alignment horizontal="left" vertical="center" indent="1"/>
    </xf>
    <xf numFmtId="0" fontId="49" fillId="0" borderId="0" xfId="0" applyFont="1" applyAlignment="1">
      <alignment horizontal="center" vertical="center"/>
    </xf>
    <xf numFmtId="4" fontId="12" fillId="0" borderId="0" xfId="0" applyNumberFormat="1" applyFont="1" applyAlignment="1">
      <alignment horizontal="center" vertical="center"/>
    </xf>
    <xf numFmtId="0" fontId="49" fillId="0" borderId="0" xfId="0" applyFont="1" applyAlignment="1">
      <alignment horizontal="left" vertical="center" indent="1"/>
    </xf>
    <xf numFmtId="164" fontId="50" fillId="4" borderId="6" xfId="12" applyNumberFormat="1" applyFont="1" applyFill="1" applyBorder="1" applyAlignment="1">
      <alignment horizontal="center" vertical="center"/>
    </xf>
    <xf numFmtId="0" fontId="51" fillId="0" borderId="6" xfId="0" applyFont="1" applyBorder="1" applyAlignment="1">
      <alignment horizontal="center" vertical="center"/>
    </xf>
    <xf numFmtId="0" fontId="51" fillId="0" borderId="1" xfId="0" applyFont="1" applyBorder="1" applyAlignment="1">
      <alignment horizontal="center" vertical="center"/>
    </xf>
    <xf numFmtId="0" fontId="51" fillId="0" borderId="13" xfId="0" applyFont="1" applyBorder="1" applyAlignment="1">
      <alignment horizontal="center" vertical="center"/>
    </xf>
    <xf numFmtId="0" fontId="51" fillId="0" borderId="2" xfId="0" applyFont="1" applyBorder="1" applyAlignment="1">
      <alignment horizontal="center" vertical="center"/>
    </xf>
    <xf numFmtId="165" fontId="52" fillId="0" borderId="6" xfId="0" applyNumberFormat="1" applyFont="1" applyBorder="1" applyAlignment="1">
      <alignment horizontal="center" vertical="center"/>
    </xf>
    <xf numFmtId="165" fontId="39" fillId="0" borderId="0" xfId="0" applyNumberFormat="1" applyFont="1" applyAlignment="1">
      <alignment horizontal="right" vertical="center"/>
    </xf>
    <xf numFmtId="0" fontId="49" fillId="0" borderId="16" xfId="0" applyFont="1" applyBorder="1" applyAlignment="1">
      <alignment horizontal="center" vertical="center"/>
    </xf>
    <xf numFmtId="165" fontId="49" fillId="15" borderId="4" xfId="0" applyNumberFormat="1" applyFont="1" applyFill="1" applyBorder="1" applyAlignment="1">
      <alignment horizontal="center" vertical="center"/>
    </xf>
    <xf numFmtId="165" fontId="49" fillId="15" borderId="17" xfId="0" applyNumberFormat="1" applyFont="1" applyFill="1" applyBorder="1" applyAlignment="1">
      <alignment horizontal="center" vertical="center"/>
    </xf>
    <xf numFmtId="165" fontId="49" fillId="15" borderId="5" xfId="0" applyNumberFormat="1" applyFont="1" applyFill="1" applyBorder="1" applyAlignment="1">
      <alignment horizontal="center" vertical="center"/>
    </xf>
    <xf numFmtId="4" fontId="12" fillId="0" borderId="5" xfId="0" applyNumberFormat="1" applyFont="1" applyBorder="1" applyAlignment="1">
      <alignment horizontal="center" vertical="center"/>
    </xf>
    <xf numFmtId="164" fontId="40" fillId="0" borderId="19" xfId="12" applyNumberFormat="1" applyFont="1" applyFill="1" applyBorder="1" applyAlignment="1">
      <alignment horizontal="right" vertical="center"/>
    </xf>
    <xf numFmtId="164" fontId="39" fillId="0" borderId="0" xfId="12" applyNumberFormat="1" applyFont="1" applyFill="1" applyAlignment="1">
      <alignment horizontal="right" vertical="center"/>
    </xf>
    <xf numFmtId="0" fontId="49" fillId="0" borderId="18" xfId="0" applyFont="1" applyBorder="1" applyAlignment="1">
      <alignment horizontal="center" vertical="center"/>
    </xf>
    <xf numFmtId="165" fontId="49" fillId="15" borderId="9" xfId="0" applyNumberFormat="1" applyFont="1" applyFill="1" applyBorder="1" applyAlignment="1">
      <alignment horizontal="center" vertical="center"/>
    </xf>
    <xf numFmtId="165" fontId="49" fillId="15" borderId="10" xfId="0" applyNumberFormat="1" applyFont="1" applyFill="1" applyBorder="1" applyAlignment="1">
      <alignment horizontal="center" vertical="center"/>
    </xf>
    <xf numFmtId="165" fontId="49" fillId="15" borderId="3" xfId="0" applyNumberFormat="1" applyFont="1" applyFill="1" applyBorder="1" applyAlignment="1">
      <alignment horizontal="center" vertical="center"/>
    </xf>
    <xf numFmtId="4" fontId="12" fillId="0" borderId="3" xfId="0" applyNumberFormat="1" applyFont="1" applyBorder="1" applyAlignment="1">
      <alignment horizontal="center" vertical="center"/>
    </xf>
    <xf numFmtId="164" fontId="40" fillId="0" borderId="18" xfId="12" applyNumberFormat="1" applyFont="1" applyFill="1" applyBorder="1" applyAlignment="1">
      <alignment horizontal="right" vertical="center"/>
    </xf>
    <xf numFmtId="0" fontId="38" fillId="0" borderId="0" xfId="0" applyFont="1" applyAlignment="1">
      <alignment horizontal="center" vertical="center"/>
    </xf>
    <xf numFmtId="165" fontId="49" fillId="0" borderId="0" xfId="0" applyNumberFormat="1" applyFont="1" applyAlignment="1">
      <alignment horizontal="left" vertical="center" indent="1"/>
    </xf>
    <xf numFmtId="164" fontId="40" fillId="0" borderId="0" xfId="12" applyNumberFormat="1" applyFont="1" applyFill="1" applyAlignment="1">
      <alignment horizontal="center" vertical="center"/>
    </xf>
    <xf numFmtId="0" fontId="53" fillId="0" borderId="0" xfId="0" applyFont="1" applyAlignment="1">
      <alignment horizontal="left" vertical="center" indent="1"/>
    </xf>
    <xf numFmtId="0" fontId="53" fillId="0" borderId="0" xfId="0" applyFont="1" applyAlignment="1">
      <alignment horizontal="center" vertical="center"/>
    </xf>
    <xf numFmtId="164" fontId="40" fillId="4" borderId="6" xfId="12" applyNumberFormat="1" applyFont="1" applyFill="1" applyBorder="1" applyAlignment="1">
      <alignment horizontal="center" vertical="center"/>
    </xf>
    <xf numFmtId="166" fontId="20" fillId="0" borderId="0" xfId="0" applyNumberFormat="1" applyFont="1" applyAlignment="1">
      <alignment horizontal="right" vertical="center"/>
    </xf>
    <xf numFmtId="0" fontId="53" fillId="0" borderId="16" xfId="0" applyFont="1" applyBorder="1" applyAlignment="1">
      <alignment horizontal="center" vertical="center"/>
    </xf>
    <xf numFmtId="165" fontId="53" fillId="15" borderId="4" xfId="0" applyNumberFormat="1" applyFont="1" applyFill="1" applyBorder="1" applyAlignment="1">
      <alignment horizontal="center" vertical="center"/>
    </xf>
    <xf numFmtId="165" fontId="53" fillId="15" borderId="17" xfId="0" applyNumberFormat="1" applyFont="1" applyFill="1" applyBorder="1" applyAlignment="1">
      <alignment horizontal="center" vertical="center"/>
    </xf>
    <xf numFmtId="165" fontId="53" fillId="15" borderId="5" xfId="0" applyNumberFormat="1" applyFont="1" applyFill="1" applyBorder="1" applyAlignment="1">
      <alignment horizontal="center" vertical="center"/>
    </xf>
    <xf numFmtId="0" fontId="53" fillId="0" borderId="18" xfId="0" applyFont="1" applyBorder="1" applyAlignment="1">
      <alignment horizontal="center" vertical="center"/>
    </xf>
    <xf numFmtId="165" fontId="53" fillId="15" borderId="9" xfId="0" applyNumberFormat="1" applyFont="1" applyFill="1" applyBorder="1" applyAlignment="1">
      <alignment horizontal="center" vertical="center"/>
    </xf>
    <xf numFmtId="165" fontId="53" fillId="15" borderId="10" xfId="0" applyNumberFormat="1" applyFont="1" applyFill="1" applyBorder="1" applyAlignment="1">
      <alignment horizontal="center" vertical="center"/>
    </xf>
    <xf numFmtId="165" fontId="53" fillId="15" borderId="3" xfId="0" applyNumberFormat="1" applyFont="1" applyFill="1" applyBorder="1" applyAlignment="1">
      <alignment horizontal="center" vertical="center"/>
    </xf>
    <xf numFmtId="165" fontId="37" fillId="0" borderId="0" xfId="0" applyNumberFormat="1" applyFont="1" applyAlignment="1">
      <alignment horizontal="center" vertical="center"/>
    </xf>
    <xf numFmtId="3" fontId="37" fillId="0" borderId="0" xfId="0" applyNumberFormat="1" applyFont="1" applyAlignment="1">
      <alignment horizontal="center" vertical="center"/>
    </xf>
    <xf numFmtId="0" fontId="37" fillId="0" borderId="0" xfId="0" applyFont="1" applyAlignment="1">
      <alignment vertical="center"/>
    </xf>
    <xf numFmtId="4" fontId="39" fillId="0" borderId="0" xfId="0" applyNumberFormat="1" applyFont="1" applyAlignment="1">
      <alignment horizontal="center" vertical="center"/>
    </xf>
    <xf numFmtId="4" fontId="6" fillId="5" borderId="1" xfId="0" applyNumberFormat="1" applyFont="1" applyFill="1" applyBorder="1" applyAlignment="1">
      <alignment horizontal="right" vertical="center"/>
    </xf>
    <xf numFmtId="0" fontId="7" fillId="4" borderId="4" xfId="0" applyFont="1" applyFill="1" applyBorder="1" applyAlignment="1">
      <alignment horizontal="centerContinuous" vertical="center"/>
    </xf>
    <xf numFmtId="0" fontId="7" fillId="4" borderId="5" xfId="0" applyFont="1" applyFill="1" applyBorder="1" applyAlignment="1">
      <alignment horizontal="centerContinuous" vertical="center"/>
    </xf>
    <xf numFmtId="0" fontId="7" fillId="4" borderId="5" xfId="0" applyFont="1" applyFill="1" applyBorder="1" applyAlignment="1">
      <alignment horizontal="center" vertical="center"/>
    </xf>
    <xf numFmtId="164" fontId="8" fillId="0" borderId="2" xfId="12" applyNumberFormat="1" applyFont="1" applyBorder="1" applyAlignment="1">
      <alignment horizontal="center" vertical="center"/>
    </xf>
    <xf numFmtId="4" fontId="9" fillId="4" borderId="1" xfId="0" applyNumberFormat="1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4" fontId="12" fillId="4" borderId="7" xfId="0" applyNumberFormat="1" applyFont="1" applyFill="1" applyBorder="1" applyAlignment="1">
      <alignment horizontal="center" vertical="center"/>
    </xf>
    <xf numFmtId="164" fontId="8" fillId="0" borderId="8" xfId="12" applyNumberFormat="1" applyFont="1" applyBorder="1" applyAlignment="1">
      <alignment horizontal="center" vertical="center"/>
    </xf>
    <xf numFmtId="2" fontId="12" fillId="4" borderId="8" xfId="0" applyNumberFormat="1" applyFont="1" applyFill="1" applyBorder="1" applyAlignment="1">
      <alignment horizontal="center" vertical="center"/>
    </xf>
    <xf numFmtId="4" fontId="12" fillId="4" borderId="9" xfId="0" applyNumberFormat="1" applyFont="1" applyFill="1" applyBorder="1" applyAlignment="1">
      <alignment horizontal="center" vertical="center"/>
    </xf>
    <xf numFmtId="164" fontId="8" fillId="0" borderId="3" xfId="12" applyNumberFormat="1" applyFont="1" applyBorder="1" applyAlignment="1">
      <alignment horizontal="center" vertical="center"/>
    </xf>
    <xf numFmtId="2" fontId="12" fillId="4" borderId="3" xfId="0" applyNumberFormat="1" applyFont="1" applyFill="1" applyBorder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165" fontId="9" fillId="4" borderId="1" xfId="0" applyNumberFormat="1" applyFont="1" applyFill="1" applyBorder="1" applyAlignment="1">
      <alignment horizontal="center" vertical="center"/>
    </xf>
    <xf numFmtId="166" fontId="12" fillId="4" borderId="2" xfId="0" applyNumberFormat="1" applyFont="1" applyFill="1" applyBorder="1" applyAlignment="1">
      <alignment horizontal="center" vertical="center"/>
    </xf>
    <xf numFmtId="0" fontId="18" fillId="7" borderId="11" xfId="0" applyFont="1" applyFill="1" applyBorder="1" applyAlignment="1">
      <alignment horizontal="center" vertical="center"/>
    </xf>
    <xf numFmtId="0" fontId="18" fillId="7" borderId="12" xfId="0" applyFont="1" applyFill="1" applyBorder="1" applyAlignment="1">
      <alignment horizontal="center" vertical="center"/>
    </xf>
    <xf numFmtId="0" fontId="18" fillId="7" borderId="13" xfId="0" applyFont="1" applyFill="1" applyBorder="1" applyAlignment="1">
      <alignment horizontal="center" vertical="center"/>
    </xf>
    <xf numFmtId="0" fontId="18" fillId="7" borderId="14" xfId="0" applyFont="1" applyFill="1" applyBorder="1" applyAlignment="1">
      <alignment horizontal="center" vertical="center"/>
    </xf>
    <xf numFmtId="0" fontId="19" fillId="7" borderId="15" xfId="0" applyFont="1" applyFill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4" fontId="12" fillId="0" borderId="17" xfId="0" applyNumberFormat="1" applyFont="1" applyBorder="1" applyAlignment="1">
      <alignment horizontal="center" vertical="center"/>
    </xf>
    <xf numFmtId="4" fontId="12" fillId="0" borderId="16" xfId="0" applyNumberFormat="1" applyFont="1" applyBorder="1" applyAlignment="1">
      <alignment horizontal="center" vertical="center"/>
    </xf>
    <xf numFmtId="4" fontId="20" fillId="0" borderId="0" xfId="0" applyNumberFormat="1" applyFont="1" applyAlignment="1">
      <alignment horizontal="left" vertical="center" indent="1"/>
    </xf>
    <xf numFmtId="0" fontId="7" fillId="0" borderId="18" xfId="0" applyFont="1" applyBorder="1" applyAlignment="1">
      <alignment horizontal="center" vertical="center"/>
    </xf>
    <xf numFmtId="4" fontId="12" fillId="0" borderId="10" xfId="0" applyNumberFormat="1" applyFont="1" applyBorder="1" applyAlignment="1">
      <alignment horizontal="center" vertical="center"/>
    </xf>
    <xf numFmtId="4" fontId="12" fillId="0" borderId="18" xfId="0" applyNumberFormat="1" applyFont="1" applyBorder="1" applyAlignment="1">
      <alignment horizontal="center" vertical="center"/>
    </xf>
    <xf numFmtId="0" fontId="20" fillId="0" borderId="0" xfId="0" applyFont="1" applyAlignment="1">
      <alignment horizontal="left" vertical="center" indent="1"/>
    </xf>
    <xf numFmtId="0" fontId="22" fillId="0" borderId="0" xfId="0" applyFont="1" applyAlignment="1">
      <alignment horizontal="left" vertical="center" indent="1"/>
    </xf>
    <xf numFmtId="2" fontId="22" fillId="0" borderId="0" xfId="0" applyNumberFormat="1" applyFont="1" applyAlignment="1">
      <alignment horizontal="left" vertical="center" indent="1"/>
    </xf>
    <xf numFmtId="172" fontId="20" fillId="0" borderId="0" xfId="0" applyNumberFormat="1" applyFont="1" applyAlignment="1">
      <alignment horizontal="left" vertical="center" indent="1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2" fontId="4" fillId="0" borderId="0" xfId="0" applyNumberFormat="1" applyFont="1" applyAlignment="1">
      <alignment horizontal="center" vertical="center"/>
    </xf>
    <xf numFmtId="0" fontId="23" fillId="0" borderId="7" xfId="8" applyFont="1" applyBorder="1" applyAlignment="1">
      <alignment horizontal="left" vertical="center" indent="1"/>
    </xf>
    <xf numFmtId="1" fontId="5" fillId="4" borderId="16" xfId="1" applyNumberFormat="1" applyFont="1" applyFill="1" applyBorder="1" applyAlignment="1">
      <alignment horizontal="center" vertical="center"/>
    </xf>
    <xf numFmtId="0" fontId="5" fillId="4" borderId="4" xfId="8" applyFont="1" applyFill="1" applyBorder="1" applyAlignment="1">
      <alignment horizontal="center" vertical="center"/>
    </xf>
    <xf numFmtId="0" fontId="5" fillId="4" borderId="17" xfId="8" applyFont="1" applyFill="1" applyBorder="1" applyAlignment="1">
      <alignment horizontal="center" vertical="center"/>
    </xf>
    <xf numFmtId="2" fontId="5" fillId="4" borderId="16" xfId="8" applyNumberFormat="1" applyFont="1" applyFill="1" applyBorder="1" applyAlignment="1">
      <alignment horizontal="center" vertical="center"/>
    </xf>
    <xf numFmtId="0" fontId="95" fillId="0" borderId="55" xfId="0" applyFont="1" applyBorder="1" applyAlignment="1">
      <alignment vertical="center"/>
    </xf>
    <xf numFmtId="1" fontId="4" fillId="0" borderId="19" xfId="1" applyNumberFormat="1" applyFont="1" applyBorder="1" applyAlignment="1">
      <alignment horizontal="center" vertical="center"/>
    </xf>
    <xf numFmtId="0" fontId="4" fillId="0" borderId="9" xfId="8" applyFont="1" applyBorder="1" applyAlignment="1">
      <alignment horizontal="left" vertical="center" indent="3"/>
    </xf>
    <xf numFmtId="0" fontId="4" fillId="0" borderId="10" xfId="8" applyFont="1" applyBorder="1" applyAlignment="1">
      <alignment horizontal="center" vertical="center"/>
    </xf>
    <xf numFmtId="0" fontId="4" fillId="0" borderId="9" xfId="8" applyFont="1" applyBorder="1" applyAlignment="1">
      <alignment horizontal="center" vertical="center"/>
    </xf>
    <xf numFmtId="0" fontId="4" fillId="0" borderId="18" xfId="8" applyFont="1" applyBorder="1" applyAlignment="1">
      <alignment horizontal="center" vertical="center"/>
    </xf>
    <xf numFmtId="0" fontId="5" fillId="4" borderId="4" xfId="8" applyFont="1" applyFill="1" applyBorder="1" applyAlignment="1">
      <alignment horizontal="left" vertical="center"/>
    </xf>
    <xf numFmtId="2" fontId="4" fillId="0" borderId="18" xfId="8" applyNumberFormat="1" applyFont="1" applyBorder="1" applyAlignment="1">
      <alignment horizontal="center" vertical="center"/>
    </xf>
    <xf numFmtId="0" fontId="5" fillId="4" borderId="7" xfId="8" applyFont="1" applyFill="1" applyBorder="1" applyAlignment="1">
      <alignment horizontal="left" vertical="center"/>
    </xf>
    <xf numFmtId="0" fontId="5" fillId="4" borderId="0" xfId="8" applyFont="1" applyFill="1" applyAlignment="1">
      <alignment horizontal="center" vertical="center"/>
    </xf>
    <xf numFmtId="2" fontId="5" fillId="4" borderId="19" xfId="8" applyNumberFormat="1" applyFont="1" applyFill="1" applyBorder="1" applyAlignment="1">
      <alignment horizontal="center" vertical="center"/>
    </xf>
    <xf numFmtId="2" fontId="4" fillId="0" borderId="19" xfId="8" applyNumberFormat="1" applyFont="1" applyBorder="1" applyAlignment="1">
      <alignment horizontal="center" vertical="center"/>
    </xf>
    <xf numFmtId="0" fontId="11" fillId="0" borderId="7" xfId="8" applyFont="1" applyBorder="1" applyAlignment="1">
      <alignment horizontal="left" vertical="center" indent="2"/>
    </xf>
    <xf numFmtId="0" fontId="95" fillId="0" borderId="55" xfId="0" applyFont="1" applyBorder="1" applyAlignment="1">
      <alignment horizontal="left" vertical="center"/>
    </xf>
    <xf numFmtId="1" fontId="4" fillId="0" borderId="18" xfId="1" applyNumberFormat="1" applyFont="1" applyBorder="1" applyAlignment="1">
      <alignment horizontal="center" vertical="center"/>
    </xf>
    <xf numFmtId="0" fontId="4" fillId="0" borderId="7" xfId="8" applyFont="1" applyBorder="1" applyAlignment="1">
      <alignment horizontal="left" vertical="center" indent="3"/>
    </xf>
    <xf numFmtId="1" fontId="5" fillId="4" borderId="19" xfId="1" applyNumberFormat="1" applyFont="1" applyFill="1" applyBorder="1" applyAlignment="1">
      <alignment horizontal="center" vertical="center"/>
    </xf>
    <xf numFmtId="1" fontId="11" fillId="0" borderId="19" xfId="1" applyNumberFormat="1" applyFont="1" applyBorder="1" applyAlignment="1">
      <alignment horizontal="center" vertical="center"/>
    </xf>
    <xf numFmtId="2" fontId="25" fillId="0" borderId="19" xfId="0" applyNumberFormat="1" applyFont="1" applyBorder="1" applyAlignment="1">
      <alignment horizontal="center"/>
    </xf>
    <xf numFmtId="0" fontId="97" fillId="0" borderId="55" xfId="0" applyFont="1" applyBorder="1" applyAlignment="1">
      <alignment vertical="center"/>
    </xf>
    <xf numFmtId="2" fontId="5" fillId="0" borderId="19" xfId="0" applyNumberFormat="1" applyFont="1" applyBorder="1" applyAlignment="1">
      <alignment horizontal="center" vertical="center"/>
    </xf>
    <xf numFmtId="2" fontId="4" fillId="4" borderId="16" xfId="1" applyNumberFormat="1" applyFont="1" applyFill="1" applyBorder="1" applyAlignment="1">
      <alignment horizontal="center" vertical="center"/>
    </xf>
    <xf numFmtId="1" fontId="24" fillId="0" borderId="19" xfId="1" applyNumberFormat="1" applyFont="1" applyBorder="1" applyAlignment="1">
      <alignment horizontal="center" vertical="center"/>
    </xf>
    <xf numFmtId="2" fontId="45" fillId="0" borderId="19" xfId="0" applyNumberFormat="1" applyFont="1" applyBorder="1" applyAlignment="1">
      <alignment horizontal="center" vertical="center"/>
    </xf>
    <xf numFmtId="0" fontId="4" fillId="0" borderId="3" xfId="8" applyFont="1" applyBorder="1" applyAlignment="1">
      <alignment horizontal="center" vertical="center"/>
    </xf>
    <xf numFmtId="0" fontId="5" fillId="4" borderId="19" xfId="8" applyFont="1" applyFill="1" applyBorder="1" applyAlignment="1">
      <alignment horizontal="center" vertical="center"/>
    </xf>
    <xf numFmtId="0" fontId="5" fillId="4" borderId="16" xfId="8" applyFont="1" applyFill="1" applyBorder="1" applyAlignment="1">
      <alignment horizontal="center" vertical="center"/>
    </xf>
    <xf numFmtId="2" fontId="5" fillId="4" borderId="5" xfId="8" applyNumberFormat="1" applyFont="1" applyFill="1" applyBorder="1" applyAlignment="1">
      <alignment horizontal="center" vertical="center"/>
    </xf>
    <xf numFmtId="0" fontId="21" fillId="0" borderId="19" xfId="0" applyFont="1" applyBorder="1" applyAlignment="1">
      <alignment horizontal="center" vertical="center"/>
    </xf>
    <xf numFmtId="0" fontId="96" fillId="0" borderId="56" xfId="0" applyFont="1" applyBorder="1" applyAlignment="1">
      <alignment horizontal="center" vertical="center"/>
    </xf>
    <xf numFmtId="4" fontId="96" fillId="0" borderId="57" xfId="0" applyNumberFormat="1" applyFont="1" applyBorder="1" applyAlignment="1">
      <alignment horizontal="center" vertical="center"/>
    </xf>
    <xf numFmtId="4" fontId="98" fillId="70" borderId="58" xfId="0" applyNumberFormat="1" applyFont="1" applyFill="1" applyBorder="1" applyAlignment="1">
      <alignment horizontal="center" vertical="center"/>
    </xf>
    <xf numFmtId="0" fontId="96" fillId="0" borderId="59" xfId="0" applyFont="1" applyBorder="1" applyAlignment="1">
      <alignment horizontal="center" vertical="center"/>
    </xf>
    <xf numFmtId="0" fontId="21" fillId="0" borderId="59" xfId="0" applyFont="1" applyBorder="1" applyAlignment="1">
      <alignment horizontal="center" vertical="center"/>
    </xf>
    <xf numFmtId="0" fontId="96" fillId="0" borderId="57" xfId="0" applyFont="1" applyBorder="1" applyAlignment="1">
      <alignment horizontal="center" vertical="center"/>
    </xf>
    <xf numFmtId="0" fontId="99" fillId="0" borderId="55" xfId="0" applyFont="1" applyBorder="1" applyAlignment="1">
      <alignment horizontal="left"/>
    </xf>
    <xf numFmtId="0" fontId="0" fillId="0" borderId="59" xfId="0" applyBorder="1" applyAlignment="1">
      <alignment horizontal="center"/>
    </xf>
    <xf numFmtId="4" fontId="0" fillId="0" borderId="57" xfId="0" applyNumberFormat="1" applyBorder="1" applyAlignment="1">
      <alignment horizontal="center"/>
    </xf>
    <xf numFmtId="4" fontId="100" fillId="0" borderId="57" xfId="0" applyNumberFormat="1" applyFont="1" applyBorder="1" applyAlignment="1">
      <alignment horizontal="center" vertical="center"/>
    </xf>
    <xf numFmtId="0" fontId="5" fillId="0" borderId="55" xfId="0" applyFont="1" applyBorder="1" applyAlignment="1">
      <alignment vertical="center"/>
    </xf>
    <xf numFmtId="4" fontId="101" fillId="0" borderId="57" xfId="0" applyNumberFormat="1" applyFont="1" applyBorder="1" applyAlignment="1">
      <alignment horizontal="center" vertical="center"/>
    </xf>
    <xf numFmtId="4" fontId="25" fillId="0" borderId="57" xfId="0" applyNumberFormat="1" applyFont="1" applyBorder="1" applyAlignment="1">
      <alignment horizontal="center" vertical="center"/>
    </xf>
    <xf numFmtId="0" fontId="0" fillId="0" borderId="18" xfId="0" applyBorder="1"/>
    <xf numFmtId="2" fontId="103" fillId="0" borderId="19" xfId="189" applyNumberFormat="1" applyFont="1" applyBorder="1" applyAlignment="1">
      <alignment horizontal="center" vertical="center"/>
    </xf>
    <xf numFmtId="2" fontId="5" fillId="4" borderId="16" xfId="190" applyNumberFormat="1" applyFont="1" applyFill="1" applyBorder="1" applyAlignment="1">
      <alignment horizontal="center" vertical="center"/>
    </xf>
    <xf numFmtId="0" fontId="0" fillId="0" borderId="19" xfId="0" applyBorder="1"/>
    <xf numFmtId="0" fontId="95" fillId="71" borderId="55" xfId="0" applyFont="1" applyFill="1" applyBorder="1" applyAlignment="1">
      <alignment horizontal="left" vertical="center"/>
    </xf>
    <xf numFmtId="2" fontId="103" fillId="72" borderId="19" xfId="189" applyNumberFormat="1" applyFont="1" applyFill="1" applyBorder="1" applyAlignment="1">
      <alignment horizontal="center" vertical="center"/>
    </xf>
    <xf numFmtId="0" fontId="4" fillId="0" borderId="7" xfId="0" applyFont="1" applyBorder="1" applyAlignment="1">
      <alignment horizontal="left" vertical="center" indent="1"/>
    </xf>
    <xf numFmtId="0" fontId="4" fillId="0" borderId="7" xfId="190" applyFont="1" applyBorder="1" applyAlignment="1">
      <alignment horizontal="left" vertical="center" indent="2"/>
    </xf>
    <xf numFmtId="0" fontId="23" fillId="0" borderId="7" xfId="0" applyFont="1" applyBorder="1" applyAlignment="1">
      <alignment horizontal="left" vertical="center" indent="1"/>
    </xf>
    <xf numFmtId="0" fontId="4" fillId="0" borderId="7" xfId="0" applyFont="1" applyBorder="1" applyAlignment="1">
      <alignment horizontal="center" vertical="center"/>
    </xf>
    <xf numFmtId="4" fontId="103" fillId="0" borderId="19" xfId="189" applyNumberFormat="1" applyFont="1" applyBorder="1" applyAlignment="1">
      <alignment horizontal="center" vertical="center"/>
    </xf>
    <xf numFmtId="0" fontId="104" fillId="0" borderId="7" xfId="8" applyFont="1" applyBorder="1" applyAlignment="1">
      <alignment horizontal="left" vertical="center" indent="1"/>
    </xf>
    <xf numFmtId="4" fontId="103" fillId="72" borderId="19" xfId="189" applyNumberFormat="1" applyFont="1" applyFill="1" applyBorder="1" applyAlignment="1">
      <alignment horizontal="center" vertical="center"/>
    </xf>
    <xf numFmtId="0" fontId="4" fillId="0" borderId="18" xfId="190" applyFont="1" applyBorder="1" applyAlignment="1">
      <alignment horizontal="center" vertical="center"/>
    </xf>
    <xf numFmtId="0" fontId="4" fillId="0" borderId="19" xfId="190" applyFont="1" applyBorder="1" applyAlignment="1">
      <alignment horizontal="center" vertical="center"/>
    </xf>
    <xf numFmtId="2" fontId="21" fillId="0" borderId="19" xfId="0" applyNumberFormat="1" applyFont="1" applyBorder="1" applyAlignment="1">
      <alignment horizontal="center" vertical="center"/>
    </xf>
    <xf numFmtId="0" fontId="105" fillId="0" borderId="19" xfId="0" applyFont="1" applyBorder="1" applyAlignment="1">
      <alignment horizontal="center"/>
    </xf>
    <xf numFmtId="2" fontId="11" fillId="0" borderId="19" xfId="0" applyNumberFormat="1" applyFont="1" applyBorder="1" applyAlignment="1">
      <alignment horizontal="center" vertical="center"/>
    </xf>
    <xf numFmtId="0" fontId="26" fillId="0" borderId="19" xfId="0" applyFont="1" applyBorder="1" applyAlignment="1">
      <alignment horizontal="center" vertical="center"/>
    </xf>
    <xf numFmtId="0" fontId="106" fillId="0" borderId="19" xfId="0" applyFont="1" applyBorder="1" applyAlignment="1">
      <alignment horizontal="center"/>
    </xf>
    <xf numFmtId="0" fontId="15" fillId="0" borderId="10" xfId="0" applyFont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31" fillId="11" borderId="0" xfId="0" applyFont="1" applyFill="1" applyAlignment="1">
      <alignment horizontal="left" vertical="center" wrapText="1"/>
    </xf>
    <xf numFmtId="0" fontId="31" fillId="0" borderId="23" xfId="0" applyFont="1" applyBorder="1" applyAlignment="1">
      <alignment horizontal="left"/>
    </xf>
    <xf numFmtId="172" fontId="38" fillId="0" borderId="16" xfId="0" applyNumberFormat="1" applyFont="1" applyBorder="1" applyAlignment="1">
      <alignment horizontal="center" vertical="center"/>
    </xf>
    <xf numFmtId="0" fontId="33" fillId="10" borderId="16" xfId="0" applyFont="1" applyFill="1" applyBorder="1" applyAlignment="1">
      <alignment horizontal="center" vertical="center"/>
    </xf>
    <xf numFmtId="0" fontId="33" fillId="10" borderId="22" xfId="0" applyFont="1" applyFill="1" applyBorder="1" applyAlignment="1">
      <alignment horizontal="center" vertical="center"/>
    </xf>
    <xf numFmtId="17" fontId="107" fillId="12" borderId="20" xfId="0" applyNumberFormat="1" applyFont="1" applyFill="1" applyBorder="1" applyAlignment="1">
      <alignment horizontal="center" vertical="center"/>
    </xf>
    <xf numFmtId="17" fontId="108" fillId="12" borderId="20" xfId="0" applyNumberFormat="1" applyFont="1" applyFill="1" applyBorder="1" applyAlignment="1">
      <alignment horizontal="center" vertical="center"/>
    </xf>
    <xf numFmtId="0" fontId="109" fillId="0" borderId="0" xfId="0" applyFont="1" applyAlignment="1">
      <alignment horizontal="center" vertical="center"/>
    </xf>
    <xf numFmtId="0" fontId="110" fillId="0" borderId="0" xfId="0" applyFont="1" applyAlignment="1">
      <alignment horizontal="center" vertical="center"/>
    </xf>
  </cellXfs>
  <cellStyles count="191">
    <cellStyle name="20% - Énfasis1" xfId="29" builtinId="30" customBuiltin="1"/>
    <cellStyle name="20% - Énfasis1 2" xfId="46" xr:uid="{F2487A9B-15E6-440F-A5AC-66EFE815CEE6}"/>
    <cellStyle name="20% - Énfasis1 3" xfId="47" xr:uid="{069A1678-8908-4810-B5B3-0AA5FB0CD1D8}"/>
    <cellStyle name="20% - Énfasis2" xfId="32" builtinId="34" customBuiltin="1"/>
    <cellStyle name="20% - Énfasis2 2" xfId="48" xr:uid="{43BC370D-BFAB-4503-8958-E28C02582DF8}"/>
    <cellStyle name="20% - Énfasis2 3" xfId="49" xr:uid="{F155B97A-F0C4-4104-98EB-30DF2DA18727}"/>
    <cellStyle name="20% - Énfasis3" xfId="35" builtinId="38" customBuiltin="1"/>
    <cellStyle name="20% - Énfasis3 2" xfId="50" xr:uid="{837A84E9-8993-45FD-9CA5-87F5E0FF5A90}"/>
    <cellStyle name="20% - Énfasis3 3" xfId="51" xr:uid="{67B248F0-C53B-4E36-BD65-C97F027B66F8}"/>
    <cellStyle name="20% - Énfasis4" xfId="38" builtinId="42" customBuiltin="1"/>
    <cellStyle name="20% - Énfasis4 2" xfId="52" xr:uid="{5E66AC59-118E-4227-9EAE-A0382EC5B589}"/>
    <cellStyle name="20% - Énfasis4 3" xfId="53" xr:uid="{7C59EFA2-223D-4DAB-92E5-72B78C119485}"/>
    <cellStyle name="20% - Énfasis5" xfId="41" builtinId="46" customBuiltin="1"/>
    <cellStyle name="20% - Énfasis5 2" xfId="54" xr:uid="{86D85FB4-D555-4EEE-8334-8B52A849AAC9}"/>
    <cellStyle name="20% - Énfasis5 3" xfId="55" xr:uid="{854B6613-388B-4A35-8FAD-548B6FEE02EE}"/>
    <cellStyle name="20% - Énfasis6" xfId="44" builtinId="50" customBuiltin="1"/>
    <cellStyle name="20% - Énfasis6 2" xfId="56" xr:uid="{8E343FFF-8519-494D-A168-96A6167A02EE}"/>
    <cellStyle name="20% - Énfasis6 3" xfId="57" xr:uid="{59158D2E-0140-4C74-BD04-8BCB399026A9}"/>
    <cellStyle name="40% - Énfasis1" xfId="30" builtinId="31" customBuiltin="1"/>
    <cellStyle name="40% - Énfasis1 2" xfId="58" xr:uid="{8BC16103-3D2D-4D65-98DC-63637AD55613}"/>
    <cellStyle name="40% - Énfasis1 3" xfId="59" xr:uid="{04CB2C92-A197-4C2F-BE83-D30AC9EA69C2}"/>
    <cellStyle name="40% - Énfasis2" xfId="33" builtinId="35" customBuiltin="1"/>
    <cellStyle name="40% - Énfasis2 2" xfId="60" xr:uid="{06044EAB-D43E-4211-BE67-0DA9D57ED7A8}"/>
    <cellStyle name="40% - Énfasis2 3" xfId="61" xr:uid="{60A5C6BF-F424-41FB-A901-A1C85BFA6268}"/>
    <cellStyle name="40% - Énfasis3" xfId="36" builtinId="39" customBuiltin="1"/>
    <cellStyle name="40% - Énfasis3 2" xfId="62" xr:uid="{6350A017-ECC1-446F-A6F6-2F11C2496C60}"/>
    <cellStyle name="40% - Énfasis3 3" xfId="63" xr:uid="{2B3EFFB3-ADEB-4D2F-ACC1-3A4DE5FD037B}"/>
    <cellStyle name="40% - Énfasis4" xfId="39" builtinId="43" customBuiltin="1"/>
    <cellStyle name="40% - Énfasis4 2" xfId="64" xr:uid="{3D23E170-1399-4375-A8C6-061178CA1195}"/>
    <cellStyle name="40% - Énfasis4 3" xfId="65" xr:uid="{D3AC622C-2EE4-4143-8CAE-B0EE3442E154}"/>
    <cellStyle name="40% - Énfasis5" xfId="42" builtinId="47" customBuiltin="1"/>
    <cellStyle name="40% - Énfasis5 2" xfId="66" xr:uid="{6CEF7CB7-B874-4EFB-8AF5-481424159D17}"/>
    <cellStyle name="40% - Énfasis5 3" xfId="67" xr:uid="{308E596B-8F16-4290-A53C-79046D8E9EB2}"/>
    <cellStyle name="40% - Énfasis6" xfId="45" builtinId="51" customBuiltin="1"/>
    <cellStyle name="40% - Énfasis6 2" xfId="68" xr:uid="{1FCAE168-FBC4-4305-A0F2-20FCA7BD7841}"/>
    <cellStyle name="40% - Énfasis6 3" xfId="69" xr:uid="{BA48E029-47F3-406D-AD4C-16F378DC4890}"/>
    <cellStyle name="60% - Énfasis1 2" xfId="71" xr:uid="{113D6F42-5A55-4CAD-9CB9-6CFE0AD3B6DE}"/>
    <cellStyle name="60% - Énfasis1 3" xfId="70" xr:uid="{505AB1F1-DE02-44BD-9BD2-002A6A527506}"/>
    <cellStyle name="60% - Énfasis2 2" xfId="73" xr:uid="{08CF06BF-03D9-4C0D-BE31-CC012F67A275}"/>
    <cellStyle name="60% - Énfasis2 3" xfId="72" xr:uid="{819B597A-A921-4044-88B3-EAA3C898FE21}"/>
    <cellStyle name="60% - Énfasis3 2" xfId="75" xr:uid="{45F97D99-F1AE-45B7-AD93-EB86BAF08548}"/>
    <cellStyle name="60% - Énfasis3 3" xfId="74" xr:uid="{6EDBE18C-81A9-46EC-8330-B79ADD3331CF}"/>
    <cellStyle name="60% - Énfasis4 2" xfId="77" xr:uid="{B6D46BE7-F683-45C7-8EC9-3659B43EAC8F}"/>
    <cellStyle name="60% - Énfasis4 3" xfId="76" xr:uid="{99263A58-394F-4D30-8E33-02DF03FD3819}"/>
    <cellStyle name="60% - Énfasis5 2" xfId="79" xr:uid="{498F4D09-022F-40E8-A510-A900ABFE9ED6}"/>
    <cellStyle name="60% - Énfasis5 3" xfId="78" xr:uid="{24AA8900-543B-4F20-86CE-23672F5047F2}"/>
    <cellStyle name="60% - Énfasis6 2" xfId="81" xr:uid="{A5171938-7475-419F-8894-B5E9A48476CD}"/>
    <cellStyle name="60% - Énfasis6 3" xfId="80" xr:uid="{48225CC5-9EC5-4C47-9A48-13D87FB67461}"/>
    <cellStyle name="Bueno" xfId="17" builtinId="26" customBuiltin="1"/>
    <cellStyle name="Bueno 2" xfId="82" xr:uid="{B23437FD-6A7C-4B4C-AA26-684F35FFCDF7}"/>
    <cellStyle name="Cálculo" xfId="21" builtinId="22" customBuiltin="1"/>
    <cellStyle name="Cálculo 2" xfId="83" xr:uid="{9A50664F-BE06-4370-BAEE-A170C5D277DD}"/>
    <cellStyle name="Celda de comprobación" xfId="23" builtinId="23" customBuiltin="1"/>
    <cellStyle name="Celda de comprobación 2" xfId="84" xr:uid="{93F6A170-4A54-4007-B512-462374737669}"/>
    <cellStyle name="Celda vinculada" xfId="22" builtinId="24" customBuiltin="1"/>
    <cellStyle name="Celda vinculada 2" xfId="85" xr:uid="{E4B89DFC-B69B-4655-A1FA-A47A569D9809}"/>
    <cellStyle name="Comma 2" xfId="86" xr:uid="{4E671F50-B240-4232-8569-58E8A92D07EF}"/>
    <cellStyle name="Comma 2 2" xfId="87" xr:uid="{24999AA1-1201-4367-86B9-30814685A7E3}"/>
    <cellStyle name="Comma 2 2 2" xfId="88" xr:uid="{0A4C2977-1ABE-44A5-A441-CF878BC7FF9D}"/>
    <cellStyle name="Comma 2 3" xfId="89" xr:uid="{DE08798F-355F-4ED9-94BA-303D0E8A5661}"/>
    <cellStyle name="Comma 3" xfId="3" xr:uid="{00000000-0005-0000-0000-000000000000}"/>
    <cellStyle name="Encabezado 1" xfId="13" builtinId="16" customBuiltin="1"/>
    <cellStyle name="Encabezado 1 2" xfId="90" xr:uid="{1D44CDA1-5E4F-49F0-A661-CC871FBCB158}"/>
    <cellStyle name="Encabezado 4" xfId="16" builtinId="19" customBuiltin="1"/>
    <cellStyle name="Encabezado 4 2" xfId="91" xr:uid="{AC4EB9EC-C184-4559-B45B-47221D6AA669}"/>
    <cellStyle name="Énfasis1" xfId="28" builtinId="29" customBuiltin="1"/>
    <cellStyle name="Énfasis1 2" xfId="92" xr:uid="{3A6D53EB-9601-4B0D-A7E3-4D1B191F4910}"/>
    <cellStyle name="Énfasis1 2 2" xfId="93" xr:uid="{814569F3-AD2D-4194-A743-073A5B8954A8}"/>
    <cellStyle name="Énfasis1 3" xfId="94" xr:uid="{FDB575A1-C646-4FDD-957C-32D33665AE77}"/>
    <cellStyle name="Énfasis2" xfId="31" builtinId="33" customBuiltin="1"/>
    <cellStyle name="Énfasis2 2" xfId="95" xr:uid="{4CEF3D2F-0C34-4FB3-8794-F1A55C51AD4A}"/>
    <cellStyle name="Énfasis3" xfId="34" builtinId="37" customBuiltin="1"/>
    <cellStyle name="Énfasis3 2" xfId="96" xr:uid="{E131CF62-4790-4226-815B-C80AEAD78081}"/>
    <cellStyle name="Énfasis4" xfId="37" builtinId="41" customBuiltin="1"/>
    <cellStyle name="Énfasis4 2" xfId="97" xr:uid="{F3AD25FB-2534-4E63-A4E9-29F0552BB9FB}"/>
    <cellStyle name="Énfasis5" xfId="40" builtinId="45" customBuiltin="1"/>
    <cellStyle name="Énfasis5 2" xfId="98" xr:uid="{F2050898-BC55-459A-B2AD-CBCA39CFD5D4}"/>
    <cellStyle name="Énfasis6" xfId="43" builtinId="49" customBuiltin="1"/>
    <cellStyle name="Énfasis6 2" xfId="99" xr:uid="{2C031E97-F73D-4515-8540-6DE0ADE1B7BF}"/>
    <cellStyle name="Entrada" xfId="19" builtinId="20" customBuiltin="1"/>
    <cellStyle name="Entrada 2" xfId="100" xr:uid="{74C64230-7E8B-4950-B09D-ECEFEA28A5E8}"/>
    <cellStyle name="Euro" xfId="101" xr:uid="{9BFABDEF-5266-43A4-AAB3-F3B4D43FC7A4}"/>
    <cellStyle name="F2" xfId="102" xr:uid="{EF0D5B81-A49A-4CCE-958D-72FA5B84A07A}"/>
    <cellStyle name="F3" xfId="103" xr:uid="{C716F3B9-8AFC-4953-B534-6327D622D520}"/>
    <cellStyle name="F4" xfId="104" xr:uid="{8EFF72EB-2F0A-413E-A8B0-0D4AECCB22A3}"/>
    <cellStyle name="F5" xfId="105" xr:uid="{80AC920D-BD22-4633-AD6E-471C499FD2EE}"/>
    <cellStyle name="F6" xfId="106" xr:uid="{059FF31F-EB9E-4159-8735-E20289A2294D}"/>
    <cellStyle name="F7" xfId="107" xr:uid="{62386D24-F960-4594-90F8-66BEF8D4F010}"/>
    <cellStyle name="F8" xfId="108" xr:uid="{951B9EFE-3CBB-442E-9506-3F9E5AA77746}"/>
    <cellStyle name="Hipervínculo 2" xfId="109" xr:uid="{705AE84C-FC98-413F-88E4-F8E234B20A98}"/>
    <cellStyle name="Incorrecto" xfId="18" builtinId="27" customBuiltin="1"/>
    <cellStyle name="Incorrecto 2" xfId="110" xr:uid="{11B8CECD-755B-4E15-8DD2-06D687E02A02}"/>
    <cellStyle name="Millares 10" xfId="111" xr:uid="{1103C25B-B482-4179-B40A-705F0D35D629}"/>
    <cellStyle name="Millares 10 2" xfId="112" xr:uid="{300716D7-2932-400A-9372-867EB0405A3F}"/>
    <cellStyle name="Millares 11" xfId="113" xr:uid="{EEEFB09A-5CE6-4119-9F97-819A322E33D4}"/>
    <cellStyle name="Millares 2" xfId="11" xr:uid="{FC3C99BD-D7B6-4BE5-B549-F256794B7AC3}"/>
    <cellStyle name="Millares 2 2" xfId="115" xr:uid="{CF5BD802-999F-44FD-8E47-5B9591067047}"/>
    <cellStyle name="Millares 2 3" xfId="116" xr:uid="{15929D88-4F41-485C-A220-D89762030A5E}"/>
    <cellStyle name="Millares 2 4" xfId="117" xr:uid="{66C1004B-CC7C-4BC1-A711-5CEF845018CA}"/>
    <cellStyle name="Millares 2 5" xfId="114" xr:uid="{E2D3AE24-159C-4471-ADC8-4E9A70DCD22F}"/>
    <cellStyle name="Millares 2 6" xfId="9" xr:uid="{3F6BF3FC-FDAE-49E1-B727-D66D07645B60}"/>
    <cellStyle name="Millares 3" xfId="118" xr:uid="{B8360180-2781-4315-A806-1F9D1F3B3D36}"/>
    <cellStyle name="Millares 3 2" xfId="119" xr:uid="{517ECD09-A09F-4161-A6F8-609C0441D115}"/>
    <cellStyle name="Millares 3 3" xfId="120" xr:uid="{8041430D-38B8-4F34-AC08-E7297C9117C1}"/>
    <cellStyle name="Millares 3 3 2" xfId="121" xr:uid="{405A743D-9AD8-4625-8762-6AB5DEFCFBE1}"/>
    <cellStyle name="Millares 3 4" xfId="122" xr:uid="{4237A8B6-C736-4E48-9355-CAAB4676F171}"/>
    <cellStyle name="Millares 4" xfId="123" xr:uid="{C80CCCC4-0812-4607-BEBA-CB7893544B22}"/>
    <cellStyle name="Millares 4 2" xfId="124" xr:uid="{E0A83073-7326-4B02-8B52-E18C6DC30513}"/>
    <cellStyle name="Millares 4 2 2" xfId="125" xr:uid="{96494492-7597-451A-A81D-4A688714E307}"/>
    <cellStyle name="Millares 4 3" xfId="126" xr:uid="{84851BE8-937F-4116-9D57-2568F001293A}"/>
    <cellStyle name="Millares 5" xfId="127" xr:uid="{388C62E0-5010-4A9B-A9B5-AFB329AEB9E5}"/>
    <cellStyle name="Millares 5 2" xfId="128" xr:uid="{A0017C95-C93B-4988-B1BC-DEAD8CD55FDE}"/>
    <cellStyle name="Millares 5 2 2" xfId="129" xr:uid="{FCCFFA39-0E97-4287-B6A8-39E5FDBA8B17}"/>
    <cellStyle name="Millares 5 3" xfId="130" xr:uid="{71E5F9E0-BF7E-444E-803D-FE5F18D6943A}"/>
    <cellStyle name="Millares 6" xfId="131" xr:uid="{F8678485-34EB-4DD2-AB43-DE36ECECEF85}"/>
    <cellStyle name="Millares 7" xfId="132" xr:uid="{54F465C0-99AE-49DF-BED5-BFE57BF89AF4}"/>
    <cellStyle name="Millares 8" xfId="133" xr:uid="{1D2B4878-424F-4CF1-9463-F7B3D71F3146}"/>
    <cellStyle name="Millares 9" xfId="134" xr:uid="{944B0C56-082A-439C-A43E-C113CF0DBB2C}"/>
    <cellStyle name="Millares 9 2" xfId="135" xr:uid="{64C068D2-D5F6-4035-A3BB-FEAF58A05C0C}"/>
    <cellStyle name="Millares 9 2 2" xfId="136" xr:uid="{0916928B-C341-47F8-BD30-837632575115}"/>
    <cellStyle name="Millares 9 3" xfId="137" xr:uid="{69F37FA7-E9F1-43A2-8155-8A8FE1F95CDE}"/>
    <cellStyle name="Neutral 2" xfId="139" xr:uid="{3CD88EB6-49BE-4D44-8A3D-18897F7A3D0D}"/>
    <cellStyle name="Neutral 3" xfId="138" xr:uid="{A1917326-AF5E-4D21-B81D-61751C39A750}"/>
    <cellStyle name="Normal" xfId="0" builtinId="0"/>
    <cellStyle name="Normal 10" xfId="140" xr:uid="{FE685BF9-3E67-4856-BE5D-FAE4ED18BABF}"/>
    <cellStyle name="Normal 11" xfId="6" xr:uid="{0BABB092-B46E-4D51-8BC9-656A6F4EF251}"/>
    <cellStyle name="Normal 12" xfId="141" xr:uid="{BCE8CB86-9439-4A6F-A8DF-2A8EF65771D4}"/>
    <cellStyle name="Normal 13" xfId="142" xr:uid="{3C4CE8B5-CA6E-47A8-AC57-9B7F915C591B}"/>
    <cellStyle name="Normal 14" xfId="143" xr:uid="{8C75F868-5342-4E0D-B5FA-E15D5ED550C3}"/>
    <cellStyle name="Normal 2" xfId="4" xr:uid="{00000000-0005-0000-0000-000003000000}"/>
    <cellStyle name="Normal 2 2" xfId="144" xr:uid="{6C9FDA01-8BC7-4E7C-A406-F3B04A2EA5E8}"/>
    <cellStyle name="Normal 2 3" xfId="10" xr:uid="{D597D20F-9784-436E-8D39-1E41BFE7065B}"/>
    <cellStyle name="Normal 2 4" xfId="145" xr:uid="{395B81F6-EC82-4F35-B807-FAAE5B1981EE}"/>
    <cellStyle name="Normal 3" xfId="146" xr:uid="{2DECA60C-A7BB-4C1F-AA4F-252E9DF93741}"/>
    <cellStyle name="Normal 3 2" xfId="147" xr:uid="{FAAEDD45-A69B-4156-BBE1-FE24FAA87995}"/>
    <cellStyle name="Normal 3 2 2" xfId="148" xr:uid="{FBE3C631-BD52-447D-80D4-73C1E87B4F65}"/>
    <cellStyle name="Normal 3 3" xfId="149" xr:uid="{EE2D97C6-63B8-4A28-953D-D7BD57A51583}"/>
    <cellStyle name="Normal 3 4" xfId="150" xr:uid="{227BEDD4-AFF9-4102-8C9C-4061339E891F}"/>
    <cellStyle name="Normal 3 5" xfId="151" xr:uid="{FDF1F7CB-E50A-4C06-84F4-D658F0897E9E}"/>
    <cellStyle name="Normal 3 6" xfId="152" xr:uid="{82D38216-9ED2-41C7-A31F-8A60841BF15A}"/>
    <cellStyle name="Normal 4" xfId="153" xr:uid="{A41E288B-125C-452D-A0A8-F79B5C952DC8}"/>
    <cellStyle name="Normal 4 2" xfId="154" xr:uid="{95CD12BB-2768-4421-BEBA-D953C83B52B6}"/>
    <cellStyle name="Normal 43" xfId="5" xr:uid="{00000000-0005-0000-0000-000004000000}"/>
    <cellStyle name="Normal 44" xfId="155" xr:uid="{F923D135-C059-48E1-BBEC-FEDA8C0C6DB5}"/>
    <cellStyle name="Normal 45" xfId="156" xr:uid="{0C1D3295-FD05-4707-9641-0CB47F3CFA54}"/>
    <cellStyle name="Normal 46" xfId="157" xr:uid="{794FEB0D-ABF3-4D96-AD28-6260B6C45510}"/>
    <cellStyle name="Normal 5" xfId="158" xr:uid="{22B885E9-32E7-4586-AEBE-973A2FC823A6}"/>
    <cellStyle name="Normal 6" xfId="159" xr:uid="{F2736E21-FA76-493A-9BBF-C5168A359FCB}"/>
    <cellStyle name="Normal 7" xfId="160" xr:uid="{E79A3D48-217C-4141-B4D7-8FA7E7198750}"/>
    <cellStyle name="Normal 8" xfId="1" xr:uid="{00000000-0005-0000-0000-000005000000}"/>
    <cellStyle name="Normal 8 2" xfId="8" xr:uid="{11C7A769-6686-4000-87AD-18705535AD1E}"/>
    <cellStyle name="Normal 8 2 2" xfId="190" xr:uid="{05FC8D05-3414-4F42-84FF-2332FFC418F4}"/>
    <cellStyle name="Normal 9" xfId="161" xr:uid="{D55325B3-232A-43BC-A6A3-6A359D00966D}"/>
    <cellStyle name="Normal_Resultados_Edechi_v1" xfId="189" xr:uid="{8C3A387C-EFE9-4C1E-BBB8-7D7E71EE036E}"/>
    <cellStyle name="Notas" xfId="25" builtinId="10" customBuiltin="1"/>
    <cellStyle name="Notas 2" xfId="162" xr:uid="{3BC2584C-2F7A-4C29-A8DC-9050C64C79F5}"/>
    <cellStyle name="Output Amounts" xfId="163" xr:uid="{66BB8BBC-EA75-4116-8B44-9BB4EA2912CD}"/>
    <cellStyle name="Output Column Headings" xfId="164" xr:uid="{D982F79C-EC31-467B-8A03-D9E6F9BFBD7F}"/>
    <cellStyle name="Output Line Items" xfId="165" xr:uid="{F1EF7F60-237C-46CC-8222-61284185C1CE}"/>
    <cellStyle name="Output Report Heading" xfId="166" xr:uid="{2467330F-2CD0-434A-A7C3-8E8E23B8A594}"/>
    <cellStyle name="Output Report Title" xfId="167" xr:uid="{D0FBB11C-815E-4E28-87CA-6D2DEED0A5FB}"/>
    <cellStyle name="Percent 2" xfId="2" xr:uid="{00000000-0005-0000-0000-000006000000}"/>
    <cellStyle name="Porcentaje" xfId="12" builtinId="5"/>
    <cellStyle name="Porcentaje 2" xfId="168" xr:uid="{B02965CD-9155-48DC-BC23-532A784BFEBB}"/>
    <cellStyle name="Porcentaje 2 2" xfId="169" xr:uid="{95F1A38B-D5DA-470B-8ECB-59F13066DDD4}"/>
    <cellStyle name="Porcentaje 3" xfId="7" xr:uid="{D168BD35-E7FE-465A-8E5F-25294C43E93A}"/>
    <cellStyle name="Porcentaje 3 2" xfId="171" xr:uid="{A3138BC7-9730-4969-B616-F3CCB17542AC}"/>
    <cellStyle name="Porcentaje 3 3" xfId="170" xr:uid="{766D2127-47E3-4B2C-A3CD-E2F2F5ED9241}"/>
    <cellStyle name="Porcentaje 4" xfId="172" xr:uid="{6F749E12-E9B8-4A2A-9B63-C9C2A8BC4F29}"/>
    <cellStyle name="Porcentaje 5" xfId="173" xr:uid="{F2C1B0B4-CF72-4287-84F3-0AE9D72029A6}"/>
    <cellStyle name="Porcentaje 6" xfId="174" xr:uid="{DCACB377-3920-49D8-956A-18B3A6AA5499}"/>
    <cellStyle name="Porcentaje 7" xfId="175" xr:uid="{6E66FCD4-46E7-4FCD-B69E-A0EC7C7C2BF2}"/>
    <cellStyle name="Porcentaje 8" xfId="176" xr:uid="{7E3C959A-BA12-4F54-9E68-D20A01519940}"/>
    <cellStyle name="Porcentaje 9" xfId="177" xr:uid="{790BE616-C055-4865-8BFB-ED58AAEF20FC}"/>
    <cellStyle name="Porcentual 2" xfId="178" xr:uid="{1E2F9444-05F1-4D98-9F6F-EDAA49CDDB1E}"/>
    <cellStyle name="Porcentual 3" xfId="179" xr:uid="{CA0E7356-3F9A-4B47-8E30-2C038219E4B5}"/>
    <cellStyle name="Porcentual 4" xfId="180" xr:uid="{0A0AAD85-9FC7-4CC3-BBEA-E97B50E7D111}"/>
    <cellStyle name="Salida" xfId="20" builtinId="21" customBuiltin="1"/>
    <cellStyle name="Salida 2" xfId="181" xr:uid="{E82BBFF1-5EA8-4F27-9ED7-C0508DDA800F}"/>
    <cellStyle name="Texto de advertencia" xfId="24" builtinId="11" customBuiltin="1"/>
    <cellStyle name="Texto de advertencia 2" xfId="182" xr:uid="{7EBFBEE5-8C9C-4943-BFDD-D859F3431648}"/>
    <cellStyle name="Texto explicativo" xfId="26" builtinId="53" customBuiltin="1"/>
    <cellStyle name="Texto explicativo 2" xfId="183" xr:uid="{A7FCE7F2-5960-40DE-8292-5858D0D4ACF2}"/>
    <cellStyle name="Título 2" xfId="14" builtinId="17" customBuiltin="1"/>
    <cellStyle name="Título 2 2" xfId="184" xr:uid="{7EF68CAF-30AD-4EA9-8136-F45A70C03913}"/>
    <cellStyle name="Título 3" xfId="15" builtinId="18" customBuiltin="1"/>
    <cellStyle name="Título 3 2" xfId="185" xr:uid="{1B4952A5-F148-4BE0-966B-D23FB996EFAE}"/>
    <cellStyle name="Título 4" xfId="186" xr:uid="{BABD0FA3-01BF-4ACC-8F1A-8E4CA48545D3}"/>
    <cellStyle name="Título 5" xfId="187" xr:uid="{CDABD114-BA67-4FB9-87EB-9735C955ECE4}"/>
    <cellStyle name="Total" xfId="27" builtinId="25" customBuiltin="1"/>
    <cellStyle name="Total 2" xfId="188" xr:uid="{A1D2DC7B-58E1-4CEB-8FDB-612D4F215D0E}"/>
  </cellStyles>
  <dxfs count="164">
    <dxf>
      <numFmt numFmtId="1" formatCode="0"/>
    </dxf>
    <dxf>
      <font>
        <b/>
        <i/>
        <color rgb="FFC00000"/>
      </font>
      <fill>
        <patternFill>
          <bgColor rgb="FFFFC000"/>
        </patternFill>
      </fill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fill>
        <patternFill>
          <bgColor rgb="FFFFC000"/>
        </patternFill>
      </fill>
    </dxf>
    <dxf>
      <numFmt numFmtId="1" formatCode="0"/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/>
        <color rgb="FFC00000"/>
      </font>
      <fill>
        <patternFill>
          <bgColor rgb="FFFFC000"/>
        </patternFill>
      </fill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font>
        <b/>
        <i/>
        <color rgb="FFC00000"/>
      </font>
      <fill>
        <patternFill>
          <bgColor rgb="FFFFC000"/>
        </patternFill>
      </fill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fill>
        <patternFill>
          <bgColor rgb="FFFFC000"/>
        </patternFill>
      </fill>
    </dxf>
    <dxf>
      <numFmt numFmtId="1" formatCode="0"/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/>
        <color rgb="FFC00000"/>
      </font>
      <fill>
        <patternFill>
          <bgColor rgb="FFFFC000"/>
        </patternFill>
      </fill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font>
        <b/>
        <i/>
        <color rgb="FFC00000"/>
      </font>
      <fill>
        <patternFill>
          <bgColor rgb="FFFFC000"/>
        </patternFill>
      </fill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fill>
        <patternFill>
          <bgColor rgb="FFFFC000"/>
        </patternFill>
      </fill>
    </dxf>
    <dxf>
      <numFmt numFmtId="1" formatCode="0"/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/>
        <color rgb="FFC00000"/>
      </font>
      <fill>
        <patternFill>
          <bgColor rgb="FFFFC000"/>
        </patternFill>
      </fill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font>
        <b/>
        <i/>
        <color rgb="FFC00000"/>
      </font>
      <fill>
        <patternFill>
          <bgColor rgb="FFFFC000"/>
        </patternFill>
      </fill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fill>
        <patternFill>
          <bgColor rgb="FFFFC000"/>
        </patternFill>
      </fill>
    </dxf>
    <dxf>
      <numFmt numFmtId="1" formatCode="0"/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/>
        <color rgb="FFC00000"/>
      </font>
      <fill>
        <patternFill>
          <bgColor rgb="FFFFC000"/>
        </patternFill>
      </fill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fill>
        <patternFill>
          <bgColor rgb="FFFFC000"/>
        </patternFill>
      </fill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fill>
        <patternFill>
          <bgColor rgb="FFFFC000"/>
        </patternFill>
      </fill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fill>
        <patternFill>
          <bgColor rgb="FFFFC000"/>
        </patternFill>
      </fill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fill>
        <patternFill>
          <bgColor rgb="FFFFC000"/>
        </patternFill>
      </fill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4.xml"/><Relationship Id="rId18" Type="http://schemas.openxmlformats.org/officeDocument/2006/relationships/externalLink" Target="externalLinks/externalLink9.xml"/><Relationship Id="rId26" Type="http://schemas.openxmlformats.org/officeDocument/2006/relationships/externalLink" Target="externalLinks/externalLink17.xml"/><Relationship Id="rId21" Type="http://schemas.openxmlformats.org/officeDocument/2006/relationships/externalLink" Target="externalLinks/externalLink12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externalLink" Target="externalLinks/externalLink8.xml"/><Relationship Id="rId25" Type="http://schemas.openxmlformats.org/officeDocument/2006/relationships/externalLink" Target="externalLinks/externalLink16.xml"/><Relationship Id="rId33" Type="http://schemas.openxmlformats.org/officeDocument/2006/relationships/externalLink" Target="externalLinks/externalLink24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7.xml"/><Relationship Id="rId20" Type="http://schemas.openxmlformats.org/officeDocument/2006/relationships/externalLink" Target="externalLinks/externalLink11.xml"/><Relationship Id="rId29" Type="http://schemas.openxmlformats.org/officeDocument/2006/relationships/externalLink" Target="externalLinks/externalLink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24" Type="http://schemas.openxmlformats.org/officeDocument/2006/relationships/externalLink" Target="externalLinks/externalLink15.xml"/><Relationship Id="rId32" Type="http://schemas.openxmlformats.org/officeDocument/2006/relationships/externalLink" Target="externalLinks/externalLink23.xml"/><Relationship Id="rId37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6.xml"/><Relationship Id="rId23" Type="http://schemas.openxmlformats.org/officeDocument/2006/relationships/externalLink" Target="externalLinks/externalLink14.xml"/><Relationship Id="rId28" Type="http://schemas.openxmlformats.org/officeDocument/2006/relationships/externalLink" Target="externalLinks/externalLink19.xml"/><Relationship Id="rId36" Type="http://schemas.openxmlformats.org/officeDocument/2006/relationships/sharedStrings" Target="sharedStrings.xml"/><Relationship Id="rId10" Type="http://schemas.openxmlformats.org/officeDocument/2006/relationships/externalLink" Target="externalLinks/externalLink1.xml"/><Relationship Id="rId19" Type="http://schemas.openxmlformats.org/officeDocument/2006/relationships/externalLink" Target="externalLinks/externalLink10.xml"/><Relationship Id="rId31" Type="http://schemas.openxmlformats.org/officeDocument/2006/relationships/externalLink" Target="externalLinks/externalLink2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5.xml"/><Relationship Id="rId22" Type="http://schemas.openxmlformats.org/officeDocument/2006/relationships/externalLink" Target="externalLinks/externalLink13.xml"/><Relationship Id="rId27" Type="http://schemas.openxmlformats.org/officeDocument/2006/relationships/externalLink" Target="externalLinks/externalLink18.xml"/><Relationship Id="rId30" Type="http://schemas.openxmlformats.org/officeDocument/2006/relationships/externalLink" Target="externalLinks/externalLink21.xml"/><Relationship Id="rId35" Type="http://schemas.openxmlformats.org/officeDocument/2006/relationships/styles" Target="style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ndromeda\Planeamiento\ETESA\Pronosticos%20de%20Demanda\Pronosticos%20de%20Demanda%202007%20MRN\PIB-2006-EstimadoMRN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liego%20Tarifario%20(2009-2013)%20Final%20entragado%20a%20ASEP%20-%2012%20agosto\2.%20Cargos%20por%20Conexi&#243;n\Cargos%20por%20Conexi&#243;n%202009-2013%20ASEP%20agosto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ndromeda\planeamiento\Documents%20and%20Settings\mrivera\Mis%20documentos\TARIFAS%20DE%20TRANSMISION\R&#233;gimen%202005-2009\IMP\IMP%202005-09%20(FINAL%20post%20consulta%20p&#250;blica)+MRN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eperez\Mis%20documentos\ACTUALIZACION%20A&#209;O%202%20%202009-2013\IMP%202009%20-%202013\IMP%20RESOLUCION%202820%20FECHA%20DE%20PROYECTOS.xls" TargetMode="External"/></Relationships>
</file>

<file path=xl/externalLinks/_rels/externalLink1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E:\PT-2025-2029\Cargos%20CUSPT%20AT1-4\CUSPT%20AT1\1.%20DatosFijos.xls" TargetMode="External"/><Relationship Id="rId1" Type="http://schemas.openxmlformats.org/officeDocument/2006/relationships/externalLinkPath" Target="file:///E:\PT-2025-2029\Cargos%20CUSPT%20AT1-4\CUSPT%20AT1\1.%20DatosFijos.xls" TargetMode="External"/></Relationships>
</file>

<file path=xl/externalLinks/_rels/externalLink1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E:\PT-2025-2029\Cargos%20CUSPT%20AT1-4\CUSPT%20AT2\1.%20DatosFijos.xls" TargetMode="External"/><Relationship Id="rId1" Type="http://schemas.openxmlformats.org/officeDocument/2006/relationships/externalLinkPath" Target="file:///E:\PT-2025-2029\Cargos%20CUSPT%20AT1-4\CUSPT%20AT2\1.%20DatosFijos.xls" TargetMode="External"/></Relationships>
</file>

<file path=xl/externalLinks/_rels/externalLink1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E:\PT-2025-2029\Cargos%20CUSPT%20AT1-4\CUSPT%20AT3\1.%20DatosFijos.xls" TargetMode="External"/><Relationship Id="rId1" Type="http://schemas.openxmlformats.org/officeDocument/2006/relationships/externalLinkPath" Target="file:///E:\PT-2025-2029\Cargos%20CUSPT%20AT1-4\CUSPT%20AT3\1.%20DatosFijos.xls" TargetMode="External"/></Relationships>
</file>

<file path=xl/externalLinks/_rels/externalLink1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E:\PT-2025-2029\Cargos%20CUSPT%20AT1-4\CUSPT%20AT4\1.%20DatosFijos.xls" TargetMode="External"/><Relationship Id="rId1" Type="http://schemas.openxmlformats.org/officeDocument/2006/relationships/externalLinkPath" Target="file:///E:\PT-2025-2029\Cargos%20CUSPT%20AT1-4\CUSPT%20AT4\1.%20DatosFijos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hernandezc/Desktop/disco%20interno/Nuevo%20Regimen%20Tarifario%202025-2029/PLIEGO%20TARIFARIO%202025%20-2029/Cargos%20CUSPT%20AT1-4_MacrosA/CUSPT%20AT1/1.%20DatosFijos.xls" TargetMode="External"/></Relationships>
</file>

<file path=xl/externalLinks/_rels/externalLink1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hernandezc\Desktop\disco%20interno\Nuevo%20Regimen%20Tarifario%202025-2029\PLIEGO%20TARIFARIO%202025%20-2029\Cargos%20CUSPT%20AT1-4_MacrosA\CUSPT%20AT1\CUSPT_Total_link.xls" TargetMode="External"/><Relationship Id="rId1" Type="http://schemas.openxmlformats.org/officeDocument/2006/relationships/externalLinkPath" Target="/Users/ehernandezc/Desktop/disco%20interno/Nuevo%20Regimen%20Tarifario%202025-2029/PLIEGO%20TARIFARIO%202025%20-2029/Cargos%20CUSPT%20AT1-4_MacrosA/CUSPT%20AT1/CUSPT_Total_link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hernandezc/Desktop/disco%20interno/Nuevo%20Regimen%20Tarifario%202025-2029/PLIEGO%20TARIFARIO%202025%20-2029/Cargos%20CUSPT%20AT1-4_MacrosA/CUSPT%20AT2/1.%20DatosFijo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PIB-2009-Estimado%20CCB.xls" TargetMode="External"/></Relationships>
</file>

<file path=xl/externalLinks/_rels/externalLink20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hernandezc\Desktop\disco%20interno\Nuevo%20Regimen%20Tarifario%202025-2029\PLIEGO%20TARIFARIO%202025%20-2029\Cargos%20CUSPT%20AT1-4_MacrosA\CUSPT%20AT2\CUSPT_Total_link.xls" TargetMode="External"/><Relationship Id="rId1" Type="http://schemas.openxmlformats.org/officeDocument/2006/relationships/externalLinkPath" Target="/Users/ehernandezc/Desktop/disco%20interno/Nuevo%20Regimen%20Tarifario%202025-2029/PLIEGO%20TARIFARIO%202025%20-2029/Cargos%20CUSPT%20AT1-4_MacrosA/CUSPT%20AT2/CUSPT_Total_link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hernandezc/Desktop/disco%20interno/Nuevo%20Regimen%20Tarifario%202025-2029/PLIEGO%20TARIFARIO%202025%20-2029/Cargos%20CUSPT%20AT1-4_MacrosA/CUSPT%20AT3/1.%20DatosFijos.xls" TargetMode="External"/></Relationships>
</file>

<file path=xl/externalLinks/_rels/externalLink2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hernandezc\Desktop\disco%20interno\Nuevo%20Regimen%20Tarifario%202025-2029\PLIEGO%20TARIFARIO%202025%20-2029\Cargos%20CUSPT%20AT1-4_MacrosA\CUSPT%20AT3\CUSPT_Total_link.xls" TargetMode="External"/><Relationship Id="rId1" Type="http://schemas.openxmlformats.org/officeDocument/2006/relationships/externalLinkPath" Target="/Users/ehernandezc/Desktop/disco%20interno/Nuevo%20Regimen%20Tarifario%202025-2029/PLIEGO%20TARIFARIO%202025%20-2029/Cargos%20CUSPT%20AT1-4_MacrosA/CUSPT%20AT3/CUSPT_Total_link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hernandezc/Desktop/disco%20interno/Nuevo%20Regimen%20Tarifario%202025-2029/PLIEGO%20TARIFARIO%202025%20-2029/Cargos%20CUSPT%20AT1-4_MacrosA/CUSPT%20AT4/1.%20DatosFijos.xls" TargetMode="External"/></Relationships>
</file>

<file path=xl/externalLinks/_rels/externalLink2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hernandezc\Desktop\disco%20interno\Nuevo%20Regimen%20Tarifario%202025-2029\PLIEGO%20TARIFARIO%202025%20-2029\Cargos%20CUSPT%20AT1-4_MacrosA\CUSPT%20AT4\CUSPT_Total_link.xls" TargetMode="External"/><Relationship Id="rId1" Type="http://schemas.openxmlformats.org/officeDocument/2006/relationships/externalLinkPath" Target="/Users/ehernandezc/Desktop/disco%20interno/Nuevo%20Regimen%20Tarifario%202025-2029/PLIEGO%20TARIFARIO%202025%20-2029/Cargos%20CUSPT%20AT1-4_MacrosA/CUSPT%20AT4/CUSPT_Total_link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ndromeda\Planeamiento\ETESA\Gerencia%20de%20Planeamiento%20%20de%20Inversiones\Pronosticos%20de%20Demanda\Pronosticos%20de%20Demanda%202014-2028\Proyecciones%20de%20PIB\PIB-2014-Estimado%20CCB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ndromeda\Planeamiento\ETESA\Gerencia%20de%20Planeamiento%20%20de%20Inversiones\Pronosticos%20de%20Demanda\Pronosticos%20de%20Demanda%202014-2028\Proyecciones%20de%20PIB\PIB-2014-Estimado%20CCB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vega/AppData/Local/Microsoft/Windows/INetCache/Content.Outlook/JJOZ5C2F/IMP%20ETESA%202017_2021%20Finalp(Original)%20(002)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Mrivera\Mis%20documentos\TARIFAS%20DE%20TRANSMISION\R&#233;gimen%202005-2009\IMP\IMP%202005-09%20(FINAL%20post%20consulta%20p&#250;blica)+MRN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Mrivera\Mis%20documentos\TARIFAS%20DE%20TRANSMISION\R&#233;gimen%202005-2009\IMP\IMP%202005-09%20(FINAL%20post%20consulta%20p&#250;blica)+MRN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Mrivera\Mis%20documentos\TARIFAS%20DE%20TRANSMISION\R&#233;gimen%202005-2009\IMP\IMP%202005-09%20(FINAL%20post%20consulta%20p&#250;blica)+MRN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Alejandro\Revicoes%20tarif&#225;rias\PA\M0755-03Panam&#225;Transmisi&#243;n2003\Informes\Fase%20IVIMP\Modelo%20Tarifas%20Transmisi&#243;n%2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ustria-Algunos indicadores"/>
      <sheetName val="PIB 2006, tres metodologías"/>
      <sheetName val="Verificación de Estructura %"/>
      <sheetName val="Evalua Estimado 2005"/>
      <sheetName val="2001-2005-Contraloría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men"/>
      <sheetName val="CX cxj  "/>
      <sheetName val=" VNR2007"/>
      <sheetName val="SALIDAS Y TRANSFORMACION"/>
      <sheetName val="N de Instalaciones"/>
      <sheetName val="IMP"/>
      <sheetName val="IPCT"/>
      <sheetName val="IPCT vnr"/>
      <sheetName val="FA"/>
      <sheetName val="CX cxj  expansión condicion"/>
      <sheetName val="VERIFICACIÓN DE INGRESOS"/>
      <sheetName val="Parámetros de eficiencia"/>
      <sheetName val="S-E Charco Azul trafo"/>
      <sheetName val="S-E CHORRERA 230"/>
      <sheetName val="S-E CHORRERA trafo"/>
      <sheetName val="S-E CHORRERA 34"/>
      <sheetName val="S-E Charco azul 115"/>
      <sheetName val="S-E LL SANCHEZ 115"/>
      <sheetName val="S-E LL SANCHEZ trafo"/>
      <sheetName val="S-E PROGRESO 115"/>
      <sheetName val="S-E PROGRESO 34"/>
      <sheetName val="S-E MATA DE NANCE 34"/>
      <sheetName val="S-E LL SANCHEZ 34"/>
      <sheetName val="TEXTO"/>
    </sheetNames>
    <sheetDataSet>
      <sheetData sheetId="0"/>
      <sheetData sheetId="1"/>
      <sheetData sheetId="2"/>
      <sheetData sheetId="3"/>
      <sheetData sheetId="4"/>
      <sheetData sheetId="5"/>
      <sheetData sheetId="6">
        <row r="14">
          <cell r="C14">
            <v>0.1071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MP Base capital completa"/>
      <sheetName val="IMP O&amp;M promedio anterior"/>
      <sheetName val="IMP tasa 12.24%"/>
      <sheetName val="Graficas"/>
      <sheetName val="IMP"/>
      <sheetName val="Hidrometeorología"/>
      <sheetName val="Activos"/>
      <sheetName val="Hoja1"/>
      <sheetName val="Bienes 2004"/>
      <sheetName val="VNR"/>
      <sheetName val="VNR Líneas"/>
      <sheetName val="Compara Valor libros-vs-VNR"/>
      <sheetName val="VNR SE"/>
      <sheetName val="Inversión-Resumen"/>
      <sheetName val="Inversiones"/>
      <sheetName val="Retiros"/>
      <sheetName val="CND"/>
      <sheetName val="Informática"/>
      <sheetName val="Hoja2"/>
      <sheetName val="RRT"/>
      <sheetName val="#¡REF"/>
      <sheetName val="IMP-Ajuste-Fechas"/>
      <sheetName val="IMP-APROBADO"/>
    </sheetNames>
    <sheetDataSet>
      <sheetData sheetId="0"/>
      <sheetData sheetId="1">
        <row r="14">
          <cell r="D14">
            <v>2000.9</v>
          </cell>
        </row>
      </sheetData>
      <sheetData sheetId="2"/>
      <sheetData sheetId="3"/>
      <sheetData sheetId="4">
        <row r="14">
          <cell r="D14">
            <v>2000.9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MP"/>
      <sheetName val="ART. 177"/>
      <sheetName val="EVOLUCIÓN BIENES"/>
      <sheetName val="BIENES 2008"/>
      <sheetName val="ACTIVOS"/>
      <sheetName val="TASA DE DEPRECIACIÓN"/>
      <sheetName val="PLAN EXPANSIÓN"/>
      <sheetName val="PLAN EXPANSIÓN_RES"/>
      <sheetName val="VNR LÍNEAS"/>
      <sheetName val="VNR SE"/>
      <sheetName val="VNR_ RES"/>
      <sheetName val="CND"/>
      <sheetName val="CND SOLICITADO"/>
      <sheetName val="CND AJUSTADO"/>
      <sheetName val="CND AJUSTADO -RES"/>
      <sheetName val="HID"/>
      <sheetName val="HID2"/>
    </sheetNames>
    <sheetDataSet>
      <sheetData sheetId="0">
        <row r="10">
          <cell r="D10">
            <v>0.1071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put"/>
      <sheetName val="Nod"/>
      <sheetName val="Ram"/>
      <sheetName val="%USO"/>
      <sheetName val="Dias"/>
      <sheetName val="ENERGIA"/>
      <sheetName val="ENSA"/>
    </sheetNames>
    <sheetDataSet>
      <sheetData sheetId="0">
        <row r="1">
          <cell r="B1">
            <v>1</v>
          </cell>
        </row>
      </sheetData>
      <sheetData sheetId="1">
        <row r="3">
          <cell r="A3">
            <v>6002</v>
          </cell>
          <cell r="B3">
            <v>115</v>
          </cell>
          <cell r="C3" t="str">
            <v>Panamá 115</v>
          </cell>
          <cell r="D3" t="str">
            <v>PAN115</v>
          </cell>
          <cell r="E3">
            <v>7</v>
          </cell>
        </row>
        <row r="4">
          <cell r="A4">
            <v>6003</v>
          </cell>
          <cell r="B4">
            <v>230</v>
          </cell>
          <cell r="C4" t="str">
            <v>Panamá II 230</v>
          </cell>
          <cell r="D4" t="str">
            <v>PANII230</v>
          </cell>
          <cell r="E4">
            <v>7</v>
          </cell>
        </row>
        <row r="5">
          <cell r="A5">
            <v>6005</v>
          </cell>
          <cell r="B5">
            <v>230</v>
          </cell>
          <cell r="C5" t="str">
            <v>Chorrera 230</v>
          </cell>
          <cell r="D5" t="str">
            <v>CHO230</v>
          </cell>
          <cell r="E5">
            <v>6</v>
          </cell>
        </row>
        <row r="6">
          <cell r="A6">
            <v>6008</v>
          </cell>
          <cell r="B6">
            <v>230</v>
          </cell>
          <cell r="C6" t="str">
            <v>Llano Sánchez 230</v>
          </cell>
          <cell r="D6" t="str">
            <v>LSA230</v>
          </cell>
          <cell r="E6">
            <v>5</v>
          </cell>
        </row>
        <row r="7">
          <cell r="A7">
            <v>6011</v>
          </cell>
          <cell r="B7">
            <v>230</v>
          </cell>
          <cell r="C7" t="str">
            <v>Mata de Nance 230</v>
          </cell>
          <cell r="D7" t="str">
            <v>MDN230</v>
          </cell>
          <cell r="E7">
            <v>4</v>
          </cell>
        </row>
        <row r="8">
          <cell r="A8">
            <v>6012</v>
          </cell>
          <cell r="B8">
            <v>115</v>
          </cell>
          <cell r="C8" t="str">
            <v>Mata de Nance 115</v>
          </cell>
          <cell r="D8" t="str">
            <v>MDN115</v>
          </cell>
          <cell r="E8">
            <v>4</v>
          </cell>
        </row>
        <row r="9">
          <cell r="A9">
            <v>6013</v>
          </cell>
          <cell r="B9">
            <v>34.5</v>
          </cell>
          <cell r="C9" t="str">
            <v>Mata de Nance 34.5</v>
          </cell>
          <cell r="D9" t="str">
            <v>MDN34</v>
          </cell>
          <cell r="E9">
            <v>4</v>
          </cell>
        </row>
        <row r="10">
          <cell r="A10">
            <v>6014</v>
          </cell>
          <cell r="B10">
            <v>230</v>
          </cell>
          <cell r="C10" t="str">
            <v>Progreso 230</v>
          </cell>
          <cell r="D10" t="str">
            <v>PRO230</v>
          </cell>
          <cell r="E10">
            <v>1</v>
          </cell>
        </row>
        <row r="11">
          <cell r="A11">
            <v>6018</v>
          </cell>
          <cell r="B11">
            <v>115</v>
          </cell>
          <cell r="C11" t="str">
            <v>Cáceres</v>
          </cell>
          <cell r="D11" t="str">
            <v>CAC115</v>
          </cell>
          <cell r="E11">
            <v>7</v>
          </cell>
        </row>
        <row r="12">
          <cell r="A12">
            <v>6024</v>
          </cell>
          <cell r="B12">
            <v>115</v>
          </cell>
          <cell r="C12" t="str">
            <v>Chilibre</v>
          </cell>
          <cell r="D12" t="str">
            <v>CHI115</v>
          </cell>
          <cell r="E12">
            <v>7</v>
          </cell>
        </row>
        <row r="13">
          <cell r="A13">
            <v>6059</v>
          </cell>
          <cell r="B13">
            <v>115</v>
          </cell>
          <cell r="C13" t="str">
            <v>Las Minas 1</v>
          </cell>
          <cell r="D13" t="str">
            <v>LM1115</v>
          </cell>
          <cell r="E13">
            <v>9</v>
          </cell>
        </row>
        <row r="14">
          <cell r="A14">
            <v>6060</v>
          </cell>
          <cell r="B14">
            <v>115</v>
          </cell>
          <cell r="C14" t="str">
            <v>Las Minas 2</v>
          </cell>
          <cell r="D14" t="str">
            <v>LM2115</v>
          </cell>
          <cell r="E14">
            <v>9</v>
          </cell>
        </row>
        <row r="15">
          <cell r="A15">
            <v>6087</v>
          </cell>
          <cell r="B15">
            <v>115</v>
          </cell>
          <cell r="C15" t="str">
            <v>Caldera</v>
          </cell>
          <cell r="D15" t="str">
            <v>CAL115</v>
          </cell>
          <cell r="E15">
            <v>3</v>
          </cell>
        </row>
        <row r="16">
          <cell r="A16">
            <v>6096</v>
          </cell>
          <cell r="B16">
            <v>230</v>
          </cell>
          <cell r="C16" t="str">
            <v>Fortuna</v>
          </cell>
          <cell r="D16" t="str">
            <v>FOR230</v>
          </cell>
          <cell r="E16">
            <v>2</v>
          </cell>
        </row>
        <row r="17">
          <cell r="A17">
            <v>6100</v>
          </cell>
          <cell r="B17">
            <v>230</v>
          </cell>
          <cell r="C17" t="str">
            <v>Bayano</v>
          </cell>
          <cell r="D17" t="str">
            <v>BAY230</v>
          </cell>
          <cell r="E17">
            <v>8</v>
          </cell>
        </row>
        <row r="18">
          <cell r="A18">
            <v>6170</v>
          </cell>
          <cell r="B18">
            <v>115</v>
          </cell>
          <cell r="C18" t="str">
            <v>Cemento Panamá</v>
          </cell>
          <cell r="D18" t="str">
            <v>CPA115</v>
          </cell>
          <cell r="E18">
            <v>9</v>
          </cell>
        </row>
        <row r="19">
          <cell r="A19">
            <v>6171</v>
          </cell>
          <cell r="B19">
            <v>230</v>
          </cell>
          <cell r="C19" t="str">
            <v>Pacora</v>
          </cell>
          <cell r="D19" t="str">
            <v>PAC230</v>
          </cell>
          <cell r="E19">
            <v>7</v>
          </cell>
        </row>
        <row r="20">
          <cell r="A20">
            <v>6173</v>
          </cell>
          <cell r="B20">
            <v>115</v>
          </cell>
          <cell r="C20" t="str">
            <v>Santa Rita</v>
          </cell>
          <cell r="D20" t="str">
            <v>STR115</v>
          </cell>
          <cell r="E20">
            <v>9</v>
          </cell>
        </row>
        <row r="21">
          <cell r="A21">
            <v>6179</v>
          </cell>
          <cell r="B21">
            <v>230</v>
          </cell>
          <cell r="C21" t="str">
            <v>Guasquitas</v>
          </cell>
          <cell r="D21" t="str">
            <v>GUA230</v>
          </cell>
          <cell r="E21">
            <v>2</v>
          </cell>
        </row>
        <row r="22">
          <cell r="A22">
            <v>6182</v>
          </cell>
          <cell r="B22">
            <v>230</v>
          </cell>
          <cell r="C22" t="str">
            <v>Veladero</v>
          </cell>
          <cell r="D22" t="str">
            <v>VEL230</v>
          </cell>
          <cell r="E22">
            <v>4</v>
          </cell>
        </row>
        <row r="23">
          <cell r="A23">
            <v>6240</v>
          </cell>
          <cell r="B23">
            <v>230</v>
          </cell>
          <cell r="C23" t="str">
            <v>El Higo</v>
          </cell>
          <cell r="D23" t="str">
            <v>EHIG230</v>
          </cell>
          <cell r="E23">
            <v>5</v>
          </cell>
        </row>
        <row r="24">
          <cell r="A24">
            <v>6260</v>
          </cell>
          <cell r="B24">
            <v>230</v>
          </cell>
          <cell r="C24" t="str">
            <v>Changuinola</v>
          </cell>
          <cell r="D24" t="str">
            <v>CHA230</v>
          </cell>
          <cell r="E24">
            <v>10</v>
          </cell>
        </row>
        <row r="25">
          <cell r="A25">
            <v>6263</v>
          </cell>
          <cell r="B25">
            <v>230</v>
          </cell>
          <cell r="C25" t="str">
            <v>La Esperanza</v>
          </cell>
          <cell r="D25" t="str">
            <v>ESP230</v>
          </cell>
          <cell r="E25">
            <v>10</v>
          </cell>
        </row>
        <row r="26">
          <cell r="A26">
            <v>6290</v>
          </cell>
          <cell r="B26">
            <v>115</v>
          </cell>
          <cell r="C26" t="str">
            <v>Cativá II</v>
          </cell>
          <cell r="D26" t="str">
            <v>CATII115</v>
          </cell>
          <cell r="E26">
            <v>9</v>
          </cell>
        </row>
        <row r="27">
          <cell r="A27">
            <v>6340</v>
          </cell>
          <cell r="B27">
            <v>230</v>
          </cell>
          <cell r="C27" t="str">
            <v>Cañazas</v>
          </cell>
          <cell r="D27" t="str">
            <v>CAN230</v>
          </cell>
          <cell r="E27">
            <v>10</v>
          </cell>
        </row>
        <row r="28">
          <cell r="A28">
            <v>6380</v>
          </cell>
          <cell r="B28">
            <v>230</v>
          </cell>
          <cell r="C28" t="str">
            <v>Boquerón III</v>
          </cell>
          <cell r="D28" t="str">
            <v>BOQIII230</v>
          </cell>
          <cell r="E28">
            <v>4</v>
          </cell>
        </row>
        <row r="29">
          <cell r="A29">
            <v>6405</v>
          </cell>
          <cell r="B29">
            <v>230</v>
          </cell>
          <cell r="C29" t="str">
            <v>Telfers</v>
          </cell>
          <cell r="D29" t="str">
            <v>TEL230</v>
          </cell>
          <cell r="E29">
            <v>9</v>
          </cell>
        </row>
        <row r="30">
          <cell r="A30">
            <v>6460</v>
          </cell>
          <cell r="B30">
            <v>230</v>
          </cell>
          <cell r="C30" t="str">
            <v>El Coco</v>
          </cell>
          <cell r="D30" t="str">
            <v>ECO230</v>
          </cell>
          <cell r="E30">
            <v>5</v>
          </cell>
        </row>
        <row r="31">
          <cell r="A31">
            <v>6470</v>
          </cell>
          <cell r="B31">
            <v>230</v>
          </cell>
          <cell r="C31" t="str">
            <v>24 de Diciembre</v>
          </cell>
          <cell r="D31" t="str">
            <v>24DIC230</v>
          </cell>
          <cell r="E31">
            <v>7</v>
          </cell>
        </row>
        <row r="32">
          <cell r="A32">
            <v>6520</v>
          </cell>
          <cell r="B32">
            <v>230</v>
          </cell>
          <cell r="C32" t="str">
            <v>San Bartolo</v>
          </cell>
          <cell r="D32" t="str">
            <v>SBA230</v>
          </cell>
          <cell r="E32">
            <v>4</v>
          </cell>
        </row>
        <row r="33">
          <cell r="A33">
            <v>6550</v>
          </cell>
          <cell r="B33">
            <v>230</v>
          </cell>
          <cell r="C33" t="str">
            <v>Bella Vista</v>
          </cell>
          <cell r="D33" t="str">
            <v>BEV230</v>
          </cell>
          <cell r="E33">
            <v>4</v>
          </cell>
        </row>
        <row r="34">
          <cell r="A34">
            <v>6713</v>
          </cell>
          <cell r="B34">
            <v>230</v>
          </cell>
          <cell r="C34" t="str">
            <v>Burunga</v>
          </cell>
          <cell r="D34" t="str">
            <v>BUR230</v>
          </cell>
          <cell r="E34">
            <v>6</v>
          </cell>
        </row>
        <row r="35">
          <cell r="A35">
            <v>6801</v>
          </cell>
          <cell r="B35">
            <v>230</v>
          </cell>
          <cell r="C35" t="str">
            <v>Sabanitas</v>
          </cell>
          <cell r="D35" t="str">
            <v>SAB230</v>
          </cell>
          <cell r="E35">
            <v>9</v>
          </cell>
        </row>
        <row r="36">
          <cell r="A36">
            <v>6830</v>
          </cell>
          <cell r="B36">
            <v>230</v>
          </cell>
          <cell r="C36" t="str">
            <v>Antón</v>
          </cell>
          <cell r="D36" t="str">
            <v>ANT230</v>
          </cell>
          <cell r="E36">
            <v>6</v>
          </cell>
        </row>
        <row r="37">
          <cell r="A37">
            <v>6840</v>
          </cell>
          <cell r="B37">
            <v>230</v>
          </cell>
          <cell r="C37" t="str">
            <v>Panamá III</v>
          </cell>
          <cell r="D37" t="str">
            <v>PAN3 230</v>
          </cell>
          <cell r="E37">
            <v>7</v>
          </cell>
        </row>
        <row r="38">
          <cell r="A38">
            <v>7000</v>
          </cell>
          <cell r="C38" t="str">
            <v>T1-Panama</v>
          </cell>
          <cell r="D38" t="str">
            <v>T1-PAN</v>
          </cell>
          <cell r="E38">
            <v>7</v>
          </cell>
        </row>
        <row r="39">
          <cell r="A39">
            <v>7001</v>
          </cell>
          <cell r="C39" t="str">
            <v>T2-Panama</v>
          </cell>
          <cell r="D39" t="str">
            <v>T2-PAN</v>
          </cell>
          <cell r="E39">
            <v>7</v>
          </cell>
        </row>
        <row r="40">
          <cell r="A40">
            <v>7002</v>
          </cell>
          <cell r="C40" t="str">
            <v>T3-Panama</v>
          </cell>
          <cell r="D40" t="str">
            <v>T3-PAN</v>
          </cell>
          <cell r="E40">
            <v>7</v>
          </cell>
        </row>
        <row r="41">
          <cell r="A41">
            <v>7003</v>
          </cell>
          <cell r="C41" t="str">
            <v>T5-Panama</v>
          </cell>
          <cell r="D41" t="str">
            <v>T5-PAN</v>
          </cell>
          <cell r="E41">
            <v>7</v>
          </cell>
        </row>
        <row r="42">
          <cell r="A42">
            <v>7013</v>
          </cell>
          <cell r="C42" t="str">
            <v>T1-Mata de Nance</v>
          </cell>
          <cell r="D42" t="str">
            <v>T1-MDN</v>
          </cell>
          <cell r="E42">
            <v>4</v>
          </cell>
        </row>
        <row r="43">
          <cell r="A43">
            <v>7014</v>
          </cell>
          <cell r="C43" t="str">
            <v>T2-Mata de Nance</v>
          </cell>
          <cell r="D43" t="str">
            <v>T2-MDN</v>
          </cell>
          <cell r="E43">
            <v>4</v>
          </cell>
        </row>
        <row r="44">
          <cell r="A44">
            <v>7015</v>
          </cell>
          <cell r="C44" t="str">
            <v>T3-Mata de Nance</v>
          </cell>
          <cell r="D44" t="str">
            <v>T3-MDN</v>
          </cell>
          <cell r="E44">
            <v>4</v>
          </cell>
        </row>
        <row r="45">
          <cell r="A45">
            <v>7016</v>
          </cell>
          <cell r="C45" t="str">
            <v>T1-Changuinola</v>
          </cell>
          <cell r="D45" t="str">
            <v>T1-CHA</v>
          </cell>
          <cell r="E45">
            <v>10</v>
          </cell>
        </row>
        <row r="46">
          <cell r="A46">
            <v>7017</v>
          </cell>
          <cell r="C46" t="str">
            <v>T2-Changuinola</v>
          </cell>
          <cell r="D46" t="str">
            <v>T2-CHA</v>
          </cell>
          <cell r="E46">
            <v>10</v>
          </cell>
        </row>
      </sheetData>
      <sheetData sheetId="2">
        <row r="2">
          <cell r="C2">
            <v>230</v>
          </cell>
          <cell r="F2" t="str">
            <v>S</v>
          </cell>
          <cell r="G2">
            <v>13.09</v>
          </cell>
        </row>
        <row r="3">
          <cell r="C3">
            <v>230</v>
          </cell>
          <cell r="F3" t="str">
            <v>S</v>
          </cell>
          <cell r="G3">
            <v>13.09</v>
          </cell>
        </row>
        <row r="4">
          <cell r="C4">
            <v>230</v>
          </cell>
          <cell r="F4" t="str">
            <v>S</v>
          </cell>
          <cell r="G4">
            <v>40.479999999999997</v>
          </cell>
        </row>
        <row r="5">
          <cell r="C5">
            <v>230</v>
          </cell>
          <cell r="F5" t="str">
            <v>S</v>
          </cell>
          <cell r="G5">
            <v>3.18</v>
          </cell>
        </row>
        <row r="6">
          <cell r="C6">
            <v>230</v>
          </cell>
          <cell r="F6" t="str">
            <v>S</v>
          </cell>
          <cell r="G6">
            <v>3.18</v>
          </cell>
        </row>
        <row r="7">
          <cell r="C7">
            <v>230</v>
          </cell>
          <cell r="F7" t="str">
            <v>S</v>
          </cell>
          <cell r="G7">
            <v>40.479999999999997</v>
          </cell>
        </row>
        <row r="8">
          <cell r="C8" t="str">
            <v>TX</v>
          </cell>
          <cell r="F8" t="str">
            <v>S</v>
          </cell>
        </row>
        <row r="9">
          <cell r="C9" t="str">
            <v>TX</v>
          </cell>
          <cell r="F9" t="str">
            <v>S</v>
          </cell>
        </row>
        <row r="10">
          <cell r="C10" t="str">
            <v>TX</v>
          </cell>
          <cell r="F10" t="str">
            <v>S</v>
          </cell>
        </row>
        <row r="11">
          <cell r="C11" t="str">
            <v>TX</v>
          </cell>
          <cell r="F11" t="str">
            <v>S</v>
          </cell>
        </row>
        <row r="12">
          <cell r="C12">
            <v>115</v>
          </cell>
          <cell r="F12" t="str">
            <v>S</v>
          </cell>
          <cell r="G12">
            <v>0.81</v>
          </cell>
        </row>
        <row r="13">
          <cell r="C13">
            <v>115</v>
          </cell>
          <cell r="F13" t="str">
            <v>S</v>
          </cell>
          <cell r="G13">
            <v>0.81</v>
          </cell>
        </row>
        <row r="14">
          <cell r="C14">
            <v>115</v>
          </cell>
          <cell r="F14" t="str">
            <v>S</v>
          </cell>
          <cell r="G14">
            <v>0.81</v>
          </cell>
        </row>
        <row r="15">
          <cell r="C15">
            <v>115</v>
          </cell>
          <cell r="F15" t="str">
            <v>S</v>
          </cell>
          <cell r="G15">
            <v>22.85</v>
          </cell>
        </row>
        <row r="16">
          <cell r="C16">
            <v>115</v>
          </cell>
          <cell r="F16" t="str">
            <v>S</v>
          </cell>
          <cell r="G16">
            <v>31.18</v>
          </cell>
        </row>
        <row r="17">
          <cell r="C17" t="str">
            <v>TX</v>
          </cell>
          <cell r="F17" t="str">
            <v>S</v>
          </cell>
        </row>
        <row r="18">
          <cell r="C18" t="str">
            <v>TX</v>
          </cell>
          <cell r="F18" t="str">
            <v>S</v>
          </cell>
        </row>
        <row r="19">
          <cell r="C19" t="str">
            <v>TX</v>
          </cell>
          <cell r="F19" t="str">
            <v>S</v>
          </cell>
        </row>
        <row r="20">
          <cell r="C20" t="str">
            <v>TX</v>
          </cell>
          <cell r="F20" t="str">
            <v>S</v>
          </cell>
        </row>
        <row r="21">
          <cell r="C21">
            <v>230</v>
          </cell>
          <cell r="F21" t="str">
            <v>S</v>
          </cell>
          <cell r="G21">
            <v>19.010000000000002</v>
          </cell>
        </row>
        <row r="22">
          <cell r="C22">
            <v>230</v>
          </cell>
          <cell r="F22" t="str">
            <v>S</v>
          </cell>
          <cell r="G22">
            <v>10.67</v>
          </cell>
        </row>
        <row r="23">
          <cell r="C23">
            <v>230</v>
          </cell>
          <cell r="F23" t="str">
            <v>S</v>
          </cell>
          <cell r="G23">
            <v>14.55</v>
          </cell>
        </row>
        <row r="24">
          <cell r="C24">
            <v>230</v>
          </cell>
          <cell r="F24" t="str">
            <v>S</v>
          </cell>
          <cell r="G24">
            <v>14.55</v>
          </cell>
        </row>
        <row r="25">
          <cell r="C25">
            <v>230</v>
          </cell>
          <cell r="F25" t="str">
            <v>S</v>
          </cell>
          <cell r="G25">
            <v>50.85</v>
          </cell>
        </row>
        <row r="26">
          <cell r="C26">
            <v>230</v>
          </cell>
          <cell r="F26" t="str">
            <v>S</v>
          </cell>
          <cell r="G26">
            <v>50.85</v>
          </cell>
        </row>
        <row r="27">
          <cell r="C27">
            <v>230</v>
          </cell>
          <cell r="F27" t="str">
            <v>S</v>
          </cell>
          <cell r="G27">
            <v>60.81</v>
          </cell>
        </row>
        <row r="28">
          <cell r="C28">
            <v>230</v>
          </cell>
          <cell r="F28" t="str">
            <v>S</v>
          </cell>
          <cell r="G28">
            <v>60.81</v>
          </cell>
        </row>
        <row r="29">
          <cell r="C29">
            <v>230</v>
          </cell>
          <cell r="F29" t="str">
            <v>SD</v>
          </cell>
          <cell r="G29">
            <v>95.2</v>
          </cell>
        </row>
        <row r="30">
          <cell r="C30">
            <v>230</v>
          </cell>
          <cell r="F30" t="str">
            <v>SD</v>
          </cell>
          <cell r="G30">
            <v>34.89</v>
          </cell>
        </row>
        <row r="31">
          <cell r="C31">
            <v>230</v>
          </cell>
          <cell r="F31" t="str">
            <v>SD</v>
          </cell>
          <cell r="G31">
            <v>34.89</v>
          </cell>
        </row>
        <row r="32">
          <cell r="C32">
            <v>230</v>
          </cell>
          <cell r="F32" t="str">
            <v>SD</v>
          </cell>
          <cell r="G32">
            <v>60.99</v>
          </cell>
        </row>
        <row r="33">
          <cell r="C33">
            <v>230</v>
          </cell>
          <cell r="F33" t="str">
            <v>SD</v>
          </cell>
          <cell r="G33">
            <v>156.19</v>
          </cell>
        </row>
        <row r="34">
          <cell r="C34">
            <v>230</v>
          </cell>
          <cell r="F34" t="str">
            <v>SD</v>
          </cell>
          <cell r="G34">
            <v>111.38</v>
          </cell>
        </row>
        <row r="35">
          <cell r="C35">
            <v>230</v>
          </cell>
          <cell r="F35" t="str">
            <v>SD</v>
          </cell>
          <cell r="G35">
            <v>111.38</v>
          </cell>
        </row>
        <row r="36">
          <cell r="C36">
            <v>230</v>
          </cell>
          <cell r="F36" t="str">
            <v>S</v>
          </cell>
          <cell r="G36">
            <v>110.65</v>
          </cell>
        </row>
        <row r="37">
          <cell r="C37">
            <v>230</v>
          </cell>
          <cell r="F37" t="str">
            <v>S</v>
          </cell>
          <cell r="G37">
            <v>81.93</v>
          </cell>
        </row>
        <row r="38">
          <cell r="C38">
            <v>230</v>
          </cell>
          <cell r="F38" t="str">
            <v>S</v>
          </cell>
          <cell r="G38">
            <v>81.93</v>
          </cell>
        </row>
        <row r="39">
          <cell r="C39">
            <v>230</v>
          </cell>
          <cell r="F39" t="str">
            <v>S</v>
          </cell>
          <cell r="G39">
            <v>44.65</v>
          </cell>
        </row>
        <row r="40">
          <cell r="C40">
            <v>230</v>
          </cell>
          <cell r="F40" t="str">
            <v>S</v>
          </cell>
          <cell r="G40">
            <v>44.65</v>
          </cell>
        </row>
        <row r="41">
          <cell r="C41">
            <v>230</v>
          </cell>
          <cell r="F41" t="str">
            <v>S</v>
          </cell>
          <cell r="G41">
            <v>68.2</v>
          </cell>
        </row>
        <row r="42">
          <cell r="C42">
            <v>230</v>
          </cell>
          <cell r="F42" t="str">
            <v>S</v>
          </cell>
          <cell r="G42">
            <v>68.2</v>
          </cell>
        </row>
        <row r="43">
          <cell r="C43">
            <v>230</v>
          </cell>
          <cell r="F43" t="str">
            <v>S</v>
          </cell>
          <cell r="G43">
            <v>107.97</v>
          </cell>
        </row>
        <row r="44">
          <cell r="C44">
            <v>230</v>
          </cell>
          <cell r="F44" t="str">
            <v>S</v>
          </cell>
          <cell r="G44">
            <v>37.72</v>
          </cell>
        </row>
        <row r="45">
          <cell r="C45">
            <v>230</v>
          </cell>
          <cell r="F45" t="str">
            <v>S</v>
          </cell>
          <cell r="G45">
            <v>37.72</v>
          </cell>
        </row>
        <row r="46">
          <cell r="C46">
            <v>230</v>
          </cell>
          <cell r="F46" t="str">
            <v>S</v>
          </cell>
          <cell r="G46">
            <v>85.6</v>
          </cell>
        </row>
        <row r="47">
          <cell r="C47">
            <v>230</v>
          </cell>
          <cell r="F47" t="str">
            <v>S</v>
          </cell>
          <cell r="G47">
            <v>85.6</v>
          </cell>
        </row>
        <row r="48">
          <cell r="C48">
            <v>230</v>
          </cell>
          <cell r="F48" t="str">
            <v>S</v>
          </cell>
          <cell r="G48">
            <v>24.17</v>
          </cell>
        </row>
        <row r="49">
          <cell r="C49" t="str">
            <v>TX</v>
          </cell>
          <cell r="F49" t="str">
            <v>S</v>
          </cell>
        </row>
        <row r="50">
          <cell r="C50" t="str">
            <v>TX</v>
          </cell>
          <cell r="F50" t="str">
            <v>S</v>
          </cell>
        </row>
        <row r="51">
          <cell r="C51" t="str">
            <v>TX</v>
          </cell>
          <cell r="F51" t="str">
            <v>S</v>
          </cell>
        </row>
        <row r="52">
          <cell r="C52">
            <v>115</v>
          </cell>
          <cell r="F52" t="str">
            <v>S</v>
          </cell>
          <cell r="G52">
            <v>25.32</v>
          </cell>
        </row>
        <row r="53">
          <cell r="C53">
            <v>115</v>
          </cell>
          <cell r="F53" t="str">
            <v>S</v>
          </cell>
          <cell r="G53">
            <v>25.32</v>
          </cell>
        </row>
        <row r="54">
          <cell r="C54" t="str">
            <v>TX</v>
          </cell>
          <cell r="F54" t="str">
            <v>S</v>
          </cell>
        </row>
        <row r="55">
          <cell r="C55" t="str">
            <v>TX</v>
          </cell>
          <cell r="F55" t="str">
            <v>S</v>
          </cell>
        </row>
        <row r="56">
          <cell r="C56" t="str">
            <v>TX</v>
          </cell>
          <cell r="F56" t="str">
            <v>S</v>
          </cell>
        </row>
        <row r="57">
          <cell r="C57" t="str">
            <v>TX</v>
          </cell>
          <cell r="F57" t="str">
            <v>S</v>
          </cell>
        </row>
        <row r="58">
          <cell r="C58" t="str">
            <v>TX</v>
          </cell>
          <cell r="F58" t="str">
            <v>S</v>
          </cell>
        </row>
        <row r="59">
          <cell r="C59" t="str">
            <v>TX</v>
          </cell>
          <cell r="F59" t="str">
            <v>S</v>
          </cell>
        </row>
        <row r="60">
          <cell r="C60">
            <v>230</v>
          </cell>
          <cell r="F60" t="str">
            <v>S</v>
          </cell>
          <cell r="G60">
            <v>29.95</v>
          </cell>
        </row>
        <row r="61">
          <cell r="C61">
            <v>115</v>
          </cell>
          <cell r="F61" t="str">
            <v>S</v>
          </cell>
          <cell r="G61">
            <v>47.81</v>
          </cell>
        </row>
        <row r="62">
          <cell r="C62">
            <v>115</v>
          </cell>
          <cell r="F62" t="str">
            <v>S</v>
          </cell>
          <cell r="G62">
            <v>47.81</v>
          </cell>
        </row>
        <row r="63">
          <cell r="C63">
            <v>115</v>
          </cell>
          <cell r="F63" t="str">
            <v>S</v>
          </cell>
          <cell r="G63">
            <v>32.08</v>
          </cell>
        </row>
        <row r="64">
          <cell r="C64">
            <v>115</v>
          </cell>
          <cell r="F64" t="str">
            <v>S</v>
          </cell>
          <cell r="G64">
            <v>6.9</v>
          </cell>
        </row>
        <row r="65">
          <cell r="C65">
            <v>115</v>
          </cell>
          <cell r="F65" t="str">
            <v>S</v>
          </cell>
          <cell r="G65">
            <v>0.96</v>
          </cell>
        </row>
        <row r="66">
          <cell r="C66">
            <v>115</v>
          </cell>
          <cell r="F66" t="str">
            <v>S</v>
          </cell>
          <cell r="G66">
            <v>25.41</v>
          </cell>
        </row>
        <row r="67">
          <cell r="C67">
            <v>230</v>
          </cell>
          <cell r="F67" t="str">
            <v>S</v>
          </cell>
          <cell r="G67">
            <v>16.399999999999999</v>
          </cell>
        </row>
        <row r="68">
          <cell r="C68">
            <v>230</v>
          </cell>
          <cell r="F68" t="str">
            <v>S</v>
          </cell>
          <cell r="G68">
            <v>97.4</v>
          </cell>
        </row>
        <row r="69">
          <cell r="C69">
            <v>230</v>
          </cell>
          <cell r="F69" t="str">
            <v>S</v>
          </cell>
          <cell r="G69">
            <v>50.88</v>
          </cell>
        </row>
        <row r="70">
          <cell r="C70">
            <v>230</v>
          </cell>
          <cell r="F70" t="str">
            <v>S</v>
          </cell>
          <cell r="G70">
            <v>60.53</v>
          </cell>
        </row>
        <row r="71">
          <cell r="C71">
            <v>115</v>
          </cell>
          <cell r="F71" t="str">
            <v>S</v>
          </cell>
          <cell r="G71">
            <v>6.69</v>
          </cell>
        </row>
        <row r="72">
          <cell r="C72">
            <v>230</v>
          </cell>
          <cell r="F72" t="str">
            <v>S</v>
          </cell>
          <cell r="G72">
            <v>84.81</v>
          </cell>
        </row>
        <row r="73">
          <cell r="C73">
            <v>230</v>
          </cell>
          <cell r="F73" t="str">
            <v>S</v>
          </cell>
          <cell r="G73">
            <v>84.81</v>
          </cell>
        </row>
        <row r="74">
          <cell r="C74">
            <v>230</v>
          </cell>
          <cell r="F74" t="str">
            <v>S</v>
          </cell>
          <cell r="G74">
            <v>42.89</v>
          </cell>
        </row>
        <row r="75">
          <cell r="C75">
            <v>230</v>
          </cell>
          <cell r="F75" t="str">
            <v>S</v>
          </cell>
          <cell r="G75">
            <v>42.89</v>
          </cell>
        </row>
        <row r="76">
          <cell r="C76">
            <v>230</v>
          </cell>
          <cell r="F76" t="str">
            <v>S</v>
          </cell>
          <cell r="G76">
            <v>8.66</v>
          </cell>
        </row>
        <row r="77">
          <cell r="C77">
            <v>230</v>
          </cell>
          <cell r="F77" t="str">
            <v>S</v>
          </cell>
          <cell r="G77">
            <v>24.66</v>
          </cell>
        </row>
        <row r="78">
          <cell r="C78">
            <v>230</v>
          </cell>
          <cell r="F78" t="str">
            <v>S</v>
          </cell>
          <cell r="G78">
            <v>78.38</v>
          </cell>
        </row>
        <row r="79">
          <cell r="C79">
            <v>230</v>
          </cell>
          <cell r="F79" t="str">
            <v>S</v>
          </cell>
          <cell r="G79">
            <v>45.57</v>
          </cell>
        </row>
        <row r="80">
          <cell r="C80">
            <v>230</v>
          </cell>
          <cell r="F80" t="str">
            <v>S</v>
          </cell>
          <cell r="G80">
            <v>117.22</v>
          </cell>
        </row>
        <row r="81">
          <cell r="C81">
            <v>230</v>
          </cell>
          <cell r="F81" t="str">
            <v>S</v>
          </cell>
          <cell r="G81">
            <v>117.22</v>
          </cell>
        </row>
        <row r="82">
          <cell r="C82">
            <v>230</v>
          </cell>
          <cell r="F82" t="str">
            <v>S</v>
          </cell>
          <cell r="G82">
            <v>19.399999999999999</v>
          </cell>
        </row>
        <row r="83">
          <cell r="C83">
            <v>230</v>
          </cell>
          <cell r="F83" t="str">
            <v>S</v>
          </cell>
          <cell r="G83">
            <v>19.399999999999999</v>
          </cell>
        </row>
        <row r="84">
          <cell r="C84">
            <v>230</v>
          </cell>
          <cell r="F84" t="str">
            <v>S</v>
          </cell>
          <cell r="G84">
            <v>45.69</v>
          </cell>
        </row>
        <row r="85">
          <cell r="C85">
            <v>230</v>
          </cell>
          <cell r="F85" t="str">
            <v>S</v>
          </cell>
          <cell r="G85">
            <v>45.69</v>
          </cell>
        </row>
        <row r="86">
          <cell r="C86">
            <v>230</v>
          </cell>
          <cell r="F86" t="str">
            <v>S</v>
          </cell>
          <cell r="G86">
            <v>17.399999999999999</v>
          </cell>
        </row>
        <row r="87">
          <cell r="C87">
            <v>230</v>
          </cell>
          <cell r="F87" t="str">
            <v>S</v>
          </cell>
          <cell r="G87">
            <v>16</v>
          </cell>
        </row>
        <row r="88">
          <cell r="C88">
            <v>230</v>
          </cell>
          <cell r="F88" t="str">
            <v>S</v>
          </cell>
          <cell r="G88">
            <v>16</v>
          </cell>
        </row>
        <row r="89">
          <cell r="C89">
            <v>230</v>
          </cell>
          <cell r="F89" t="str">
            <v>S</v>
          </cell>
          <cell r="G89">
            <v>0.7</v>
          </cell>
        </row>
      </sheetData>
      <sheetData sheetId="3" refreshError="1"/>
      <sheetData sheetId="4">
        <row r="3">
          <cell r="E3" t="str">
            <v xml:space="preserve"> 2.- Día Semihábil (sábado):</v>
          </cell>
        </row>
      </sheetData>
      <sheetData sheetId="5">
        <row r="2">
          <cell r="L2">
            <v>0</v>
          </cell>
        </row>
        <row r="17">
          <cell r="L17">
            <v>0</v>
          </cell>
        </row>
      </sheetData>
      <sheetData sheetId="6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Nod"/>
      <sheetName val="Ram"/>
      <sheetName val="%USO"/>
      <sheetName val="Dias"/>
      <sheetName val="ENERGIA"/>
      <sheetName val="ENSA"/>
    </sheetNames>
    <sheetDataSet>
      <sheetData sheetId="0">
        <row r="3">
          <cell r="A3">
            <v>6002</v>
          </cell>
          <cell r="B3">
            <v>115</v>
          </cell>
          <cell r="C3" t="str">
            <v>Panamá 115</v>
          </cell>
          <cell r="D3" t="str">
            <v>PAN115</v>
          </cell>
          <cell r="E3">
            <v>7</v>
          </cell>
        </row>
        <row r="4">
          <cell r="A4">
            <v>6003</v>
          </cell>
          <cell r="B4">
            <v>230</v>
          </cell>
          <cell r="C4" t="str">
            <v>Panamá II 230</v>
          </cell>
          <cell r="D4" t="str">
            <v>PANII230</v>
          </cell>
          <cell r="E4">
            <v>7</v>
          </cell>
        </row>
        <row r="5">
          <cell r="A5">
            <v>6005</v>
          </cell>
          <cell r="B5">
            <v>230</v>
          </cell>
          <cell r="C5" t="str">
            <v>Chorrera 230</v>
          </cell>
          <cell r="D5" t="str">
            <v>CHO230</v>
          </cell>
          <cell r="E5">
            <v>6</v>
          </cell>
        </row>
        <row r="6">
          <cell r="A6">
            <v>6008</v>
          </cell>
          <cell r="B6">
            <v>230</v>
          </cell>
          <cell r="C6" t="str">
            <v>Llano Sánchez 230</v>
          </cell>
          <cell r="D6" t="str">
            <v>LSA230</v>
          </cell>
          <cell r="E6">
            <v>5</v>
          </cell>
        </row>
        <row r="7">
          <cell r="A7">
            <v>6011</v>
          </cell>
          <cell r="B7">
            <v>230</v>
          </cell>
          <cell r="C7" t="str">
            <v>Mata de Nance 230</v>
          </cell>
          <cell r="D7" t="str">
            <v>MDN230</v>
          </cell>
          <cell r="E7">
            <v>4</v>
          </cell>
        </row>
        <row r="8">
          <cell r="A8">
            <v>6012</v>
          </cell>
          <cell r="B8">
            <v>115</v>
          </cell>
          <cell r="C8" t="str">
            <v>Mata de Nance 115</v>
          </cell>
          <cell r="D8" t="str">
            <v>MDN115</v>
          </cell>
          <cell r="E8">
            <v>4</v>
          </cell>
        </row>
        <row r="9">
          <cell r="A9">
            <v>6013</v>
          </cell>
          <cell r="B9">
            <v>34.5</v>
          </cell>
          <cell r="C9" t="str">
            <v>Mata de Nance 34.5</v>
          </cell>
          <cell r="D9" t="str">
            <v>MDN34</v>
          </cell>
          <cell r="E9">
            <v>4</v>
          </cell>
        </row>
        <row r="10">
          <cell r="A10">
            <v>6014</v>
          </cell>
          <cell r="B10">
            <v>230</v>
          </cell>
          <cell r="C10" t="str">
            <v>Progreso 230</v>
          </cell>
          <cell r="D10" t="str">
            <v>PRO230</v>
          </cell>
          <cell r="E10">
            <v>1</v>
          </cell>
        </row>
        <row r="11">
          <cell r="A11">
            <v>6018</v>
          </cell>
          <cell r="B11">
            <v>115</v>
          </cell>
          <cell r="C11" t="str">
            <v>Cáceres</v>
          </cell>
          <cell r="D11" t="str">
            <v>CAC115</v>
          </cell>
          <cell r="E11">
            <v>7</v>
          </cell>
        </row>
        <row r="12">
          <cell r="A12">
            <v>6024</v>
          </cell>
          <cell r="B12">
            <v>115</v>
          </cell>
          <cell r="C12" t="str">
            <v>Chilibre</v>
          </cell>
          <cell r="D12" t="str">
            <v>CHI115</v>
          </cell>
          <cell r="E12">
            <v>7</v>
          </cell>
        </row>
        <row r="13">
          <cell r="A13">
            <v>6059</v>
          </cell>
          <cell r="B13">
            <v>115</v>
          </cell>
          <cell r="C13" t="str">
            <v>Las Minas 1</v>
          </cell>
          <cell r="D13" t="str">
            <v>LM1115</v>
          </cell>
          <cell r="E13">
            <v>9</v>
          </cell>
        </row>
        <row r="14">
          <cell r="A14">
            <v>6060</v>
          </cell>
          <cell r="B14">
            <v>115</v>
          </cell>
          <cell r="C14" t="str">
            <v>Las Minas 2</v>
          </cell>
          <cell r="D14" t="str">
            <v>LM2115</v>
          </cell>
          <cell r="E14">
            <v>9</v>
          </cell>
        </row>
        <row r="15">
          <cell r="A15">
            <v>6087</v>
          </cell>
          <cell r="B15">
            <v>115</v>
          </cell>
          <cell r="C15" t="str">
            <v>Caldera</v>
          </cell>
          <cell r="D15" t="str">
            <v>CAL115</v>
          </cell>
          <cell r="E15">
            <v>3</v>
          </cell>
        </row>
        <row r="16">
          <cell r="A16">
            <v>6096</v>
          </cell>
          <cell r="B16">
            <v>230</v>
          </cell>
          <cell r="C16" t="str">
            <v>Fortuna</v>
          </cell>
          <cell r="D16" t="str">
            <v>FOR230</v>
          </cell>
          <cell r="E16">
            <v>2</v>
          </cell>
        </row>
        <row r="17">
          <cell r="A17">
            <v>6100</v>
          </cell>
          <cell r="B17">
            <v>230</v>
          </cell>
          <cell r="C17" t="str">
            <v>Bayano</v>
          </cell>
          <cell r="D17" t="str">
            <v>BAY230</v>
          </cell>
          <cell r="E17">
            <v>8</v>
          </cell>
        </row>
        <row r="18">
          <cell r="A18">
            <v>6167</v>
          </cell>
          <cell r="B18">
            <v>230</v>
          </cell>
          <cell r="C18" t="str">
            <v>Santa Rita</v>
          </cell>
          <cell r="D18" t="str">
            <v>STR230</v>
          </cell>
          <cell r="E18">
            <v>9</v>
          </cell>
        </row>
        <row r="19">
          <cell r="A19">
            <v>6170</v>
          </cell>
          <cell r="B19">
            <v>115</v>
          </cell>
          <cell r="C19" t="str">
            <v>Cemento Panamá</v>
          </cell>
          <cell r="D19" t="str">
            <v>CPA115</v>
          </cell>
          <cell r="E19">
            <v>9</v>
          </cell>
        </row>
        <row r="20">
          <cell r="A20">
            <v>6171</v>
          </cell>
          <cell r="B20">
            <v>230</v>
          </cell>
          <cell r="C20" t="str">
            <v>Pacora</v>
          </cell>
          <cell r="D20" t="str">
            <v>PAC230</v>
          </cell>
          <cell r="E20">
            <v>7</v>
          </cell>
        </row>
        <row r="21">
          <cell r="A21">
            <v>6173</v>
          </cell>
          <cell r="B21">
            <v>115</v>
          </cell>
          <cell r="C21" t="str">
            <v>Santa Rita</v>
          </cell>
          <cell r="D21" t="str">
            <v>STR115</v>
          </cell>
          <cell r="E21">
            <v>9</v>
          </cell>
        </row>
        <row r="22">
          <cell r="A22">
            <v>6179</v>
          </cell>
          <cell r="B22">
            <v>230</v>
          </cell>
          <cell r="C22" t="str">
            <v>Guasquitas</v>
          </cell>
          <cell r="D22" t="str">
            <v>GUA230</v>
          </cell>
          <cell r="E22">
            <v>2</v>
          </cell>
        </row>
        <row r="23">
          <cell r="A23">
            <v>6182</v>
          </cell>
          <cell r="B23">
            <v>230</v>
          </cell>
          <cell r="C23" t="str">
            <v>Veladero</v>
          </cell>
          <cell r="D23" t="str">
            <v>VEL230</v>
          </cell>
          <cell r="E23">
            <v>4</v>
          </cell>
        </row>
        <row r="24">
          <cell r="A24">
            <v>6240</v>
          </cell>
          <cell r="B24">
            <v>230</v>
          </cell>
          <cell r="C24" t="str">
            <v>El Higo</v>
          </cell>
          <cell r="D24" t="str">
            <v>EHIG230</v>
          </cell>
          <cell r="E24">
            <v>5</v>
          </cell>
        </row>
        <row r="25">
          <cell r="A25">
            <v>6260</v>
          </cell>
          <cell r="B25">
            <v>230</v>
          </cell>
          <cell r="C25" t="str">
            <v>Changuinola</v>
          </cell>
          <cell r="D25" t="str">
            <v>CHA230</v>
          </cell>
          <cell r="E25">
            <v>10</v>
          </cell>
        </row>
        <row r="26">
          <cell r="A26">
            <v>6263</v>
          </cell>
          <cell r="B26">
            <v>230</v>
          </cell>
          <cell r="C26" t="str">
            <v>La Esperanza</v>
          </cell>
          <cell r="D26" t="str">
            <v>ESP230</v>
          </cell>
          <cell r="E26">
            <v>10</v>
          </cell>
        </row>
        <row r="27">
          <cell r="A27">
            <v>6290</v>
          </cell>
          <cell r="B27">
            <v>115</v>
          </cell>
          <cell r="C27" t="str">
            <v>Cativá II</v>
          </cell>
          <cell r="D27" t="str">
            <v>CATII115</v>
          </cell>
          <cell r="E27">
            <v>9</v>
          </cell>
        </row>
        <row r="28">
          <cell r="A28">
            <v>6340</v>
          </cell>
          <cell r="B28">
            <v>230</v>
          </cell>
          <cell r="C28" t="str">
            <v>Cañazas</v>
          </cell>
          <cell r="D28" t="str">
            <v>CAN230</v>
          </cell>
          <cell r="E28">
            <v>10</v>
          </cell>
        </row>
        <row r="29">
          <cell r="A29">
            <v>6380</v>
          </cell>
          <cell r="B29">
            <v>230</v>
          </cell>
          <cell r="C29" t="str">
            <v>Boquerón III</v>
          </cell>
          <cell r="D29" t="str">
            <v>BOQIII230</v>
          </cell>
          <cell r="E29">
            <v>4</v>
          </cell>
        </row>
        <row r="30">
          <cell r="A30">
            <v>6405</v>
          </cell>
          <cell r="B30">
            <v>230</v>
          </cell>
          <cell r="C30" t="str">
            <v>Telfers</v>
          </cell>
          <cell r="D30" t="str">
            <v>TEL230</v>
          </cell>
          <cell r="E30">
            <v>9</v>
          </cell>
        </row>
        <row r="31">
          <cell r="A31">
            <v>6460</v>
          </cell>
          <cell r="B31">
            <v>230</v>
          </cell>
          <cell r="C31" t="str">
            <v>El Coco</v>
          </cell>
          <cell r="D31" t="str">
            <v>ECO230</v>
          </cell>
          <cell r="E31">
            <v>5</v>
          </cell>
        </row>
        <row r="32">
          <cell r="A32">
            <v>6470</v>
          </cell>
          <cell r="B32">
            <v>230</v>
          </cell>
          <cell r="C32" t="str">
            <v>24 de Diciembre</v>
          </cell>
          <cell r="D32" t="str">
            <v>24DIC230</v>
          </cell>
          <cell r="E32">
            <v>7</v>
          </cell>
        </row>
        <row r="33">
          <cell r="A33">
            <v>6520</v>
          </cell>
          <cell r="B33">
            <v>230</v>
          </cell>
          <cell r="C33" t="str">
            <v>San Bartolo</v>
          </cell>
          <cell r="D33" t="str">
            <v>SBA230</v>
          </cell>
          <cell r="E33">
            <v>4</v>
          </cell>
        </row>
        <row r="34">
          <cell r="A34">
            <v>6550</v>
          </cell>
          <cell r="B34">
            <v>230</v>
          </cell>
          <cell r="C34" t="str">
            <v>Bella Vista</v>
          </cell>
          <cell r="D34" t="str">
            <v>BEV230</v>
          </cell>
          <cell r="E34">
            <v>4</v>
          </cell>
        </row>
        <row r="35">
          <cell r="A35">
            <v>6596</v>
          </cell>
          <cell r="B35">
            <v>230</v>
          </cell>
          <cell r="C35" t="str">
            <v>Santa Cruz</v>
          </cell>
          <cell r="D35" t="str">
            <v>SCR230</v>
          </cell>
          <cell r="E35">
            <v>5</v>
          </cell>
        </row>
        <row r="36">
          <cell r="A36">
            <v>6969</v>
          </cell>
          <cell r="B36">
            <v>230</v>
          </cell>
          <cell r="C36" t="str">
            <v xml:space="preserve">Santiago </v>
          </cell>
          <cell r="D36" t="str">
            <v>STG2A230</v>
          </cell>
          <cell r="E36">
            <v>4</v>
          </cell>
        </row>
        <row r="37">
          <cell r="A37">
            <v>6713</v>
          </cell>
          <cell r="B37">
            <v>230</v>
          </cell>
          <cell r="C37" t="str">
            <v>Burunga</v>
          </cell>
          <cell r="D37" t="str">
            <v>BUR230</v>
          </cell>
          <cell r="E37">
            <v>6</v>
          </cell>
        </row>
        <row r="38">
          <cell r="A38">
            <v>6801</v>
          </cell>
          <cell r="B38">
            <v>230</v>
          </cell>
          <cell r="C38" t="str">
            <v>Sabanitas</v>
          </cell>
          <cell r="D38" t="str">
            <v>SAB230</v>
          </cell>
          <cell r="E38">
            <v>9</v>
          </cell>
        </row>
        <row r="39">
          <cell r="A39">
            <v>6830</v>
          </cell>
          <cell r="B39">
            <v>230</v>
          </cell>
          <cell r="C39" t="str">
            <v>Antón</v>
          </cell>
          <cell r="D39" t="str">
            <v>ANT230</v>
          </cell>
          <cell r="E39">
            <v>6</v>
          </cell>
        </row>
        <row r="40">
          <cell r="A40">
            <v>6840</v>
          </cell>
          <cell r="B40">
            <v>230</v>
          </cell>
          <cell r="C40" t="str">
            <v>Panamá III</v>
          </cell>
          <cell r="D40" t="str">
            <v>PAN3 230</v>
          </cell>
          <cell r="E40">
            <v>7</v>
          </cell>
        </row>
        <row r="41">
          <cell r="A41">
            <v>7000</v>
          </cell>
          <cell r="C41" t="str">
            <v>T1-Panama</v>
          </cell>
          <cell r="D41" t="str">
            <v>T1-PAN</v>
          </cell>
          <cell r="E41">
            <v>7</v>
          </cell>
        </row>
        <row r="42">
          <cell r="A42">
            <v>7001</v>
          </cell>
          <cell r="C42" t="str">
            <v>T2-Panama</v>
          </cell>
          <cell r="D42" t="str">
            <v>T2-PAN</v>
          </cell>
          <cell r="E42">
            <v>7</v>
          </cell>
        </row>
        <row r="43">
          <cell r="A43">
            <v>7002</v>
          </cell>
          <cell r="C43" t="str">
            <v>T3-Panama</v>
          </cell>
          <cell r="D43" t="str">
            <v>T3-PAN</v>
          </cell>
          <cell r="E43">
            <v>7</v>
          </cell>
        </row>
        <row r="44">
          <cell r="A44">
            <v>7003</v>
          </cell>
          <cell r="C44" t="str">
            <v>T5-Panama</v>
          </cell>
          <cell r="D44" t="str">
            <v>T5-PAN</v>
          </cell>
          <cell r="E44">
            <v>7</v>
          </cell>
        </row>
        <row r="45">
          <cell r="A45">
            <v>7013</v>
          </cell>
          <cell r="C45" t="str">
            <v>T1-Mata de Nance</v>
          </cell>
          <cell r="D45" t="str">
            <v>T1-MDN</v>
          </cell>
          <cell r="E45">
            <v>4</v>
          </cell>
        </row>
        <row r="46">
          <cell r="A46">
            <v>7014</v>
          </cell>
          <cell r="C46" t="str">
            <v>T2-Mata de Nance</v>
          </cell>
          <cell r="D46" t="str">
            <v>T2-MDN</v>
          </cell>
          <cell r="E46">
            <v>4</v>
          </cell>
        </row>
        <row r="47">
          <cell r="A47">
            <v>7015</v>
          </cell>
          <cell r="C47" t="str">
            <v>T3-Mata de Nance</v>
          </cell>
          <cell r="D47" t="str">
            <v>T3-MDN</v>
          </cell>
          <cell r="E47">
            <v>4</v>
          </cell>
        </row>
        <row r="48">
          <cell r="A48">
            <v>7016</v>
          </cell>
          <cell r="C48" t="str">
            <v>T1-Changuinola</v>
          </cell>
          <cell r="D48" t="str">
            <v>T1-CHA</v>
          </cell>
          <cell r="E48">
            <v>10</v>
          </cell>
        </row>
        <row r="49">
          <cell r="A49">
            <v>7017</v>
          </cell>
          <cell r="C49" t="str">
            <v>T2-Changuinola</v>
          </cell>
          <cell r="D49" t="str">
            <v>T2-CHA</v>
          </cell>
          <cell r="E49">
            <v>10</v>
          </cell>
        </row>
      </sheetData>
      <sheetData sheetId="1">
        <row r="2">
          <cell r="C2">
            <v>230</v>
          </cell>
          <cell r="F2" t="str">
            <v>S</v>
          </cell>
          <cell r="G2">
            <v>13.09</v>
          </cell>
        </row>
        <row r="3">
          <cell r="C3">
            <v>230</v>
          </cell>
          <cell r="F3" t="str">
            <v>S</v>
          </cell>
          <cell r="G3">
            <v>13.09</v>
          </cell>
        </row>
        <row r="4">
          <cell r="C4">
            <v>230</v>
          </cell>
          <cell r="F4" t="str">
            <v>S</v>
          </cell>
          <cell r="G4">
            <v>40.479999999999997</v>
          </cell>
        </row>
        <row r="5">
          <cell r="C5">
            <v>230</v>
          </cell>
          <cell r="F5" t="str">
            <v>S</v>
          </cell>
          <cell r="G5">
            <v>3.18</v>
          </cell>
        </row>
        <row r="6">
          <cell r="C6">
            <v>230</v>
          </cell>
          <cell r="F6" t="str">
            <v>S</v>
          </cell>
          <cell r="G6">
            <v>3.18</v>
          </cell>
        </row>
        <row r="7">
          <cell r="C7">
            <v>230</v>
          </cell>
          <cell r="F7" t="str">
            <v>S</v>
          </cell>
          <cell r="G7">
            <v>40.479999999999997</v>
          </cell>
        </row>
        <row r="8">
          <cell r="C8" t="str">
            <v>TX</v>
          </cell>
          <cell r="F8" t="str">
            <v>S</v>
          </cell>
        </row>
        <row r="9">
          <cell r="C9" t="str">
            <v>TX</v>
          </cell>
          <cell r="F9" t="str">
            <v>S</v>
          </cell>
        </row>
        <row r="10">
          <cell r="C10" t="str">
            <v>TX</v>
          </cell>
          <cell r="F10" t="str">
            <v>S</v>
          </cell>
        </row>
        <row r="11">
          <cell r="C11" t="str">
            <v>TX</v>
          </cell>
          <cell r="F11" t="str">
            <v>S</v>
          </cell>
        </row>
        <row r="12">
          <cell r="C12">
            <v>115</v>
          </cell>
          <cell r="F12" t="str">
            <v>S</v>
          </cell>
          <cell r="G12">
            <v>0.81</v>
          </cell>
        </row>
        <row r="13">
          <cell r="C13">
            <v>115</v>
          </cell>
          <cell r="F13" t="str">
            <v>S</v>
          </cell>
          <cell r="G13">
            <v>0.81</v>
          </cell>
        </row>
        <row r="14">
          <cell r="C14">
            <v>115</v>
          </cell>
          <cell r="F14" t="str">
            <v>S</v>
          </cell>
          <cell r="G14">
            <v>0.81</v>
          </cell>
        </row>
        <row r="15">
          <cell r="C15">
            <v>115</v>
          </cell>
          <cell r="F15" t="str">
            <v>S</v>
          </cell>
          <cell r="G15">
            <v>22.85</v>
          </cell>
        </row>
        <row r="16">
          <cell r="C16">
            <v>115</v>
          </cell>
          <cell r="F16" t="str">
            <v>S</v>
          </cell>
          <cell r="G16">
            <v>31.18</v>
          </cell>
        </row>
        <row r="17">
          <cell r="C17" t="str">
            <v>TX</v>
          </cell>
          <cell r="F17" t="str">
            <v>S</v>
          </cell>
        </row>
        <row r="18">
          <cell r="C18" t="str">
            <v>TX</v>
          </cell>
          <cell r="F18" t="str">
            <v>S</v>
          </cell>
        </row>
        <row r="19">
          <cell r="C19" t="str">
            <v>TX</v>
          </cell>
          <cell r="F19" t="str">
            <v>S</v>
          </cell>
        </row>
        <row r="20">
          <cell r="C20" t="str">
            <v>TX</v>
          </cell>
          <cell r="F20" t="str">
            <v>S</v>
          </cell>
        </row>
        <row r="21">
          <cell r="C21">
            <v>230</v>
          </cell>
          <cell r="F21" t="str">
            <v>S</v>
          </cell>
          <cell r="G21">
            <v>19.010000000000002</v>
          </cell>
        </row>
        <row r="22">
          <cell r="C22">
            <v>230</v>
          </cell>
          <cell r="F22" t="str">
            <v>S</v>
          </cell>
          <cell r="G22">
            <v>10.67</v>
          </cell>
        </row>
        <row r="23">
          <cell r="C23">
            <v>230</v>
          </cell>
          <cell r="F23" t="str">
            <v>S</v>
          </cell>
          <cell r="G23">
            <v>14.55</v>
          </cell>
        </row>
        <row r="24">
          <cell r="C24">
            <v>230</v>
          </cell>
          <cell r="F24" t="str">
            <v>S</v>
          </cell>
          <cell r="G24">
            <v>14.55</v>
          </cell>
        </row>
        <row r="25">
          <cell r="C25">
            <v>230</v>
          </cell>
          <cell r="F25" t="str">
            <v>S</v>
          </cell>
          <cell r="G25">
            <v>50.85</v>
          </cell>
        </row>
        <row r="26">
          <cell r="C26">
            <v>230</v>
          </cell>
          <cell r="F26" t="str">
            <v>S</v>
          </cell>
          <cell r="G26">
            <v>50.85</v>
          </cell>
        </row>
        <row r="27">
          <cell r="C27">
            <v>230</v>
          </cell>
          <cell r="F27" t="str">
            <v>S</v>
          </cell>
          <cell r="G27">
            <v>60.81</v>
          </cell>
        </row>
        <row r="28">
          <cell r="C28">
            <v>230</v>
          </cell>
          <cell r="F28" t="str">
            <v>S</v>
          </cell>
          <cell r="G28">
            <v>60.81</v>
          </cell>
        </row>
        <row r="29">
          <cell r="C29">
            <v>230</v>
          </cell>
          <cell r="F29" t="str">
            <v>SD</v>
          </cell>
          <cell r="G29">
            <v>95.2</v>
          </cell>
        </row>
        <row r="30">
          <cell r="C30">
            <v>230</v>
          </cell>
          <cell r="F30" t="str">
            <v>SD</v>
          </cell>
          <cell r="G30">
            <v>34.89</v>
          </cell>
        </row>
        <row r="31">
          <cell r="C31">
            <v>230</v>
          </cell>
          <cell r="F31" t="str">
            <v>SD</v>
          </cell>
          <cell r="G31">
            <v>34.89</v>
          </cell>
        </row>
        <row r="32">
          <cell r="C32">
            <v>230</v>
          </cell>
          <cell r="F32" t="str">
            <v>S</v>
          </cell>
          <cell r="G32">
            <v>120.19</v>
          </cell>
        </row>
        <row r="33">
          <cell r="C33">
            <v>230</v>
          </cell>
          <cell r="F33" t="str">
            <v>SD</v>
          </cell>
          <cell r="G33">
            <v>111.38</v>
          </cell>
        </row>
        <row r="34">
          <cell r="C34">
            <v>230</v>
          </cell>
          <cell r="F34" t="str">
            <v>SD</v>
          </cell>
          <cell r="G34">
            <v>111.38</v>
          </cell>
        </row>
        <row r="35">
          <cell r="C35">
            <v>230</v>
          </cell>
          <cell r="F35" t="str">
            <v>S</v>
          </cell>
          <cell r="G35">
            <v>110.65</v>
          </cell>
        </row>
        <row r="36">
          <cell r="C36">
            <v>230</v>
          </cell>
          <cell r="F36" t="str">
            <v>S</v>
          </cell>
          <cell r="G36">
            <v>81.93</v>
          </cell>
        </row>
        <row r="37">
          <cell r="C37">
            <v>230</v>
          </cell>
          <cell r="F37" t="str">
            <v>S</v>
          </cell>
          <cell r="G37">
            <v>81.93</v>
          </cell>
        </row>
        <row r="38">
          <cell r="C38">
            <v>230</v>
          </cell>
          <cell r="F38" t="str">
            <v>S</v>
          </cell>
          <cell r="G38">
            <v>44.65</v>
          </cell>
        </row>
        <row r="39">
          <cell r="C39">
            <v>230</v>
          </cell>
          <cell r="F39" t="str">
            <v>S</v>
          </cell>
          <cell r="G39">
            <v>44.65</v>
          </cell>
        </row>
        <row r="40">
          <cell r="C40">
            <v>230</v>
          </cell>
          <cell r="F40" t="str">
            <v>S</v>
          </cell>
          <cell r="G40">
            <v>68.2</v>
          </cell>
        </row>
        <row r="41">
          <cell r="C41">
            <v>230</v>
          </cell>
          <cell r="F41" t="str">
            <v>S</v>
          </cell>
          <cell r="G41">
            <v>68.2</v>
          </cell>
        </row>
        <row r="42">
          <cell r="C42">
            <v>230</v>
          </cell>
          <cell r="F42" t="str">
            <v>S</v>
          </cell>
          <cell r="G42">
            <v>107.97</v>
          </cell>
        </row>
        <row r="43">
          <cell r="C43">
            <v>230</v>
          </cell>
          <cell r="F43" t="str">
            <v>S</v>
          </cell>
          <cell r="G43">
            <v>36</v>
          </cell>
        </row>
        <row r="44">
          <cell r="C44">
            <v>230</v>
          </cell>
          <cell r="F44" t="str">
            <v>S</v>
          </cell>
          <cell r="G44">
            <v>36</v>
          </cell>
        </row>
        <row r="45">
          <cell r="C45">
            <v>230</v>
          </cell>
          <cell r="F45" t="str">
            <v>S</v>
          </cell>
          <cell r="G45">
            <v>35.78</v>
          </cell>
        </row>
        <row r="46">
          <cell r="C46">
            <v>230</v>
          </cell>
          <cell r="F46" t="str">
            <v>S</v>
          </cell>
          <cell r="G46">
            <v>37.72</v>
          </cell>
        </row>
        <row r="47">
          <cell r="C47">
            <v>230</v>
          </cell>
          <cell r="F47" t="str">
            <v>S</v>
          </cell>
          <cell r="G47">
            <v>37.72</v>
          </cell>
        </row>
        <row r="48">
          <cell r="C48">
            <v>230</v>
          </cell>
          <cell r="F48" t="str">
            <v>S</v>
          </cell>
          <cell r="G48">
            <v>85.6</v>
          </cell>
        </row>
        <row r="49">
          <cell r="C49">
            <v>230</v>
          </cell>
          <cell r="F49" t="str">
            <v>S</v>
          </cell>
          <cell r="G49">
            <v>85.6</v>
          </cell>
        </row>
        <row r="50">
          <cell r="C50">
            <v>230</v>
          </cell>
          <cell r="F50" t="str">
            <v>S</v>
          </cell>
          <cell r="G50">
            <v>85.6</v>
          </cell>
        </row>
        <row r="51">
          <cell r="C51">
            <v>230</v>
          </cell>
          <cell r="F51" t="str">
            <v>S</v>
          </cell>
          <cell r="G51">
            <v>24.17</v>
          </cell>
        </row>
        <row r="52">
          <cell r="C52">
            <v>230</v>
          </cell>
          <cell r="F52" t="str">
            <v>S</v>
          </cell>
          <cell r="G52">
            <v>54.12</v>
          </cell>
        </row>
        <row r="53">
          <cell r="C53" t="str">
            <v>TX</v>
          </cell>
          <cell r="F53" t="str">
            <v>S</v>
          </cell>
        </row>
        <row r="54">
          <cell r="C54" t="str">
            <v>TX</v>
          </cell>
          <cell r="F54" t="str">
            <v>S</v>
          </cell>
        </row>
        <row r="55">
          <cell r="C55" t="str">
            <v>TX</v>
          </cell>
          <cell r="F55" t="str">
            <v>S</v>
          </cell>
        </row>
        <row r="56">
          <cell r="C56">
            <v>115</v>
          </cell>
          <cell r="F56" t="str">
            <v>S</v>
          </cell>
          <cell r="G56">
            <v>25.32</v>
          </cell>
        </row>
        <row r="57">
          <cell r="C57">
            <v>115</v>
          </cell>
          <cell r="F57" t="str">
            <v>S</v>
          </cell>
          <cell r="G57">
            <v>25.32</v>
          </cell>
        </row>
        <row r="58">
          <cell r="C58" t="str">
            <v>TX</v>
          </cell>
          <cell r="F58" t="str">
            <v>S</v>
          </cell>
        </row>
        <row r="59">
          <cell r="C59" t="str">
            <v>TX</v>
          </cell>
          <cell r="F59" t="str">
            <v>S</v>
          </cell>
        </row>
        <row r="60">
          <cell r="C60" t="str">
            <v>TX</v>
          </cell>
          <cell r="F60" t="str">
            <v>S</v>
          </cell>
        </row>
        <row r="61">
          <cell r="C61" t="str">
            <v>TX</v>
          </cell>
          <cell r="F61" t="str">
            <v>S</v>
          </cell>
        </row>
        <row r="62">
          <cell r="C62" t="str">
            <v>TX</v>
          </cell>
          <cell r="F62" t="str">
            <v>S</v>
          </cell>
        </row>
        <row r="63">
          <cell r="C63" t="str">
            <v>TX</v>
          </cell>
          <cell r="F63" t="str">
            <v>S</v>
          </cell>
        </row>
        <row r="64">
          <cell r="C64">
            <v>230</v>
          </cell>
          <cell r="F64" t="str">
            <v>S</v>
          </cell>
          <cell r="G64">
            <v>29.95</v>
          </cell>
        </row>
        <row r="65">
          <cell r="C65">
            <v>115</v>
          </cell>
          <cell r="F65" t="str">
            <v>S</v>
          </cell>
          <cell r="G65">
            <v>47.81</v>
          </cell>
        </row>
        <row r="66">
          <cell r="C66">
            <v>115</v>
          </cell>
          <cell r="F66" t="str">
            <v>S</v>
          </cell>
          <cell r="G66">
            <v>47.81</v>
          </cell>
        </row>
        <row r="67">
          <cell r="C67">
            <v>115</v>
          </cell>
          <cell r="F67" t="str">
            <v>S</v>
          </cell>
          <cell r="G67">
            <v>32.08</v>
          </cell>
        </row>
        <row r="68">
          <cell r="C68">
            <v>115</v>
          </cell>
          <cell r="F68" t="str">
            <v>S</v>
          </cell>
          <cell r="G68">
            <v>6.9</v>
          </cell>
        </row>
        <row r="69">
          <cell r="C69">
            <v>115</v>
          </cell>
          <cell r="F69" t="str">
            <v>S</v>
          </cell>
          <cell r="G69">
            <v>0.96</v>
          </cell>
        </row>
        <row r="70">
          <cell r="C70">
            <v>115</v>
          </cell>
          <cell r="F70" t="str">
            <v>S</v>
          </cell>
          <cell r="G70">
            <v>25.41</v>
          </cell>
        </row>
        <row r="71">
          <cell r="C71">
            <v>230</v>
          </cell>
          <cell r="F71" t="str">
            <v>S</v>
          </cell>
          <cell r="G71">
            <v>16.399999999999999</v>
          </cell>
        </row>
        <row r="72">
          <cell r="C72">
            <v>230</v>
          </cell>
          <cell r="F72" t="str">
            <v>S</v>
          </cell>
          <cell r="G72">
            <v>97.4</v>
          </cell>
        </row>
        <row r="73">
          <cell r="C73">
            <v>230</v>
          </cell>
          <cell r="F73" t="str">
            <v>S</v>
          </cell>
          <cell r="G73">
            <v>50.88</v>
          </cell>
        </row>
        <row r="74">
          <cell r="C74">
            <v>230</v>
          </cell>
          <cell r="F74" t="str">
            <v>S</v>
          </cell>
          <cell r="G74">
            <v>60.53</v>
          </cell>
        </row>
        <row r="75">
          <cell r="C75">
            <v>115</v>
          </cell>
          <cell r="F75" t="str">
            <v>S</v>
          </cell>
          <cell r="G75">
            <v>6.69</v>
          </cell>
        </row>
        <row r="76">
          <cell r="C76">
            <v>230</v>
          </cell>
          <cell r="F76" t="str">
            <v>S</v>
          </cell>
          <cell r="G76">
            <v>84.81</v>
          </cell>
        </row>
        <row r="77">
          <cell r="C77">
            <v>230</v>
          </cell>
          <cell r="F77" t="str">
            <v>S</v>
          </cell>
          <cell r="G77">
            <v>84.81</v>
          </cell>
        </row>
        <row r="78">
          <cell r="C78">
            <v>230</v>
          </cell>
          <cell r="F78" t="str">
            <v>S</v>
          </cell>
          <cell r="G78">
            <v>42.89</v>
          </cell>
        </row>
        <row r="79">
          <cell r="C79">
            <v>230</v>
          </cell>
          <cell r="F79" t="str">
            <v>S</v>
          </cell>
          <cell r="G79">
            <v>42.89</v>
          </cell>
        </row>
        <row r="80">
          <cell r="C80">
            <v>230</v>
          </cell>
          <cell r="F80" t="str">
            <v>S</v>
          </cell>
          <cell r="G80">
            <v>8.66</v>
          </cell>
        </row>
        <row r="81">
          <cell r="C81">
            <v>230</v>
          </cell>
          <cell r="F81" t="str">
            <v>S</v>
          </cell>
          <cell r="G81">
            <v>74.87</v>
          </cell>
        </row>
        <row r="82">
          <cell r="C82">
            <v>230</v>
          </cell>
          <cell r="F82" t="str">
            <v>S</v>
          </cell>
          <cell r="G82">
            <v>24.66</v>
          </cell>
        </row>
        <row r="83">
          <cell r="C83">
            <v>230</v>
          </cell>
          <cell r="F83" t="str">
            <v>S</v>
          </cell>
          <cell r="G83">
            <v>78.38</v>
          </cell>
        </row>
        <row r="84">
          <cell r="C84">
            <v>230</v>
          </cell>
          <cell r="F84" t="str">
            <v>S</v>
          </cell>
          <cell r="G84">
            <v>45.57</v>
          </cell>
        </row>
        <row r="85">
          <cell r="C85">
            <v>230</v>
          </cell>
          <cell r="F85" t="str">
            <v>S</v>
          </cell>
          <cell r="G85">
            <v>117.22</v>
          </cell>
        </row>
        <row r="86">
          <cell r="C86">
            <v>230</v>
          </cell>
          <cell r="F86" t="str">
            <v>S</v>
          </cell>
          <cell r="G86">
            <v>117.22</v>
          </cell>
        </row>
        <row r="87">
          <cell r="C87">
            <v>230</v>
          </cell>
          <cell r="F87" t="str">
            <v>S</v>
          </cell>
          <cell r="G87">
            <v>24.99</v>
          </cell>
        </row>
        <row r="88">
          <cell r="C88">
            <v>230</v>
          </cell>
          <cell r="F88" t="str">
            <v>S</v>
          </cell>
          <cell r="G88">
            <v>19.399999999999999</v>
          </cell>
        </row>
        <row r="89">
          <cell r="C89">
            <v>230</v>
          </cell>
          <cell r="F89" t="str">
            <v>S</v>
          </cell>
          <cell r="G89">
            <v>19.399999999999999</v>
          </cell>
        </row>
        <row r="90">
          <cell r="C90">
            <v>230</v>
          </cell>
          <cell r="F90" t="str">
            <v>S</v>
          </cell>
          <cell r="G90">
            <v>45.69</v>
          </cell>
        </row>
        <row r="91">
          <cell r="C91">
            <v>230</v>
          </cell>
          <cell r="F91" t="str">
            <v>S</v>
          </cell>
          <cell r="G91">
            <v>45.69</v>
          </cell>
        </row>
        <row r="92">
          <cell r="C92">
            <v>230</v>
          </cell>
          <cell r="F92" t="str">
            <v>S</v>
          </cell>
          <cell r="G92">
            <v>17.399999999999999</v>
          </cell>
        </row>
        <row r="93">
          <cell r="C93">
            <v>230</v>
          </cell>
          <cell r="F93" t="str">
            <v>S</v>
          </cell>
          <cell r="G93">
            <v>16</v>
          </cell>
        </row>
        <row r="94">
          <cell r="C94">
            <v>230</v>
          </cell>
          <cell r="F94" t="str">
            <v>S</v>
          </cell>
          <cell r="G94">
            <v>16</v>
          </cell>
        </row>
        <row r="95">
          <cell r="C95">
            <v>230</v>
          </cell>
          <cell r="F95" t="str">
            <v>S</v>
          </cell>
          <cell r="G95">
            <v>0.7</v>
          </cell>
        </row>
        <row r="96">
          <cell r="C96">
            <v>230</v>
          </cell>
          <cell r="F96" t="str">
            <v>S</v>
          </cell>
        </row>
        <row r="97">
          <cell r="C97">
            <v>230</v>
          </cell>
          <cell r="F97" t="str">
            <v>S</v>
          </cell>
        </row>
        <row r="98">
          <cell r="C98">
            <v>230</v>
          </cell>
          <cell r="F98" t="str">
            <v>S</v>
          </cell>
          <cell r="G98">
            <v>2.1</v>
          </cell>
        </row>
        <row r="99">
          <cell r="C99">
            <v>230</v>
          </cell>
          <cell r="F99" t="str">
            <v>S</v>
          </cell>
          <cell r="G99">
            <v>2.1</v>
          </cell>
        </row>
      </sheetData>
      <sheetData sheetId="2" refreshError="1"/>
      <sheetData sheetId="3" refreshError="1"/>
      <sheetData sheetId="4">
        <row r="2">
          <cell r="L2">
            <v>0</v>
          </cell>
        </row>
        <row r="17">
          <cell r="L17">
            <v>0</v>
          </cell>
        </row>
      </sheetData>
      <sheetData sheetId="5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Nod"/>
      <sheetName val="Ram"/>
      <sheetName val="%USO"/>
      <sheetName val="Dias"/>
      <sheetName val="ENERGIA"/>
      <sheetName val="ENSA"/>
    </sheetNames>
    <sheetDataSet>
      <sheetData sheetId="0">
        <row r="3">
          <cell r="A3">
            <v>6002</v>
          </cell>
          <cell r="B3">
            <v>115</v>
          </cell>
          <cell r="C3" t="str">
            <v>Panamá 115</v>
          </cell>
          <cell r="D3" t="str">
            <v>PAN115</v>
          </cell>
          <cell r="E3">
            <v>7</v>
          </cell>
        </row>
        <row r="4">
          <cell r="A4">
            <v>6003</v>
          </cell>
          <cell r="B4">
            <v>230</v>
          </cell>
          <cell r="C4" t="str">
            <v>Panamá II 230</v>
          </cell>
          <cell r="D4" t="str">
            <v>PANII230</v>
          </cell>
          <cell r="E4">
            <v>7</v>
          </cell>
        </row>
        <row r="5">
          <cell r="A5">
            <v>6005</v>
          </cell>
          <cell r="B5">
            <v>230</v>
          </cell>
          <cell r="C5" t="str">
            <v>Chorrera 230</v>
          </cell>
          <cell r="D5" t="str">
            <v>CHO230</v>
          </cell>
          <cell r="E5">
            <v>6</v>
          </cell>
        </row>
        <row r="6">
          <cell r="A6">
            <v>6008</v>
          </cell>
          <cell r="B6">
            <v>230</v>
          </cell>
          <cell r="C6" t="str">
            <v>Llano Sánchez 230</v>
          </cell>
          <cell r="D6" t="str">
            <v>LSA230</v>
          </cell>
          <cell r="E6">
            <v>5</v>
          </cell>
        </row>
        <row r="7">
          <cell r="A7">
            <v>6011</v>
          </cell>
          <cell r="B7">
            <v>230</v>
          </cell>
          <cell r="C7" t="str">
            <v>Mata de Nance 230</v>
          </cell>
          <cell r="D7" t="str">
            <v>MDN230</v>
          </cell>
          <cell r="E7">
            <v>4</v>
          </cell>
        </row>
        <row r="8">
          <cell r="A8">
            <v>6012</v>
          </cell>
          <cell r="B8">
            <v>115</v>
          </cell>
          <cell r="C8" t="str">
            <v>Mata de Nance 115</v>
          </cell>
          <cell r="D8" t="str">
            <v>MDN115</v>
          </cell>
          <cell r="E8">
            <v>4</v>
          </cell>
        </row>
        <row r="9">
          <cell r="A9">
            <v>6013</v>
          </cell>
          <cell r="B9">
            <v>34.5</v>
          </cell>
          <cell r="C9" t="str">
            <v>Mata de Nance 34.5</v>
          </cell>
          <cell r="D9" t="str">
            <v>MDN34</v>
          </cell>
          <cell r="E9">
            <v>4</v>
          </cell>
        </row>
        <row r="10">
          <cell r="A10">
            <v>6014</v>
          </cell>
          <cell r="B10">
            <v>230</v>
          </cell>
          <cell r="C10" t="str">
            <v>Progreso 230</v>
          </cell>
          <cell r="D10" t="str">
            <v>PRO230</v>
          </cell>
          <cell r="E10">
            <v>1</v>
          </cell>
        </row>
        <row r="11">
          <cell r="A11">
            <v>6018</v>
          </cell>
          <cell r="B11">
            <v>115</v>
          </cell>
          <cell r="C11" t="str">
            <v>Cáceres</v>
          </cell>
          <cell r="D11" t="str">
            <v>CAC115</v>
          </cell>
          <cell r="E11">
            <v>7</v>
          </cell>
        </row>
        <row r="12">
          <cell r="A12">
            <v>6024</v>
          </cell>
          <cell r="B12">
            <v>115</v>
          </cell>
          <cell r="C12" t="str">
            <v>Chilibre</v>
          </cell>
          <cell r="D12" t="str">
            <v>CHI115</v>
          </cell>
          <cell r="E12">
            <v>7</v>
          </cell>
        </row>
        <row r="13">
          <cell r="A13">
            <v>6059</v>
          </cell>
          <cell r="B13">
            <v>115</v>
          </cell>
          <cell r="C13" t="str">
            <v>Las Minas 1</v>
          </cell>
          <cell r="D13" t="str">
            <v>LM1115</v>
          </cell>
          <cell r="E13">
            <v>9</v>
          </cell>
        </row>
        <row r="14">
          <cell r="A14">
            <v>6060</v>
          </cell>
          <cell r="B14">
            <v>115</v>
          </cell>
          <cell r="C14" t="str">
            <v>Las Minas 2</v>
          </cell>
          <cell r="D14" t="str">
            <v>LM2115</v>
          </cell>
          <cell r="E14">
            <v>9</v>
          </cell>
        </row>
        <row r="15">
          <cell r="A15">
            <v>6087</v>
          </cell>
          <cell r="B15">
            <v>115</v>
          </cell>
          <cell r="C15" t="str">
            <v>Caldera</v>
          </cell>
          <cell r="D15" t="str">
            <v>CAL115</v>
          </cell>
          <cell r="E15">
            <v>3</v>
          </cell>
        </row>
        <row r="16">
          <cell r="A16">
            <v>6096</v>
          </cell>
          <cell r="B16">
            <v>230</v>
          </cell>
          <cell r="C16" t="str">
            <v>Fortuna</v>
          </cell>
          <cell r="D16" t="str">
            <v>FOR230</v>
          </cell>
          <cell r="E16">
            <v>2</v>
          </cell>
        </row>
        <row r="17">
          <cell r="A17">
            <v>6100</v>
          </cell>
          <cell r="B17">
            <v>230</v>
          </cell>
          <cell r="C17" t="str">
            <v>Bayano</v>
          </cell>
          <cell r="D17" t="str">
            <v>BAY230</v>
          </cell>
          <cell r="E17">
            <v>8</v>
          </cell>
        </row>
        <row r="18">
          <cell r="A18">
            <v>6167</v>
          </cell>
          <cell r="B18">
            <v>230</v>
          </cell>
          <cell r="C18" t="str">
            <v>Santa Rita</v>
          </cell>
          <cell r="D18" t="str">
            <v>STR230</v>
          </cell>
          <cell r="E18">
            <v>9</v>
          </cell>
        </row>
        <row r="19">
          <cell r="A19">
            <v>6170</v>
          </cell>
          <cell r="B19">
            <v>115</v>
          </cell>
          <cell r="C19" t="str">
            <v>Cemento Panamá</v>
          </cell>
          <cell r="D19" t="str">
            <v>CPA115</v>
          </cell>
          <cell r="E19">
            <v>9</v>
          </cell>
        </row>
        <row r="20">
          <cell r="A20">
            <v>6171</v>
          </cell>
          <cell r="B20">
            <v>230</v>
          </cell>
          <cell r="C20" t="str">
            <v>Pacora</v>
          </cell>
          <cell r="D20" t="str">
            <v>PAC230</v>
          </cell>
          <cell r="E20">
            <v>7</v>
          </cell>
        </row>
        <row r="21">
          <cell r="A21">
            <v>6173</v>
          </cell>
          <cell r="B21">
            <v>115</v>
          </cell>
          <cell r="C21" t="str">
            <v>Santa Rita</v>
          </cell>
          <cell r="D21" t="str">
            <v>STR115</v>
          </cell>
          <cell r="E21">
            <v>9</v>
          </cell>
        </row>
        <row r="22">
          <cell r="A22">
            <v>6179</v>
          </cell>
          <cell r="B22">
            <v>230</v>
          </cell>
          <cell r="C22" t="str">
            <v>Guasquitas</v>
          </cell>
          <cell r="D22" t="str">
            <v>GUA230</v>
          </cell>
          <cell r="E22">
            <v>2</v>
          </cell>
        </row>
        <row r="23">
          <cell r="A23">
            <v>6182</v>
          </cell>
          <cell r="B23">
            <v>230</v>
          </cell>
          <cell r="C23" t="str">
            <v>Veladero</v>
          </cell>
          <cell r="D23" t="str">
            <v>VEL230</v>
          </cell>
          <cell r="E23">
            <v>4</v>
          </cell>
        </row>
        <row r="24">
          <cell r="A24">
            <v>6240</v>
          </cell>
          <cell r="B24">
            <v>230</v>
          </cell>
          <cell r="C24" t="str">
            <v>El Higo</v>
          </cell>
          <cell r="D24" t="str">
            <v>EHIG230</v>
          </cell>
          <cell r="E24">
            <v>5</v>
          </cell>
        </row>
        <row r="25">
          <cell r="A25">
            <v>6260</v>
          </cell>
          <cell r="B25">
            <v>230</v>
          </cell>
          <cell r="C25" t="str">
            <v>Changuinola</v>
          </cell>
          <cell r="D25" t="str">
            <v>CHA230</v>
          </cell>
          <cell r="E25">
            <v>10</v>
          </cell>
        </row>
        <row r="26">
          <cell r="A26">
            <v>6263</v>
          </cell>
          <cell r="B26">
            <v>230</v>
          </cell>
          <cell r="C26" t="str">
            <v>La Esperanza</v>
          </cell>
          <cell r="D26" t="str">
            <v>ESP230</v>
          </cell>
          <cell r="E26">
            <v>10</v>
          </cell>
        </row>
        <row r="27">
          <cell r="A27">
            <v>6290</v>
          </cell>
          <cell r="B27">
            <v>115</v>
          </cell>
          <cell r="C27" t="str">
            <v>Cativá II</v>
          </cell>
          <cell r="D27" t="str">
            <v>CATII115</v>
          </cell>
          <cell r="E27">
            <v>9</v>
          </cell>
        </row>
        <row r="28">
          <cell r="A28">
            <v>6340</v>
          </cell>
          <cell r="B28">
            <v>230</v>
          </cell>
          <cell r="C28" t="str">
            <v>Cañazas</v>
          </cell>
          <cell r="D28" t="str">
            <v>CAN230</v>
          </cell>
          <cell r="E28">
            <v>10</v>
          </cell>
        </row>
        <row r="29">
          <cell r="A29">
            <v>6380</v>
          </cell>
          <cell r="B29">
            <v>230</v>
          </cell>
          <cell r="C29" t="str">
            <v>Boquerón III</v>
          </cell>
          <cell r="D29" t="str">
            <v>BOQIII230</v>
          </cell>
          <cell r="E29">
            <v>4</v>
          </cell>
        </row>
        <row r="30">
          <cell r="A30">
            <v>6405</v>
          </cell>
          <cell r="B30">
            <v>230</v>
          </cell>
          <cell r="C30" t="str">
            <v>Telfers</v>
          </cell>
          <cell r="D30" t="str">
            <v>TEL230</v>
          </cell>
          <cell r="E30">
            <v>9</v>
          </cell>
        </row>
        <row r="31">
          <cell r="A31">
            <v>6411</v>
          </cell>
          <cell r="B31">
            <v>230</v>
          </cell>
          <cell r="C31" t="str">
            <v>Los Olivos</v>
          </cell>
          <cell r="D31" t="str">
            <v>LOL230</v>
          </cell>
          <cell r="E31">
            <v>4</v>
          </cell>
        </row>
        <row r="32">
          <cell r="A32">
            <v>6460</v>
          </cell>
          <cell r="B32">
            <v>230</v>
          </cell>
          <cell r="C32" t="str">
            <v>El Coco</v>
          </cell>
          <cell r="D32" t="str">
            <v>ECO230</v>
          </cell>
          <cell r="E32">
            <v>5</v>
          </cell>
        </row>
        <row r="33">
          <cell r="A33">
            <v>6470</v>
          </cell>
          <cell r="B33">
            <v>230</v>
          </cell>
          <cell r="C33" t="str">
            <v>24 de Diciembre</v>
          </cell>
          <cell r="D33" t="str">
            <v>24DIC230</v>
          </cell>
          <cell r="E33">
            <v>7</v>
          </cell>
        </row>
        <row r="34">
          <cell r="A34">
            <v>6520</v>
          </cell>
          <cell r="B34">
            <v>230</v>
          </cell>
          <cell r="C34" t="str">
            <v>San Bartolo</v>
          </cell>
          <cell r="D34" t="str">
            <v>SBA230</v>
          </cell>
          <cell r="E34">
            <v>4</v>
          </cell>
        </row>
        <row r="35">
          <cell r="A35">
            <v>6515</v>
          </cell>
          <cell r="B35">
            <v>230</v>
          </cell>
          <cell r="C35" t="str">
            <v>Progreso II</v>
          </cell>
          <cell r="D35" t="str">
            <v>PRO2-230</v>
          </cell>
          <cell r="E35">
            <v>1</v>
          </cell>
        </row>
        <row r="36">
          <cell r="A36">
            <v>6550</v>
          </cell>
          <cell r="B36">
            <v>230</v>
          </cell>
          <cell r="C36" t="str">
            <v>Bella Vista</v>
          </cell>
          <cell r="D36" t="str">
            <v>BEV230</v>
          </cell>
          <cell r="E36">
            <v>4</v>
          </cell>
        </row>
        <row r="37">
          <cell r="A37">
            <v>6596</v>
          </cell>
          <cell r="B37">
            <v>230</v>
          </cell>
          <cell r="C37" t="str">
            <v>Santa Cruz</v>
          </cell>
          <cell r="D37" t="str">
            <v>SCR230</v>
          </cell>
          <cell r="E37">
            <v>5</v>
          </cell>
        </row>
        <row r="38">
          <cell r="A38">
            <v>6969</v>
          </cell>
          <cell r="B38">
            <v>230</v>
          </cell>
          <cell r="C38" t="str">
            <v xml:space="preserve">Santiago </v>
          </cell>
          <cell r="D38" t="str">
            <v>STG2A230</v>
          </cell>
          <cell r="E38">
            <v>4</v>
          </cell>
        </row>
        <row r="39">
          <cell r="A39">
            <v>6713</v>
          </cell>
          <cell r="B39">
            <v>230</v>
          </cell>
          <cell r="C39" t="str">
            <v>Burunga</v>
          </cell>
          <cell r="D39" t="str">
            <v>BUR230</v>
          </cell>
          <cell r="E39">
            <v>6</v>
          </cell>
        </row>
        <row r="40">
          <cell r="A40">
            <v>6801</v>
          </cell>
          <cell r="B40">
            <v>230</v>
          </cell>
          <cell r="C40" t="str">
            <v>Sabanitas</v>
          </cell>
          <cell r="D40" t="str">
            <v>SAB230</v>
          </cell>
          <cell r="E40">
            <v>9</v>
          </cell>
        </row>
        <row r="41">
          <cell r="A41">
            <v>6830</v>
          </cell>
          <cell r="B41">
            <v>230</v>
          </cell>
          <cell r="C41" t="str">
            <v>Antón</v>
          </cell>
          <cell r="D41" t="str">
            <v>ANT230</v>
          </cell>
          <cell r="E41">
            <v>6</v>
          </cell>
        </row>
        <row r="42">
          <cell r="A42">
            <v>6840</v>
          </cell>
          <cell r="B42">
            <v>230</v>
          </cell>
          <cell r="C42" t="str">
            <v>Panamá III</v>
          </cell>
          <cell r="D42" t="str">
            <v>PAN3 230</v>
          </cell>
          <cell r="E42">
            <v>7</v>
          </cell>
        </row>
        <row r="43">
          <cell r="A43">
            <v>6861</v>
          </cell>
          <cell r="B43">
            <v>230</v>
          </cell>
          <cell r="C43" t="str">
            <v>Chepo</v>
          </cell>
          <cell r="D43" t="str">
            <v>CHE230</v>
          </cell>
          <cell r="E43">
            <v>8</v>
          </cell>
        </row>
        <row r="44">
          <cell r="A44">
            <v>6885</v>
          </cell>
          <cell r="B44">
            <v>230</v>
          </cell>
          <cell r="C44" t="str">
            <v>La Huaca</v>
          </cell>
          <cell r="D44" t="str">
            <v>LHU230</v>
          </cell>
          <cell r="E44">
            <v>4</v>
          </cell>
        </row>
        <row r="45">
          <cell r="A45">
            <v>7000</v>
          </cell>
          <cell r="C45" t="str">
            <v>T1-Panama</v>
          </cell>
          <cell r="D45" t="str">
            <v>T1-PAN</v>
          </cell>
          <cell r="E45">
            <v>7</v>
          </cell>
        </row>
        <row r="46">
          <cell r="A46">
            <v>7001</v>
          </cell>
          <cell r="C46" t="str">
            <v>T2-Panama</v>
          </cell>
          <cell r="D46" t="str">
            <v>T2-PAN</v>
          </cell>
          <cell r="E46">
            <v>7</v>
          </cell>
        </row>
        <row r="47">
          <cell r="A47">
            <v>7002</v>
          </cell>
          <cell r="C47" t="str">
            <v>T3-Panama</v>
          </cell>
          <cell r="D47" t="str">
            <v>T3-PAN</v>
          </cell>
          <cell r="E47">
            <v>7</v>
          </cell>
        </row>
        <row r="48">
          <cell r="A48">
            <v>7003</v>
          </cell>
          <cell r="C48" t="str">
            <v>T5-Panama</v>
          </cell>
          <cell r="D48" t="str">
            <v>T5-PAN</v>
          </cell>
          <cell r="E48">
            <v>7</v>
          </cell>
        </row>
        <row r="49">
          <cell r="A49">
            <v>7013</v>
          </cell>
          <cell r="C49" t="str">
            <v>T1-Mata de Nance</v>
          </cell>
          <cell r="D49" t="str">
            <v>T1-MDN</v>
          </cell>
          <cell r="E49">
            <v>4</v>
          </cell>
        </row>
        <row r="50">
          <cell r="A50">
            <v>7014</v>
          </cell>
          <cell r="C50" t="str">
            <v>T2-Mata de Nance</v>
          </cell>
          <cell r="D50" t="str">
            <v>T2-MDN</v>
          </cell>
          <cell r="E50">
            <v>4</v>
          </cell>
        </row>
        <row r="51">
          <cell r="A51">
            <v>7015</v>
          </cell>
          <cell r="C51" t="str">
            <v>T3-Mata de Nance</v>
          </cell>
          <cell r="D51" t="str">
            <v>T3-MDN</v>
          </cell>
          <cell r="E51">
            <v>4</v>
          </cell>
        </row>
        <row r="52">
          <cell r="A52">
            <v>7016</v>
          </cell>
          <cell r="C52" t="str">
            <v>T1-Changuinola</v>
          </cell>
          <cell r="D52" t="str">
            <v>T1-CHA</v>
          </cell>
          <cell r="E52">
            <v>10</v>
          </cell>
        </row>
        <row r="53">
          <cell r="A53">
            <v>7017</v>
          </cell>
          <cell r="C53" t="str">
            <v>T2-Changuinola</v>
          </cell>
          <cell r="D53" t="str">
            <v>T2-CHA</v>
          </cell>
          <cell r="E53">
            <v>10</v>
          </cell>
        </row>
      </sheetData>
      <sheetData sheetId="1">
        <row r="2">
          <cell r="C2">
            <v>230</v>
          </cell>
          <cell r="F2" t="str">
            <v>S</v>
          </cell>
          <cell r="G2">
            <v>13.09</v>
          </cell>
        </row>
        <row r="3">
          <cell r="C3">
            <v>230</v>
          </cell>
          <cell r="F3" t="str">
            <v>S</v>
          </cell>
          <cell r="G3">
            <v>13.09</v>
          </cell>
        </row>
        <row r="4">
          <cell r="C4">
            <v>230</v>
          </cell>
          <cell r="F4" t="str">
            <v>S</v>
          </cell>
          <cell r="G4">
            <v>40.479999999999997</v>
          </cell>
        </row>
        <row r="5">
          <cell r="C5">
            <v>230</v>
          </cell>
          <cell r="F5" t="str">
            <v>S</v>
          </cell>
          <cell r="G5">
            <v>3.18</v>
          </cell>
        </row>
        <row r="6">
          <cell r="C6">
            <v>230</v>
          </cell>
          <cell r="F6" t="str">
            <v>S</v>
          </cell>
          <cell r="G6">
            <v>3.18</v>
          </cell>
        </row>
        <row r="7">
          <cell r="C7">
            <v>230</v>
          </cell>
          <cell r="F7" t="str">
            <v>S</v>
          </cell>
          <cell r="G7">
            <v>40.479999999999997</v>
          </cell>
        </row>
        <row r="8">
          <cell r="C8" t="str">
            <v>TX</v>
          </cell>
          <cell r="F8" t="str">
            <v>S</v>
          </cell>
        </row>
        <row r="9">
          <cell r="C9" t="str">
            <v>TX</v>
          </cell>
          <cell r="F9" t="str">
            <v>S</v>
          </cell>
        </row>
        <row r="10">
          <cell r="C10" t="str">
            <v>TX</v>
          </cell>
          <cell r="F10" t="str">
            <v>S</v>
          </cell>
        </row>
        <row r="11">
          <cell r="C11" t="str">
            <v>TX</v>
          </cell>
          <cell r="F11" t="str">
            <v>S</v>
          </cell>
        </row>
        <row r="12">
          <cell r="C12">
            <v>115</v>
          </cell>
          <cell r="F12" t="str">
            <v>S</v>
          </cell>
          <cell r="G12">
            <v>0.81</v>
          </cell>
        </row>
        <row r="13">
          <cell r="C13">
            <v>115</v>
          </cell>
          <cell r="F13" t="str">
            <v>S</v>
          </cell>
          <cell r="G13">
            <v>0.81</v>
          </cell>
        </row>
        <row r="14">
          <cell r="C14">
            <v>115</v>
          </cell>
          <cell r="F14" t="str">
            <v>S</v>
          </cell>
          <cell r="G14">
            <v>0.81</v>
          </cell>
        </row>
        <row r="15">
          <cell r="C15">
            <v>115</v>
          </cell>
          <cell r="F15" t="str">
            <v>S</v>
          </cell>
          <cell r="G15">
            <v>22.85</v>
          </cell>
        </row>
        <row r="16">
          <cell r="C16">
            <v>115</v>
          </cell>
          <cell r="F16" t="str">
            <v>S</v>
          </cell>
          <cell r="G16">
            <v>31.18</v>
          </cell>
        </row>
        <row r="17">
          <cell r="C17" t="str">
            <v>TX</v>
          </cell>
          <cell r="F17" t="str">
            <v>S</v>
          </cell>
        </row>
        <row r="18">
          <cell r="C18" t="str">
            <v>TX</v>
          </cell>
          <cell r="F18" t="str">
            <v>S</v>
          </cell>
        </row>
        <row r="19">
          <cell r="C19" t="str">
            <v>TX</v>
          </cell>
          <cell r="F19" t="str">
            <v>S</v>
          </cell>
        </row>
        <row r="20">
          <cell r="C20" t="str">
            <v>TX</v>
          </cell>
          <cell r="F20" t="str">
            <v>S</v>
          </cell>
        </row>
        <row r="21">
          <cell r="C21">
            <v>230</v>
          </cell>
          <cell r="F21" t="str">
            <v>S</v>
          </cell>
          <cell r="G21">
            <v>19.010000000000002</v>
          </cell>
        </row>
        <row r="22">
          <cell r="C22">
            <v>230</v>
          </cell>
          <cell r="F22" t="str">
            <v>S</v>
          </cell>
          <cell r="G22">
            <v>10.67</v>
          </cell>
        </row>
        <row r="23">
          <cell r="C23">
            <v>230</v>
          </cell>
          <cell r="F23" t="str">
            <v>S</v>
          </cell>
          <cell r="G23">
            <v>14.55</v>
          </cell>
        </row>
        <row r="24">
          <cell r="C24">
            <v>230</v>
          </cell>
          <cell r="F24" t="str">
            <v>S</v>
          </cell>
          <cell r="G24">
            <v>14.55</v>
          </cell>
        </row>
        <row r="25">
          <cell r="C25">
            <v>230</v>
          </cell>
          <cell r="F25" t="str">
            <v>S</v>
          </cell>
          <cell r="G25">
            <v>50.85</v>
          </cell>
        </row>
        <row r="26">
          <cell r="C26">
            <v>230</v>
          </cell>
          <cell r="F26" t="str">
            <v>S</v>
          </cell>
          <cell r="G26">
            <v>50.85</v>
          </cell>
        </row>
        <row r="27">
          <cell r="C27">
            <v>230</v>
          </cell>
          <cell r="F27" t="str">
            <v>S</v>
          </cell>
          <cell r="G27">
            <v>60.81</v>
          </cell>
        </row>
        <row r="28">
          <cell r="C28">
            <v>230</v>
          </cell>
          <cell r="F28" t="str">
            <v>S</v>
          </cell>
          <cell r="G28">
            <v>60.81</v>
          </cell>
        </row>
        <row r="29">
          <cell r="C29">
            <v>230</v>
          </cell>
          <cell r="F29" t="str">
            <v>SD</v>
          </cell>
          <cell r="G29">
            <v>95.2</v>
          </cell>
        </row>
        <row r="30">
          <cell r="C30">
            <v>230</v>
          </cell>
          <cell r="F30" t="str">
            <v>SD</v>
          </cell>
          <cell r="G30">
            <v>34.89</v>
          </cell>
        </row>
        <row r="31">
          <cell r="C31">
            <v>230</v>
          </cell>
          <cell r="F31" t="str">
            <v>SD</v>
          </cell>
          <cell r="G31">
            <v>34.89</v>
          </cell>
        </row>
        <row r="32">
          <cell r="C32">
            <v>230</v>
          </cell>
          <cell r="F32" t="str">
            <v>S</v>
          </cell>
          <cell r="G32">
            <v>120.19</v>
          </cell>
        </row>
        <row r="33">
          <cell r="C33">
            <v>230</v>
          </cell>
          <cell r="F33" t="str">
            <v>SD</v>
          </cell>
          <cell r="G33">
            <v>111.38</v>
          </cell>
        </row>
        <row r="34">
          <cell r="C34">
            <v>230</v>
          </cell>
          <cell r="F34" t="str">
            <v>SD</v>
          </cell>
          <cell r="G34">
            <v>111.38</v>
          </cell>
        </row>
        <row r="35">
          <cell r="C35">
            <v>230</v>
          </cell>
          <cell r="F35" t="str">
            <v>S</v>
          </cell>
          <cell r="G35">
            <v>81.93</v>
          </cell>
        </row>
        <row r="36">
          <cell r="C36">
            <v>230</v>
          </cell>
          <cell r="F36" t="str">
            <v>S</v>
          </cell>
          <cell r="G36">
            <v>81.93</v>
          </cell>
        </row>
        <row r="37">
          <cell r="C37">
            <v>230</v>
          </cell>
          <cell r="F37" t="str">
            <v>S</v>
          </cell>
          <cell r="G37">
            <v>44.65</v>
          </cell>
        </row>
        <row r="38">
          <cell r="C38">
            <v>230</v>
          </cell>
          <cell r="F38" t="str">
            <v>S</v>
          </cell>
          <cell r="G38">
            <v>44.65</v>
          </cell>
        </row>
        <row r="39">
          <cell r="C39">
            <v>230</v>
          </cell>
          <cell r="F39" t="str">
            <v>S</v>
          </cell>
          <cell r="G39">
            <v>68.2</v>
          </cell>
        </row>
        <row r="40">
          <cell r="C40">
            <v>230</v>
          </cell>
          <cell r="F40" t="str">
            <v>S</v>
          </cell>
          <cell r="G40">
            <v>68.2</v>
          </cell>
        </row>
        <row r="41">
          <cell r="C41">
            <v>230</v>
          </cell>
          <cell r="F41" t="str">
            <v>S</v>
          </cell>
          <cell r="G41">
            <v>107.97</v>
          </cell>
        </row>
        <row r="42">
          <cell r="C42">
            <v>230</v>
          </cell>
          <cell r="F42" t="str">
            <v>S</v>
          </cell>
          <cell r="G42">
            <v>36</v>
          </cell>
        </row>
        <row r="43">
          <cell r="C43">
            <v>230</v>
          </cell>
          <cell r="F43" t="str">
            <v>S</v>
          </cell>
          <cell r="G43">
            <v>36</v>
          </cell>
        </row>
        <row r="44">
          <cell r="C44">
            <v>230</v>
          </cell>
          <cell r="F44" t="str">
            <v>S</v>
          </cell>
          <cell r="G44">
            <v>35.78</v>
          </cell>
        </row>
        <row r="45">
          <cell r="C45">
            <v>230</v>
          </cell>
          <cell r="F45" t="str">
            <v>S</v>
          </cell>
          <cell r="G45">
            <v>7</v>
          </cell>
        </row>
        <row r="46">
          <cell r="C46">
            <v>230</v>
          </cell>
          <cell r="F46" t="str">
            <v>S</v>
          </cell>
          <cell r="G46">
            <v>7</v>
          </cell>
        </row>
        <row r="47">
          <cell r="C47">
            <v>230</v>
          </cell>
          <cell r="F47" t="str">
            <v>S</v>
          </cell>
          <cell r="G47">
            <v>37.72</v>
          </cell>
        </row>
        <row r="48">
          <cell r="C48">
            <v>230</v>
          </cell>
          <cell r="F48" t="str">
            <v>S</v>
          </cell>
          <cell r="G48">
            <v>37.72</v>
          </cell>
        </row>
        <row r="49">
          <cell r="C49">
            <v>230</v>
          </cell>
          <cell r="F49" t="str">
            <v>S</v>
          </cell>
          <cell r="G49">
            <v>85.6</v>
          </cell>
        </row>
        <row r="50">
          <cell r="C50">
            <v>230</v>
          </cell>
          <cell r="F50" t="str">
            <v>S</v>
          </cell>
          <cell r="G50">
            <v>85.6</v>
          </cell>
        </row>
        <row r="51">
          <cell r="C51">
            <v>230</v>
          </cell>
          <cell r="F51" t="str">
            <v>S</v>
          </cell>
          <cell r="G51">
            <v>85.6</v>
          </cell>
        </row>
        <row r="52">
          <cell r="C52">
            <v>230</v>
          </cell>
          <cell r="F52" t="str">
            <v>S</v>
          </cell>
          <cell r="G52">
            <v>85.6</v>
          </cell>
        </row>
        <row r="53">
          <cell r="C53">
            <v>230</v>
          </cell>
          <cell r="F53" t="str">
            <v>S</v>
          </cell>
          <cell r="G53">
            <v>24.17</v>
          </cell>
        </row>
        <row r="54">
          <cell r="C54" t="str">
            <v>TX</v>
          </cell>
          <cell r="F54" t="str">
            <v>S</v>
          </cell>
        </row>
        <row r="55">
          <cell r="C55" t="str">
            <v>TX</v>
          </cell>
          <cell r="F55" t="str">
            <v>S</v>
          </cell>
        </row>
        <row r="56">
          <cell r="C56" t="str">
            <v>TX</v>
          </cell>
          <cell r="F56" t="str">
            <v>S</v>
          </cell>
        </row>
        <row r="57">
          <cell r="C57">
            <v>115</v>
          </cell>
          <cell r="F57" t="str">
            <v>S</v>
          </cell>
          <cell r="G57">
            <v>25.32</v>
          </cell>
        </row>
        <row r="58">
          <cell r="C58">
            <v>115</v>
          </cell>
          <cell r="F58" t="str">
            <v>S</v>
          </cell>
          <cell r="G58">
            <v>25.32</v>
          </cell>
        </row>
        <row r="59">
          <cell r="C59" t="str">
            <v>TX</v>
          </cell>
          <cell r="F59" t="str">
            <v>S</v>
          </cell>
        </row>
        <row r="60">
          <cell r="C60" t="str">
            <v>TX</v>
          </cell>
          <cell r="F60" t="str">
            <v>S</v>
          </cell>
        </row>
        <row r="61">
          <cell r="C61" t="str">
            <v>TX</v>
          </cell>
          <cell r="F61" t="str">
            <v>S</v>
          </cell>
        </row>
        <row r="62">
          <cell r="C62" t="str">
            <v>TX</v>
          </cell>
          <cell r="F62" t="str">
            <v>S</v>
          </cell>
        </row>
        <row r="63">
          <cell r="C63" t="str">
            <v>TX</v>
          </cell>
          <cell r="F63" t="str">
            <v>S</v>
          </cell>
        </row>
        <row r="64">
          <cell r="C64" t="str">
            <v>TX</v>
          </cell>
          <cell r="F64" t="str">
            <v>S</v>
          </cell>
        </row>
        <row r="65">
          <cell r="C65">
            <v>230</v>
          </cell>
          <cell r="F65" t="str">
            <v>S</v>
          </cell>
          <cell r="G65">
            <v>29.95</v>
          </cell>
        </row>
        <row r="66">
          <cell r="C66">
            <v>230</v>
          </cell>
          <cell r="F66" t="str">
            <v>S</v>
          </cell>
          <cell r="G66">
            <v>54.12</v>
          </cell>
        </row>
        <row r="67">
          <cell r="C67">
            <v>230</v>
          </cell>
          <cell r="F67" t="str">
            <v>S</v>
          </cell>
          <cell r="G67">
            <v>0.1</v>
          </cell>
        </row>
        <row r="68">
          <cell r="C68">
            <v>230</v>
          </cell>
          <cell r="F68" t="str">
            <v>S</v>
          </cell>
          <cell r="G68">
            <v>0.1</v>
          </cell>
        </row>
        <row r="69">
          <cell r="C69">
            <v>115</v>
          </cell>
          <cell r="F69" t="str">
            <v>S</v>
          </cell>
          <cell r="G69">
            <v>47.81</v>
          </cell>
        </row>
        <row r="70">
          <cell r="C70">
            <v>115</v>
          </cell>
          <cell r="F70" t="str">
            <v>S</v>
          </cell>
          <cell r="G70">
            <v>47.81</v>
          </cell>
        </row>
        <row r="71">
          <cell r="C71">
            <v>115</v>
          </cell>
          <cell r="F71" t="str">
            <v>S</v>
          </cell>
          <cell r="G71">
            <v>32.08</v>
          </cell>
        </row>
        <row r="72">
          <cell r="C72">
            <v>115</v>
          </cell>
          <cell r="F72" t="str">
            <v>S</v>
          </cell>
          <cell r="G72">
            <v>6.9</v>
          </cell>
        </row>
        <row r="73">
          <cell r="C73">
            <v>115</v>
          </cell>
          <cell r="F73" t="str">
            <v>S</v>
          </cell>
          <cell r="G73">
            <v>0.96</v>
          </cell>
        </row>
        <row r="74">
          <cell r="C74">
            <v>115</v>
          </cell>
          <cell r="F74" t="str">
            <v>S</v>
          </cell>
          <cell r="G74">
            <v>25.41</v>
          </cell>
        </row>
        <row r="75">
          <cell r="C75">
            <v>230</v>
          </cell>
          <cell r="F75" t="str">
            <v>S</v>
          </cell>
          <cell r="G75">
            <v>16.399999999999999</v>
          </cell>
        </row>
        <row r="76">
          <cell r="C76">
            <v>230</v>
          </cell>
          <cell r="F76" t="str">
            <v>S</v>
          </cell>
          <cell r="G76">
            <v>97.4</v>
          </cell>
        </row>
        <row r="77">
          <cell r="C77">
            <v>230</v>
          </cell>
          <cell r="F77" t="str">
            <v>S</v>
          </cell>
          <cell r="G77">
            <v>50.88</v>
          </cell>
        </row>
        <row r="78">
          <cell r="C78">
            <v>230</v>
          </cell>
          <cell r="F78" t="str">
            <v>S</v>
          </cell>
          <cell r="G78">
            <v>60.53</v>
          </cell>
        </row>
        <row r="79">
          <cell r="C79">
            <v>230</v>
          </cell>
          <cell r="F79" t="str">
            <v>S</v>
          </cell>
          <cell r="G79">
            <v>24.5</v>
          </cell>
        </row>
        <row r="80">
          <cell r="C80">
            <v>230</v>
          </cell>
          <cell r="F80" t="str">
            <v>S</v>
          </cell>
          <cell r="G80">
            <v>24.5</v>
          </cell>
        </row>
        <row r="81">
          <cell r="C81">
            <v>230</v>
          </cell>
          <cell r="F81" t="str">
            <v>S</v>
          </cell>
          <cell r="G81">
            <v>25.37</v>
          </cell>
        </row>
        <row r="82">
          <cell r="C82">
            <v>115</v>
          </cell>
          <cell r="F82" t="str">
            <v>S</v>
          </cell>
          <cell r="G82">
            <v>6.69</v>
          </cell>
        </row>
        <row r="83">
          <cell r="C83">
            <v>230</v>
          </cell>
          <cell r="F83" t="str">
            <v>S</v>
          </cell>
          <cell r="G83">
            <v>84.81</v>
          </cell>
        </row>
        <row r="84">
          <cell r="C84">
            <v>230</v>
          </cell>
          <cell r="F84" t="str">
            <v>S</v>
          </cell>
          <cell r="G84">
            <v>84.81</v>
          </cell>
        </row>
        <row r="85">
          <cell r="C85">
            <v>230</v>
          </cell>
          <cell r="F85" t="str">
            <v>S</v>
          </cell>
          <cell r="G85">
            <v>42.89</v>
          </cell>
        </row>
        <row r="86">
          <cell r="C86">
            <v>230</v>
          </cell>
          <cell r="F86" t="str">
            <v>S</v>
          </cell>
          <cell r="G86">
            <v>42.89</v>
          </cell>
        </row>
        <row r="87">
          <cell r="C87">
            <v>230</v>
          </cell>
          <cell r="F87" t="str">
            <v>S</v>
          </cell>
          <cell r="G87">
            <v>8.66</v>
          </cell>
        </row>
        <row r="88">
          <cell r="C88">
            <v>230</v>
          </cell>
          <cell r="F88" t="str">
            <v>S</v>
          </cell>
          <cell r="G88">
            <v>74.87</v>
          </cell>
        </row>
        <row r="89">
          <cell r="C89">
            <v>230</v>
          </cell>
          <cell r="F89" t="str">
            <v>S</v>
          </cell>
          <cell r="G89">
            <v>8.66</v>
          </cell>
        </row>
        <row r="90">
          <cell r="C90">
            <v>230</v>
          </cell>
          <cell r="F90" t="str">
            <v>S</v>
          </cell>
          <cell r="G90">
            <v>74.87</v>
          </cell>
        </row>
        <row r="91">
          <cell r="C91">
            <v>230</v>
          </cell>
          <cell r="F91" t="str">
            <v>S</v>
          </cell>
          <cell r="G91">
            <v>24.66</v>
          </cell>
        </row>
        <row r="92">
          <cell r="C92">
            <v>230</v>
          </cell>
          <cell r="F92" t="str">
            <v>S</v>
          </cell>
          <cell r="G92">
            <v>78.38</v>
          </cell>
        </row>
        <row r="93">
          <cell r="C93">
            <v>230</v>
          </cell>
          <cell r="F93" t="str">
            <v>S</v>
          </cell>
          <cell r="G93">
            <v>45.57</v>
          </cell>
        </row>
        <row r="94">
          <cell r="C94">
            <v>230</v>
          </cell>
          <cell r="F94" t="str">
            <v>S</v>
          </cell>
          <cell r="G94">
            <v>117.22</v>
          </cell>
        </row>
        <row r="95">
          <cell r="C95">
            <v>230</v>
          </cell>
          <cell r="F95" t="str">
            <v>S</v>
          </cell>
          <cell r="G95">
            <v>117.22</v>
          </cell>
        </row>
        <row r="96">
          <cell r="C96">
            <v>230</v>
          </cell>
          <cell r="F96" t="str">
            <v>S</v>
          </cell>
          <cell r="G96">
            <v>35.24</v>
          </cell>
        </row>
        <row r="97">
          <cell r="C97">
            <v>230</v>
          </cell>
          <cell r="F97" t="str">
            <v>S</v>
          </cell>
          <cell r="G97">
            <v>24.99</v>
          </cell>
        </row>
        <row r="98">
          <cell r="C98">
            <v>230</v>
          </cell>
          <cell r="F98" t="str">
            <v>S</v>
          </cell>
          <cell r="G98">
            <v>19.399999999999999</v>
          </cell>
        </row>
        <row r="99">
          <cell r="C99">
            <v>230</v>
          </cell>
          <cell r="F99" t="str">
            <v>S</v>
          </cell>
          <cell r="G99">
            <v>19.399999999999999</v>
          </cell>
        </row>
        <row r="100">
          <cell r="C100">
            <v>230</v>
          </cell>
          <cell r="F100" t="str">
            <v>S</v>
          </cell>
          <cell r="G100">
            <v>45.69</v>
          </cell>
        </row>
        <row r="101">
          <cell r="C101">
            <v>230</v>
          </cell>
          <cell r="F101" t="str">
            <v>S</v>
          </cell>
          <cell r="G101">
            <v>45.69</v>
          </cell>
        </row>
        <row r="102">
          <cell r="C102">
            <v>230</v>
          </cell>
          <cell r="F102" t="str">
            <v>S</v>
          </cell>
          <cell r="G102">
            <v>17.399999999999999</v>
          </cell>
        </row>
        <row r="103">
          <cell r="C103">
            <v>230</v>
          </cell>
          <cell r="F103" t="str">
            <v>S</v>
          </cell>
          <cell r="G103">
            <v>16</v>
          </cell>
        </row>
        <row r="104">
          <cell r="C104">
            <v>230</v>
          </cell>
          <cell r="F104" t="str">
            <v>S</v>
          </cell>
          <cell r="G104">
            <v>16</v>
          </cell>
        </row>
        <row r="105">
          <cell r="C105">
            <v>230</v>
          </cell>
          <cell r="F105" t="str">
            <v>S</v>
          </cell>
          <cell r="G105">
            <v>0.7</v>
          </cell>
        </row>
        <row r="106">
          <cell r="C106">
            <v>230</v>
          </cell>
          <cell r="F106" t="str">
            <v>S</v>
          </cell>
        </row>
        <row r="107">
          <cell r="C107">
            <v>230</v>
          </cell>
          <cell r="F107" t="str">
            <v>S</v>
          </cell>
        </row>
        <row r="108">
          <cell r="C108">
            <v>230</v>
          </cell>
          <cell r="F108" t="str">
            <v>S</v>
          </cell>
          <cell r="G108">
            <v>2.1</v>
          </cell>
        </row>
        <row r="109">
          <cell r="C109">
            <v>230</v>
          </cell>
          <cell r="F109" t="str">
            <v>S</v>
          </cell>
          <cell r="G109">
            <v>2.1</v>
          </cell>
        </row>
        <row r="110">
          <cell r="C110">
            <v>230</v>
          </cell>
          <cell r="F110" t="str">
            <v>S</v>
          </cell>
          <cell r="G110">
            <v>100.97</v>
          </cell>
        </row>
        <row r="111">
          <cell r="C111">
            <v>230</v>
          </cell>
          <cell r="F111" t="str">
            <v>S</v>
          </cell>
          <cell r="G111">
            <v>28.78</v>
          </cell>
        </row>
        <row r="112">
          <cell r="C112">
            <v>230</v>
          </cell>
          <cell r="F112" t="str">
            <v>S</v>
          </cell>
          <cell r="G112">
            <v>40</v>
          </cell>
        </row>
        <row r="113">
          <cell r="C113">
            <v>230</v>
          </cell>
          <cell r="F113" t="str">
            <v>S</v>
          </cell>
          <cell r="G113">
            <v>40</v>
          </cell>
        </row>
      </sheetData>
      <sheetData sheetId="2" refreshError="1"/>
      <sheetData sheetId="3" refreshError="1"/>
      <sheetData sheetId="4">
        <row r="2">
          <cell r="L2">
            <v>0</v>
          </cell>
        </row>
        <row r="17">
          <cell r="L17">
            <v>0</v>
          </cell>
        </row>
      </sheetData>
      <sheetData sheetId="5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put"/>
      <sheetName val="Nod"/>
      <sheetName val="Ram"/>
      <sheetName val="%USO"/>
      <sheetName val="Dias"/>
      <sheetName val="ENERGIA"/>
      <sheetName val="ENSA"/>
    </sheetNames>
    <sheetDataSet>
      <sheetData sheetId="0">
        <row r="1">
          <cell r="B1">
            <v>4</v>
          </cell>
        </row>
      </sheetData>
      <sheetData sheetId="1">
        <row r="3">
          <cell r="A3">
            <v>6002</v>
          </cell>
          <cell r="B3">
            <v>115</v>
          </cell>
          <cell r="C3" t="str">
            <v>Panamá 115</v>
          </cell>
          <cell r="D3" t="str">
            <v>PAN115</v>
          </cell>
          <cell r="E3">
            <v>7</v>
          </cell>
        </row>
        <row r="4">
          <cell r="A4">
            <v>6003</v>
          </cell>
          <cell r="B4">
            <v>230</v>
          </cell>
          <cell r="C4" t="str">
            <v>Panamá II 230</v>
          </cell>
          <cell r="D4" t="str">
            <v>PANII230</v>
          </cell>
          <cell r="E4">
            <v>7</v>
          </cell>
        </row>
        <row r="5">
          <cell r="A5">
            <v>6005</v>
          </cell>
          <cell r="B5">
            <v>230</v>
          </cell>
          <cell r="C5" t="str">
            <v>Chorrera 230</v>
          </cell>
          <cell r="D5" t="str">
            <v>CHO230</v>
          </cell>
          <cell r="E5">
            <v>6</v>
          </cell>
        </row>
        <row r="6">
          <cell r="A6">
            <v>6008</v>
          </cell>
          <cell r="B6">
            <v>230</v>
          </cell>
          <cell r="C6" t="str">
            <v>Llano Sánchez 230</v>
          </cell>
          <cell r="D6" t="str">
            <v>LSA230</v>
          </cell>
          <cell r="E6">
            <v>5</v>
          </cell>
        </row>
        <row r="7">
          <cell r="A7">
            <v>6011</v>
          </cell>
          <cell r="B7">
            <v>230</v>
          </cell>
          <cell r="C7" t="str">
            <v>Mata de Nance 230</v>
          </cell>
          <cell r="D7" t="str">
            <v>MDN230</v>
          </cell>
          <cell r="E7">
            <v>4</v>
          </cell>
        </row>
        <row r="8">
          <cell r="A8">
            <v>6012</v>
          </cell>
          <cell r="B8">
            <v>115</v>
          </cell>
          <cell r="C8" t="str">
            <v>Mata de Nance 115</v>
          </cell>
          <cell r="D8" t="str">
            <v>MDN115</v>
          </cell>
          <cell r="E8">
            <v>4</v>
          </cell>
        </row>
        <row r="9">
          <cell r="A9">
            <v>6013</v>
          </cell>
          <cell r="B9">
            <v>34.5</v>
          </cell>
          <cell r="C9" t="str">
            <v>Mata de Nance 34.5</v>
          </cell>
          <cell r="D9" t="str">
            <v>MDN34</v>
          </cell>
          <cell r="E9">
            <v>4</v>
          </cell>
        </row>
        <row r="10">
          <cell r="A10">
            <v>6014</v>
          </cell>
          <cell r="B10">
            <v>230</v>
          </cell>
          <cell r="C10" t="str">
            <v>Progreso 230</v>
          </cell>
          <cell r="D10" t="str">
            <v>PRO230</v>
          </cell>
          <cell r="E10">
            <v>1</v>
          </cell>
        </row>
        <row r="11">
          <cell r="A11">
            <v>6018</v>
          </cell>
          <cell r="B11">
            <v>115</v>
          </cell>
          <cell r="C11" t="str">
            <v>Cáceres</v>
          </cell>
          <cell r="D11" t="str">
            <v>CAC115</v>
          </cell>
          <cell r="E11">
            <v>7</v>
          </cell>
        </row>
        <row r="12">
          <cell r="A12">
            <v>6024</v>
          </cell>
          <cell r="B12">
            <v>115</v>
          </cell>
          <cell r="C12" t="str">
            <v>Chilibre</v>
          </cell>
          <cell r="D12" t="str">
            <v>CHI115</v>
          </cell>
          <cell r="E12">
            <v>7</v>
          </cell>
        </row>
        <row r="13">
          <cell r="A13">
            <v>6059</v>
          </cell>
          <cell r="B13">
            <v>115</v>
          </cell>
          <cell r="C13" t="str">
            <v>Las Minas 1</v>
          </cell>
          <cell r="D13" t="str">
            <v>LM1115</v>
          </cell>
          <cell r="E13">
            <v>9</v>
          </cell>
        </row>
        <row r="14">
          <cell r="A14">
            <v>6060</v>
          </cell>
          <cell r="B14">
            <v>115</v>
          </cell>
          <cell r="C14" t="str">
            <v>Las Minas 2</v>
          </cell>
          <cell r="D14" t="str">
            <v>LM2115</v>
          </cell>
          <cell r="E14">
            <v>9</v>
          </cell>
        </row>
        <row r="15">
          <cell r="A15">
            <v>6087</v>
          </cell>
          <cell r="B15">
            <v>115</v>
          </cell>
          <cell r="C15" t="str">
            <v>Caldera</v>
          </cell>
          <cell r="D15" t="str">
            <v>CAL115</v>
          </cell>
          <cell r="E15">
            <v>3</v>
          </cell>
        </row>
        <row r="16">
          <cell r="A16">
            <v>6096</v>
          </cell>
          <cell r="B16">
            <v>230</v>
          </cell>
          <cell r="C16" t="str">
            <v>Fortuna</v>
          </cell>
          <cell r="D16" t="str">
            <v>FOR230</v>
          </cell>
          <cell r="E16">
            <v>2</v>
          </cell>
        </row>
        <row r="17">
          <cell r="A17">
            <v>6100</v>
          </cell>
          <cell r="B17">
            <v>230</v>
          </cell>
          <cell r="C17" t="str">
            <v>Bayano</v>
          </cell>
          <cell r="D17" t="str">
            <v>BAY230</v>
          </cell>
          <cell r="E17">
            <v>8</v>
          </cell>
        </row>
        <row r="18">
          <cell r="A18">
            <v>6167</v>
          </cell>
          <cell r="B18">
            <v>230</v>
          </cell>
          <cell r="C18" t="str">
            <v>Santa Rita</v>
          </cell>
          <cell r="D18" t="str">
            <v>STR230</v>
          </cell>
          <cell r="E18">
            <v>9</v>
          </cell>
        </row>
        <row r="19">
          <cell r="A19">
            <v>6170</v>
          </cell>
          <cell r="B19">
            <v>115</v>
          </cell>
          <cell r="C19" t="str">
            <v>Cemento Panamá</v>
          </cell>
          <cell r="D19" t="str">
            <v>CPA115</v>
          </cell>
          <cell r="E19">
            <v>9</v>
          </cell>
        </row>
        <row r="20">
          <cell r="A20">
            <v>6171</v>
          </cell>
          <cell r="B20">
            <v>230</v>
          </cell>
          <cell r="C20" t="str">
            <v>Pacora</v>
          </cell>
          <cell r="D20" t="str">
            <v>PAC230</v>
          </cell>
          <cell r="E20">
            <v>7</v>
          </cell>
        </row>
        <row r="21">
          <cell r="A21">
            <v>6173</v>
          </cell>
          <cell r="B21">
            <v>115</v>
          </cell>
          <cell r="C21" t="str">
            <v>Santa Rita</v>
          </cell>
          <cell r="D21" t="str">
            <v>STR115</v>
          </cell>
          <cell r="E21">
            <v>9</v>
          </cell>
        </row>
        <row r="22">
          <cell r="A22">
            <v>6179</v>
          </cell>
          <cell r="B22">
            <v>230</v>
          </cell>
          <cell r="C22" t="str">
            <v>Guasquitas</v>
          </cell>
          <cell r="D22" t="str">
            <v>GUA230</v>
          </cell>
          <cell r="E22">
            <v>2</v>
          </cell>
        </row>
        <row r="23">
          <cell r="A23">
            <v>6182</v>
          </cell>
          <cell r="B23">
            <v>230</v>
          </cell>
          <cell r="C23" t="str">
            <v>Veladero</v>
          </cell>
          <cell r="D23" t="str">
            <v>VEL230</v>
          </cell>
          <cell r="E23">
            <v>4</v>
          </cell>
        </row>
        <row r="24">
          <cell r="A24">
            <v>6240</v>
          </cell>
          <cell r="B24">
            <v>230</v>
          </cell>
          <cell r="C24" t="str">
            <v>El Higo</v>
          </cell>
          <cell r="D24" t="str">
            <v>EHIG230</v>
          </cell>
          <cell r="E24">
            <v>5</v>
          </cell>
        </row>
        <row r="25">
          <cell r="A25">
            <v>6260</v>
          </cell>
          <cell r="B25">
            <v>230</v>
          </cell>
          <cell r="C25" t="str">
            <v>Changuinola</v>
          </cell>
          <cell r="D25" t="str">
            <v>CHA230</v>
          </cell>
          <cell r="E25">
            <v>10</v>
          </cell>
        </row>
        <row r="26">
          <cell r="A26">
            <v>6263</v>
          </cell>
          <cell r="B26">
            <v>230</v>
          </cell>
          <cell r="C26" t="str">
            <v>La Esperanza</v>
          </cell>
          <cell r="D26" t="str">
            <v>ESP230</v>
          </cell>
          <cell r="E26">
            <v>10</v>
          </cell>
        </row>
        <row r="27">
          <cell r="A27">
            <v>6290</v>
          </cell>
          <cell r="B27">
            <v>115</v>
          </cell>
          <cell r="C27" t="str">
            <v>Cativá II</v>
          </cell>
          <cell r="D27" t="str">
            <v>CATII115</v>
          </cell>
          <cell r="E27">
            <v>9</v>
          </cell>
        </row>
        <row r="28">
          <cell r="A28">
            <v>6340</v>
          </cell>
          <cell r="B28">
            <v>230</v>
          </cell>
          <cell r="C28" t="str">
            <v>Cañazas</v>
          </cell>
          <cell r="D28" t="str">
            <v>CAN230</v>
          </cell>
          <cell r="E28">
            <v>10</v>
          </cell>
        </row>
        <row r="29">
          <cell r="A29">
            <v>6380</v>
          </cell>
          <cell r="B29">
            <v>230</v>
          </cell>
          <cell r="C29" t="str">
            <v>Boquerón III</v>
          </cell>
          <cell r="D29" t="str">
            <v>BOQIII230</v>
          </cell>
          <cell r="E29">
            <v>4</v>
          </cell>
        </row>
        <row r="30">
          <cell r="A30">
            <v>6405</v>
          </cell>
          <cell r="B30">
            <v>230</v>
          </cell>
          <cell r="C30" t="str">
            <v>Telfers</v>
          </cell>
          <cell r="D30" t="str">
            <v>TEL230</v>
          </cell>
          <cell r="E30">
            <v>9</v>
          </cell>
        </row>
        <row r="31">
          <cell r="A31">
            <v>6411</v>
          </cell>
          <cell r="B31">
            <v>230</v>
          </cell>
          <cell r="C31" t="str">
            <v>Los Olivos</v>
          </cell>
          <cell r="D31" t="str">
            <v>LOL230</v>
          </cell>
          <cell r="E31">
            <v>4</v>
          </cell>
        </row>
        <row r="32">
          <cell r="A32">
            <v>6460</v>
          </cell>
          <cell r="B32">
            <v>230</v>
          </cell>
          <cell r="C32" t="str">
            <v>El Coco</v>
          </cell>
          <cell r="D32" t="str">
            <v>ECO230</v>
          </cell>
          <cell r="E32">
            <v>5</v>
          </cell>
        </row>
        <row r="33">
          <cell r="A33">
            <v>6470</v>
          </cell>
          <cell r="B33">
            <v>230</v>
          </cell>
          <cell r="C33" t="str">
            <v>24 de Diciembre</v>
          </cell>
          <cell r="D33" t="str">
            <v>24DIC230</v>
          </cell>
          <cell r="E33">
            <v>7</v>
          </cell>
        </row>
        <row r="34">
          <cell r="A34">
            <v>6520</v>
          </cell>
          <cell r="B34">
            <v>230</v>
          </cell>
          <cell r="C34" t="str">
            <v>San Bartolo</v>
          </cell>
          <cell r="D34" t="str">
            <v>SBA230</v>
          </cell>
          <cell r="E34">
            <v>4</v>
          </cell>
        </row>
        <row r="35">
          <cell r="A35">
            <v>6515</v>
          </cell>
          <cell r="B35">
            <v>230</v>
          </cell>
          <cell r="C35" t="str">
            <v>Progreso II</v>
          </cell>
          <cell r="D35" t="str">
            <v>PRO2-230</v>
          </cell>
          <cell r="E35">
            <v>1</v>
          </cell>
        </row>
        <row r="36">
          <cell r="A36">
            <v>6550</v>
          </cell>
          <cell r="B36">
            <v>230</v>
          </cell>
          <cell r="C36" t="str">
            <v>Bella Vista</v>
          </cell>
          <cell r="D36" t="str">
            <v>BEV230</v>
          </cell>
          <cell r="E36">
            <v>4</v>
          </cell>
        </row>
        <row r="37">
          <cell r="A37">
            <v>6596</v>
          </cell>
          <cell r="B37">
            <v>230</v>
          </cell>
          <cell r="C37" t="str">
            <v>Santa Cruz</v>
          </cell>
          <cell r="D37" t="str">
            <v>SCR230</v>
          </cell>
          <cell r="E37">
            <v>5</v>
          </cell>
        </row>
        <row r="38">
          <cell r="A38">
            <v>6969</v>
          </cell>
          <cell r="B38">
            <v>230</v>
          </cell>
          <cell r="C38" t="str">
            <v xml:space="preserve">Santiago </v>
          </cell>
          <cell r="D38" t="str">
            <v>STG2A230</v>
          </cell>
          <cell r="E38">
            <v>4</v>
          </cell>
        </row>
        <row r="39">
          <cell r="A39">
            <v>6713</v>
          </cell>
          <cell r="B39">
            <v>230</v>
          </cell>
          <cell r="C39" t="str">
            <v>Burunga</v>
          </cell>
          <cell r="D39" t="str">
            <v>BUR230</v>
          </cell>
          <cell r="E39">
            <v>6</v>
          </cell>
        </row>
        <row r="40">
          <cell r="A40">
            <v>6800</v>
          </cell>
          <cell r="B40">
            <v>230</v>
          </cell>
          <cell r="C40" t="str">
            <v>Caldera</v>
          </cell>
          <cell r="D40" t="str">
            <v>CAL230</v>
          </cell>
          <cell r="E40">
            <v>3</v>
          </cell>
        </row>
        <row r="41">
          <cell r="A41">
            <v>6801</v>
          </cell>
          <cell r="B41">
            <v>230</v>
          </cell>
          <cell r="C41" t="str">
            <v>Sabanitas</v>
          </cell>
          <cell r="D41" t="str">
            <v>SAB230</v>
          </cell>
          <cell r="E41">
            <v>9</v>
          </cell>
        </row>
        <row r="42">
          <cell r="A42">
            <v>6830</v>
          </cell>
          <cell r="B42">
            <v>230</v>
          </cell>
          <cell r="C42" t="str">
            <v>Antón</v>
          </cell>
          <cell r="D42" t="str">
            <v>ANT230</v>
          </cell>
          <cell r="E42">
            <v>6</v>
          </cell>
        </row>
        <row r="43">
          <cell r="A43">
            <v>6840</v>
          </cell>
          <cell r="B43">
            <v>230</v>
          </cell>
          <cell r="C43" t="str">
            <v>Panamá III</v>
          </cell>
          <cell r="D43" t="str">
            <v>PAN3 230</v>
          </cell>
          <cell r="E43">
            <v>7</v>
          </cell>
        </row>
        <row r="44">
          <cell r="A44">
            <v>6861</v>
          </cell>
          <cell r="B44">
            <v>230</v>
          </cell>
          <cell r="C44" t="str">
            <v>Chepo</v>
          </cell>
          <cell r="D44" t="str">
            <v>CHE230</v>
          </cell>
          <cell r="E44">
            <v>8</v>
          </cell>
        </row>
        <row r="45">
          <cell r="A45">
            <v>6882</v>
          </cell>
          <cell r="B45">
            <v>230</v>
          </cell>
          <cell r="C45" t="str">
            <v>Gonzalillo</v>
          </cell>
          <cell r="D45" t="str">
            <v>GON230</v>
          </cell>
          <cell r="E45">
            <v>7</v>
          </cell>
        </row>
        <row r="46">
          <cell r="A46">
            <v>6885</v>
          </cell>
          <cell r="B46">
            <v>230</v>
          </cell>
          <cell r="C46" t="str">
            <v>La Huaca</v>
          </cell>
          <cell r="D46" t="str">
            <v>LHU230</v>
          </cell>
          <cell r="E46">
            <v>4</v>
          </cell>
        </row>
        <row r="47">
          <cell r="A47">
            <v>7000</v>
          </cell>
          <cell r="C47" t="str">
            <v>T1-Panama</v>
          </cell>
          <cell r="D47" t="str">
            <v>T1-PAN</v>
          </cell>
          <cell r="E47">
            <v>7</v>
          </cell>
        </row>
        <row r="48">
          <cell r="A48">
            <v>7001</v>
          </cell>
          <cell r="C48" t="str">
            <v>T2-Panama</v>
          </cell>
          <cell r="D48" t="str">
            <v>T2-PAN</v>
          </cell>
          <cell r="E48">
            <v>7</v>
          </cell>
        </row>
        <row r="49">
          <cell r="A49">
            <v>7002</v>
          </cell>
          <cell r="C49" t="str">
            <v>T3-Panama</v>
          </cell>
          <cell r="D49" t="str">
            <v>T3-PAN</v>
          </cell>
          <cell r="E49">
            <v>7</v>
          </cell>
        </row>
        <row r="50">
          <cell r="A50">
            <v>7003</v>
          </cell>
          <cell r="C50" t="str">
            <v>T5-Panama</v>
          </cell>
          <cell r="D50" t="str">
            <v>T5-PAN</v>
          </cell>
          <cell r="E50">
            <v>7</v>
          </cell>
        </row>
        <row r="51">
          <cell r="A51">
            <v>7013</v>
          </cell>
          <cell r="C51" t="str">
            <v>T1-Mata de Nance</v>
          </cell>
          <cell r="D51" t="str">
            <v>T1-MDN</v>
          </cell>
          <cell r="E51">
            <v>4</v>
          </cell>
        </row>
        <row r="52">
          <cell r="A52">
            <v>7014</v>
          </cell>
          <cell r="C52" t="str">
            <v>T2-Mata de Nance</v>
          </cell>
          <cell r="D52" t="str">
            <v>T2-MDN</v>
          </cell>
          <cell r="E52">
            <v>4</v>
          </cell>
        </row>
        <row r="53">
          <cell r="A53">
            <v>7015</v>
          </cell>
          <cell r="C53" t="str">
            <v>T3-Mata de Nance</v>
          </cell>
          <cell r="D53" t="str">
            <v>T3-MDN</v>
          </cell>
          <cell r="E53">
            <v>4</v>
          </cell>
        </row>
        <row r="54">
          <cell r="A54">
            <v>7016</v>
          </cell>
          <cell r="C54" t="str">
            <v>T1-Changuinola</v>
          </cell>
          <cell r="D54" t="str">
            <v>T1-CHA</v>
          </cell>
          <cell r="E54">
            <v>10</v>
          </cell>
        </row>
        <row r="55">
          <cell r="A55">
            <v>7017</v>
          </cell>
          <cell r="C55" t="str">
            <v>T2-Changuinola</v>
          </cell>
          <cell r="D55" t="str">
            <v>T2-CHA</v>
          </cell>
          <cell r="E55">
            <v>10</v>
          </cell>
        </row>
      </sheetData>
      <sheetData sheetId="2">
        <row r="2">
          <cell r="C2">
            <v>230</v>
          </cell>
          <cell r="F2" t="str">
            <v>S</v>
          </cell>
          <cell r="G2">
            <v>13.09</v>
          </cell>
        </row>
        <row r="3">
          <cell r="C3">
            <v>230</v>
          </cell>
          <cell r="F3" t="str">
            <v>S</v>
          </cell>
          <cell r="G3">
            <v>13.09</v>
          </cell>
        </row>
        <row r="4">
          <cell r="C4">
            <v>230</v>
          </cell>
          <cell r="F4" t="str">
            <v>S</v>
          </cell>
          <cell r="G4">
            <v>40.479999999999997</v>
          </cell>
        </row>
        <row r="5">
          <cell r="C5">
            <v>230</v>
          </cell>
          <cell r="F5" t="str">
            <v>S</v>
          </cell>
          <cell r="G5">
            <v>3.18</v>
          </cell>
        </row>
        <row r="6">
          <cell r="C6">
            <v>230</v>
          </cell>
          <cell r="F6" t="str">
            <v>S</v>
          </cell>
          <cell r="G6">
            <v>3.18</v>
          </cell>
        </row>
        <row r="7">
          <cell r="C7">
            <v>230</v>
          </cell>
          <cell r="F7" t="str">
            <v>S</v>
          </cell>
          <cell r="G7">
            <v>40.479999999999997</v>
          </cell>
        </row>
        <row r="8">
          <cell r="C8" t="str">
            <v>TX</v>
          </cell>
          <cell r="F8" t="str">
            <v>S</v>
          </cell>
        </row>
        <row r="9">
          <cell r="C9" t="str">
            <v>TX</v>
          </cell>
          <cell r="F9" t="str">
            <v>S</v>
          </cell>
        </row>
        <row r="10">
          <cell r="C10" t="str">
            <v>TX</v>
          </cell>
          <cell r="F10" t="str">
            <v>S</v>
          </cell>
        </row>
        <row r="11">
          <cell r="C11" t="str">
            <v>TX</v>
          </cell>
          <cell r="F11" t="str">
            <v>S</v>
          </cell>
        </row>
        <row r="12">
          <cell r="C12">
            <v>115</v>
          </cell>
          <cell r="F12" t="str">
            <v>S</v>
          </cell>
          <cell r="G12">
            <v>0.81</v>
          </cell>
        </row>
        <row r="13">
          <cell r="C13">
            <v>115</v>
          </cell>
          <cell r="F13" t="str">
            <v>S</v>
          </cell>
          <cell r="G13">
            <v>0.81</v>
          </cell>
        </row>
        <row r="14">
          <cell r="C14">
            <v>115</v>
          </cell>
          <cell r="F14" t="str">
            <v>S</v>
          </cell>
          <cell r="G14">
            <v>0.81</v>
          </cell>
        </row>
        <row r="15">
          <cell r="C15">
            <v>115</v>
          </cell>
          <cell r="F15" t="str">
            <v>S</v>
          </cell>
          <cell r="G15">
            <v>22.85</v>
          </cell>
        </row>
        <row r="16">
          <cell r="C16">
            <v>115</v>
          </cell>
          <cell r="F16" t="str">
            <v>S</v>
          </cell>
          <cell r="G16">
            <v>31.18</v>
          </cell>
        </row>
        <row r="17">
          <cell r="C17" t="str">
            <v>TX</v>
          </cell>
          <cell r="F17" t="str">
            <v>S</v>
          </cell>
        </row>
        <row r="18">
          <cell r="C18" t="str">
            <v>TX</v>
          </cell>
          <cell r="F18" t="str">
            <v>S</v>
          </cell>
        </row>
        <row r="19">
          <cell r="C19" t="str">
            <v>TX</v>
          </cell>
          <cell r="F19" t="str">
            <v>S</v>
          </cell>
        </row>
        <row r="20">
          <cell r="C20" t="str">
            <v>TX</v>
          </cell>
          <cell r="F20" t="str">
            <v>S</v>
          </cell>
        </row>
        <row r="21">
          <cell r="C21">
            <v>230</v>
          </cell>
          <cell r="F21" t="str">
            <v>S</v>
          </cell>
          <cell r="G21">
            <v>19.010000000000002</v>
          </cell>
        </row>
        <row r="22">
          <cell r="C22">
            <v>230</v>
          </cell>
          <cell r="F22" t="str">
            <v>S</v>
          </cell>
          <cell r="G22">
            <v>10.67</v>
          </cell>
        </row>
        <row r="23">
          <cell r="C23">
            <v>230</v>
          </cell>
          <cell r="F23" t="str">
            <v>S</v>
          </cell>
          <cell r="G23">
            <v>14.55</v>
          </cell>
        </row>
        <row r="24">
          <cell r="C24">
            <v>230</v>
          </cell>
          <cell r="F24" t="str">
            <v>S</v>
          </cell>
          <cell r="G24">
            <v>14.55</v>
          </cell>
        </row>
        <row r="25">
          <cell r="C25">
            <v>230</v>
          </cell>
          <cell r="F25" t="str">
            <v>S</v>
          </cell>
          <cell r="G25">
            <v>5.34</v>
          </cell>
        </row>
        <row r="26">
          <cell r="C26">
            <v>230</v>
          </cell>
          <cell r="F26" t="str">
            <v>S</v>
          </cell>
          <cell r="G26">
            <v>50.85</v>
          </cell>
        </row>
        <row r="27">
          <cell r="C27">
            <v>230</v>
          </cell>
          <cell r="F27" t="str">
            <v>S</v>
          </cell>
          <cell r="G27">
            <v>50.85</v>
          </cell>
        </row>
        <row r="28">
          <cell r="C28">
            <v>230</v>
          </cell>
          <cell r="F28" t="str">
            <v>S</v>
          </cell>
          <cell r="G28">
            <v>60.81</v>
          </cell>
        </row>
        <row r="29">
          <cell r="C29">
            <v>230</v>
          </cell>
          <cell r="F29" t="str">
            <v>S</v>
          </cell>
          <cell r="G29">
            <v>60.81</v>
          </cell>
        </row>
        <row r="30">
          <cell r="C30">
            <v>230</v>
          </cell>
          <cell r="F30" t="str">
            <v>SD</v>
          </cell>
          <cell r="G30">
            <v>95.2</v>
          </cell>
        </row>
        <row r="31">
          <cell r="C31">
            <v>230</v>
          </cell>
          <cell r="F31" t="str">
            <v>SD</v>
          </cell>
          <cell r="G31">
            <v>34.89</v>
          </cell>
        </row>
        <row r="32">
          <cell r="C32">
            <v>230</v>
          </cell>
          <cell r="F32" t="str">
            <v>SD</v>
          </cell>
          <cell r="G32">
            <v>34.89</v>
          </cell>
        </row>
        <row r="33">
          <cell r="C33">
            <v>230</v>
          </cell>
          <cell r="F33" t="str">
            <v>S</v>
          </cell>
          <cell r="G33">
            <v>120.19</v>
          </cell>
        </row>
        <row r="34">
          <cell r="C34">
            <v>230</v>
          </cell>
          <cell r="F34" t="str">
            <v>SD</v>
          </cell>
          <cell r="G34">
            <v>111.38</v>
          </cell>
        </row>
        <row r="35">
          <cell r="C35">
            <v>230</v>
          </cell>
          <cell r="F35" t="str">
            <v>SD</v>
          </cell>
          <cell r="G35">
            <v>111.38</v>
          </cell>
        </row>
        <row r="36">
          <cell r="C36">
            <v>230</v>
          </cell>
          <cell r="F36" t="str">
            <v>S</v>
          </cell>
          <cell r="G36">
            <v>81.93</v>
          </cell>
        </row>
        <row r="37">
          <cell r="C37">
            <v>230</v>
          </cell>
          <cell r="F37" t="str">
            <v>S</v>
          </cell>
          <cell r="G37">
            <v>81.93</v>
          </cell>
        </row>
        <row r="38">
          <cell r="C38">
            <v>230</v>
          </cell>
          <cell r="F38" t="str">
            <v>S</v>
          </cell>
          <cell r="G38">
            <v>44.65</v>
          </cell>
        </row>
        <row r="39">
          <cell r="C39">
            <v>230</v>
          </cell>
          <cell r="F39" t="str">
            <v>S</v>
          </cell>
          <cell r="G39">
            <v>44.65</v>
          </cell>
        </row>
        <row r="40">
          <cell r="C40">
            <v>230</v>
          </cell>
          <cell r="F40" t="str">
            <v>S</v>
          </cell>
          <cell r="G40">
            <v>68.2</v>
          </cell>
        </row>
        <row r="41">
          <cell r="C41">
            <v>230</v>
          </cell>
          <cell r="F41" t="str">
            <v>S</v>
          </cell>
          <cell r="G41">
            <v>68.2</v>
          </cell>
        </row>
        <row r="42">
          <cell r="C42">
            <v>230</v>
          </cell>
          <cell r="F42" t="str">
            <v>S</v>
          </cell>
          <cell r="G42">
            <v>36</v>
          </cell>
        </row>
        <row r="43">
          <cell r="C43">
            <v>230</v>
          </cell>
          <cell r="F43" t="str">
            <v>S</v>
          </cell>
          <cell r="G43">
            <v>36</v>
          </cell>
        </row>
        <row r="44">
          <cell r="C44">
            <v>230</v>
          </cell>
          <cell r="F44" t="str">
            <v>S</v>
          </cell>
          <cell r="G44">
            <v>7</v>
          </cell>
        </row>
        <row r="45">
          <cell r="C45">
            <v>230</v>
          </cell>
          <cell r="F45" t="str">
            <v>S</v>
          </cell>
          <cell r="G45">
            <v>7</v>
          </cell>
        </row>
        <row r="46">
          <cell r="C46">
            <v>230</v>
          </cell>
          <cell r="F46" t="str">
            <v>S</v>
          </cell>
          <cell r="G46">
            <v>85.6</v>
          </cell>
        </row>
        <row r="47">
          <cell r="C47">
            <v>230</v>
          </cell>
          <cell r="F47" t="str">
            <v>S</v>
          </cell>
          <cell r="G47">
            <v>85.6</v>
          </cell>
        </row>
        <row r="48">
          <cell r="C48">
            <v>230</v>
          </cell>
          <cell r="F48" t="str">
            <v>S</v>
          </cell>
          <cell r="G48">
            <v>24.17</v>
          </cell>
        </row>
        <row r="49">
          <cell r="C49" t="str">
            <v>TX</v>
          </cell>
          <cell r="F49" t="str">
            <v>S</v>
          </cell>
        </row>
        <row r="50">
          <cell r="C50" t="str">
            <v>TX</v>
          </cell>
          <cell r="F50" t="str">
            <v>S</v>
          </cell>
        </row>
        <row r="51">
          <cell r="C51" t="str">
            <v>TX</v>
          </cell>
          <cell r="F51" t="str">
            <v>S</v>
          </cell>
        </row>
        <row r="52">
          <cell r="C52">
            <v>230</v>
          </cell>
          <cell r="F52" t="str">
            <v>S</v>
          </cell>
          <cell r="G52">
            <v>25.35</v>
          </cell>
        </row>
        <row r="53">
          <cell r="C53">
            <v>230</v>
          </cell>
          <cell r="F53" t="str">
            <v>S</v>
          </cell>
          <cell r="G53">
            <v>25.35</v>
          </cell>
        </row>
        <row r="54">
          <cell r="C54">
            <v>115</v>
          </cell>
          <cell r="F54" t="str">
            <v>S</v>
          </cell>
          <cell r="G54">
            <v>25.32</v>
          </cell>
        </row>
        <row r="55">
          <cell r="C55">
            <v>115</v>
          </cell>
          <cell r="F55" t="str">
            <v>S</v>
          </cell>
          <cell r="G55">
            <v>25.32</v>
          </cell>
        </row>
        <row r="56">
          <cell r="C56" t="str">
            <v>TX</v>
          </cell>
          <cell r="F56" t="str">
            <v>S</v>
          </cell>
        </row>
        <row r="57">
          <cell r="C57" t="str">
            <v>TX</v>
          </cell>
          <cell r="F57" t="str">
            <v>S</v>
          </cell>
        </row>
        <row r="58">
          <cell r="C58" t="str">
            <v>TX</v>
          </cell>
          <cell r="F58" t="str">
            <v>S</v>
          </cell>
        </row>
        <row r="59">
          <cell r="C59" t="str">
            <v>TX</v>
          </cell>
          <cell r="F59" t="str">
            <v>S</v>
          </cell>
        </row>
        <row r="60">
          <cell r="C60" t="str">
            <v>TX</v>
          </cell>
          <cell r="F60" t="str">
            <v>S</v>
          </cell>
        </row>
        <row r="61">
          <cell r="C61" t="str">
            <v>TX</v>
          </cell>
          <cell r="F61" t="str">
            <v>S</v>
          </cell>
        </row>
        <row r="62">
          <cell r="C62">
            <v>230</v>
          </cell>
          <cell r="F62" t="str">
            <v>S</v>
          </cell>
          <cell r="G62">
            <v>29.95</v>
          </cell>
        </row>
        <row r="63">
          <cell r="C63">
            <v>230</v>
          </cell>
          <cell r="F63" t="str">
            <v>S</v>
          </cell>
          <cell r="G63">
            <v>54.12</v>
          </cell>
        </row>
        <row r="64">
          <cell r="C64">
            <v>230</v>
          </cell>
          <cell r="F64" t="str">
            <v>S</v>
          </cell>
        </row>
        <row r="65">
          <cell r="C65">
            <v>230</v>
          </cell>
          <cell r="F65" t="str">
            <v>S</v>
          </cell>
        </row>
        <row r="66">
          <cell r="C66">
            <v>115</v>
          </cell>
          <cell r="F66" t="str">
            <v>S</v>
          </cell>
          <cell r="G66">
            <v>47.81</v>
          </cell>
        </row>
        <row r="67">
          <cell r="C67">
            <v>115</v>
          </cell>
          <cell r="F67" t="str">
            <v>S</v>
          </cell>
          <cell r="G67">
            <v>47.81</v>
          </cell>
        </row>
        <row r="68">
          <cell r="C68">
            <v>115</v>
          </cell>
          <cell r="F68" t="str">
            <v>S</v>
          </cell>
          <cell r="G68">
            <v>32.08</v>
          </cell>
        </row>
        <row r="69">
          <cell r="C69">
            <v>115</v>
          </cell>
          <cell r="F69" t="str">
            <v>S</v>
          </cell>
          <cell r="G69">
            <v>6.9</v>
          </cell>
        </row>
        <row r="70">
          <cell r="C70">
            <v>115</v>
          </cell>
          <cell r="F70" t="str">
            <v>S</v>
          </cell>
          <cell r="G70">
            <v>0.96</v>
          </cell>
        </row>
        <row r="71">
          <cell r="C71">
            <v>115</v>
          </cell>
          <cell r="F71" t="str">
            <v>S</v>
          </cell>
          <cell r="G71">
            <v>25.41</v>
          </cell>
        </row>
        <row r="72">
          <cell r="C72">
            <v>230</v>
          </cell>
          <cell r="F72" t="str">
            <v>S</v>
          </cell>
          <cell r="G72">
            <v>16.399999999999999</v>
          </cell>
        </row>
        <row r="73">
          <cell r="C73">
            <v>230</v>
          </cell>
          <cell r="F73" t="str">
            <v>S</v>
          </cell>
          <cell r="G73">
            <v>97.4</v>
          </cell>
        </row>
        <row r="74">
          <cell r="C74">
            <v>230</v>
          </cell>
          <cell r="F74" t="str">
            <v>S</v>
          </cell>
          <cell r="G74">
            <v>12.4</v>
          </cell>
        </row>
        <row r="75">
          <cell r="C75">
            <v>230</v>
          </cell>
          <cell r="F75" t="str">
            <v>S</v>
          </cell>
          <cell r="G75">
            <v>12.4</v>
          </cell>
        </row>
        <row r="76">
          <cell r="C76">
            <v>230</v>
          </cell>
          <cell r="F76" t="str">
            <v>S</v>
          </cell>
          <cell r="G76">
            <v>24.5</v>
          </cell>
        </row>
        <row r="77">
          <cell r="C77">
            <v>230</v>
          </cell>
          <cell r="F77" t="str">
            <v>S</v>
          </cell>
          <cell r="G77">
            <v>24.5</v>
          </cell>
        </row>
        <row r="78">
          <cell r="C78">
            <v>230</v>
          </cell>
          <cell r="F78" t="str">
            <v>S</v>
          </cell>
          <cell r="G78">
            <v>25.37</v>
          </cell>
        </row>
        <row r="79">
          <cell r="C79">
            <v>115</v>
          </cell>
          <cell r="F79" t="str">
            <v>S</v>
          </cell>
          <cell r="G79">
            <v>6.69</v>
          </cell>
        </row>
        <row r="80">
          <cell r="C80">
            <v>230</v>
          </cell>
          <cell r="F80" t="str">
            <v>S</v>
          </cell>
          <cell r="G80">
            <v>84.81</v>
          </cell>
        </row>
        <row r="81">
          <cell r="C81">
            <v>230</v>
          </cell>
          <cell r="F81" t="str">
            <v>S</v>
          </cell>
          <cell r="G81">
            <v>84.81</v>
          </cell>
        </row>
        <row r="82">
          <cell r="C82">
            <v>230</v>
          </cell>
          <cell r="F82" t="str">
            <v>S</v>
          </cell>
          <cell r="G82">
            <v>42.89</v>
          </cell>
        </row>
        <row r="83">
          <cell r="C83">
            <v>230</v>
          </cell>
          <cell r="F83" t="str">
            <v>S</v>
          </cell>
          <cell r="G83">
            <v>42.89</v>
          </cell>
        </row>
        <row r="84">
          <cell r="C84">
            <v>230</v>
          </cell>
          <cell r="F84" t="str">
            <v>S</v>
          </cell>
          <cell r="G84">
            <v>8.66</v>
          </cell>
        </row>
        <row r="85">
          <cell r="C85">
            <v>230</v>
          </cell>
          <cell r="F85" t="str">
            <v>S</v>
          </cell>
          <cell r="G85">
            <v>74.87</v>
          </cell>
        </row>
        <row r="86">
          <cell r="C86">
            <v>230</v>
          </cell>
          <cell r="F86" t="str">
            <v>S</v>
          </cell>
          <cell r="G86">
            <v>24.66</v>
          </cell>
        </row>
        <row r="87">
          <cell r="C87">
            <v>230</v>
          </cell>
          <cell r="F87" t="str">
            <v>S</v>
          </cell>
          <cell r="G87">
            <v>78.38</v>
          </cell>
        </row>
        <row r="88">
          <cell r="C88">
            <v>230</v>
          </cell>
          <cell r="F88" t="str">
            <v>S</v>
          </cell>
          <cell r="G88">
            <v>45.57</v>
          </cell>
        </row>
        <row r="89">
          <cell r="C89">
            <v>230</v>
          </cell>
          <cell r="F89" t="str">
            <v>S</v>
          </cell>
          <cell r="G89">
            <v>117.22</v>
          </cell>
        </row>
        <row r="90">
          <cell r="C90">
            <v>230</v>
          </cell>
          <cell r="F90" t="str">
            <v>S</v>
          </cell>
          <cell r="G90">
            <v>117.22</v>
          </cell>
        </row>
        <row r="91">
          <cell r="C91">
            <v>230</v>
          </cell>
          <cell r="F91" t="str">
            <v>S</v>
          </cell>
          <cell r="G91">
            <v>35.24</v>
          </cell>
        </row>
        <row r="92">
          <cell r="C92">
            <v>230</v>
          </cell>
          <cell r="F92" t="str">
            <v>S</v>
          </cell>
          <cell r="G92">
            <v>24.99</v>
          </cell>
        </row>
        <row r="93">
          <cell r="C93">
            <v>230</v>
          </cell>
          <cell r="F93" t="str">
            <v>S</v>
          </cell>
          <cell r="G93">
            <v>19.399999999999999</v>
          </cell>
        </row>
        <row r="94">
          <cell r="C94">
            <v>230</v>
          </cell>
          <cell r="F94" t="str">
            <v>S</v>
          </cell>
          <cell r="G94">
            <v>19.399999999999999</v>
          </cell>
        </row>
        <row r="95">
          <cell r="C95">
            <v>230</v>
          </cell>
          <cell r="F95" t="str">
            <v>S</v>
          </cell>
          <cell r="G95">
            <v>45.69</v>
          </cell>
        </row>
        <row r="96">
          <cell r="C96">
            <v>230</v>
          </cell>
          <cell r="F96" t="str">
            <v>S</v>
          </cell>
          <cell r="G96">
            <v>45.69</v>
          </cell>
        </row>
        <row r="97">
          <cell r="C97">
            <v>230</v>
          </cell>
          <cell r="F97" t="str">
            <v>S</v>
          </cell>
          <cell r="G97">
            <v>17.399999999999999</v>
          </cell>
        </row>
        <row r="98">
          <cell r="C98">
            <v>230</v>
          </cell>
          <cell r="F98" t="str">
            <v>S</v>
          </cell>
          <cell r="G98">
            <v>17.399999999999999</v>
          </cell>
        </row>
        <row r="99">
          <cell r="C99">
            <v>230</v>
          </cell>
          <cell r="F99" t="str">
            <v>S</v>
          </cell>
          <cell r="G99">
            <v>16</v>
          </cell>
        </row>
        <row r="100">
          <cell r="C100">
            <v>230</v>
          </cell>
          <cell r="F100" t="str">
            <v>S</v>
          </cell>
          <cell r="G100">
            <v>16</v>
          </cell>
        </row>
        <row r="101">
          <cell r="C101">
            <v>230</v>
          </cell>
          <cell r="F101" t="str">
            <v>S</v>
          </cell>
          <cell r="G101">
            <v>46.51</v>
          </cell>
        </row>
        <row r="102">
          <cell r="C102">
            <v>230</v>
          </cell>
          <cell r="F102" t="str">
            <v>S</v>
          </cell>
          <cell r="G102">
            <v>0.7</v>
          </cell>
        </row>
        <row r="103">
          <cell r="C103">
            <v>230</v>
          </cell>
          <cell r="F103" t="str">
            <v>S</v>
          </cell>
        </row>
        <row r="104">
          <cell r="C104">
            <v>230</v>
          </cell>
          <cell r="F104" t="str">
            <v>S</v>
          </cell>
        </row>
        <row r="105">
          <cell r="C105">
            <v>230</v>
          </cell>
          <cell r="F105" t="str">
            <v>S</v>
          </cell>
          <cell r="G105">
            <v>2.1</v>
          </cell>
        </row>
        <row r="106">
          <cell r="C106">
            <v>230</v>
          </cell>
          <cell r="F106" t="str">
            <v>S</v>
          </cell>
          <cell r="G106">
            <v>2.1</v>
          </cell>
        </row>
        <row r="107">
          <cell r="C107">
            <v>230</v>
          </cell>
          <cell r="F107" t="str">
            <v>S</v>
          </cell>
          <cell r="G107">
            <v>100.97</v>
          </cell>
        </row>
        <row r="108">
          <cell r="C108">
            <v>230</v>
          </cell>
          <cell r="F108" t="str">
            <v>S</v>
          </cell>
          <cell r="G108">
            <v>28.78</v>
          </cell>
        </row>
        <row r="109">
          <cell r="C109">
            <v>230</v>
          </cell>
          <cell r="F109" t="str">
            <v>S</v>
          </cell>
          <cell r="G109">
            <v>40</v>
          </cell>
        </row>
        <row r="110">
          <cell r="C110">
            <v>230</v>
          </cell>
          <cell r="F110" t="str">
            <v>S</v>
          </cell>
          <cell r="G110">
            <v>40</v>
          </cell>
        </row>
      </sheetData>
      <sheetData sheetId="3" refreshError="1"/>
      <sheetData sheetId="4" refreshError="1"/>
      <sheetData sheetId="5">
        <row r="2">
          <cell r="L2">
            <v>0</v>
          </cell>
        </row>
        <row r="17">
          <cell r="L17">
            <v>0</v>
          </cell>
        </row>
      </sheetData>
      <sheetData sheetId="6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"/>
      <sheetName val="Nod"/>
      <sheetName val="Ram"/>
      <sheetName val="%USO"/>
      <sheetName val="Dias"/>
      <sheetName val="ENERGIA"/>
      <sheetName val="ENSA"/>
      <sheetName val="1. DatosFijos"/>
    </sheetNames>
    <sheetDataSet>
      <sheetData sheetId="0">
        <row r="1">
          <cell r="B1">
            <v>1</v>
          </cell>
          <cell r="C1" t="str">
            <v>2025-2026</v>
          </cell>
        </row>
        <row r="3">
          <cell r="B3">
            <v>117853.8129751063</v>
          </cell>
          <cell r="D3">
            <v>3218.7200000000007</v>
          </cell>
        </row>
        <row r="4">
          <cell r="B4">
            <v>100794.4728008081</v>
          </cell>
          <cell r="D4">
            <v>2943.9600000000005</v>
          </cell>
          <cell r="F4">
            <v>34.237718175793177</v>
          </cell>
        </row>
        <row r="5">
          <cell r="B5">
            <v>17059.340174298188</v>
          </cell>
          <cell r="D5">
            <v>274.76000000000005</v>
          </cell>
          <cell r="F5">
            <v>62.08815029224845</v>
          </cell>
        </row>
        <row r="7">
          <cell r="C7">
            <v>1</v>
          </cell>
          <cell r="D7">
            <v>0</v>
          </cell>
          <cell r="E7">
            <v>1</v>
          </cell>
          <cell r="F7">
            <v>0</v>
          </cell>
          <cell r="G7" t="str">
            <v>(230 kV)</v>
          </cell>
        </row>
        <row r="11">
          <cell r="B11">
            <v>545.61</v>
          </cell>
          <cell r="C11">
            <v>616.73000000000013</v>
          </cell>
          <cell r="D11">
            <v>178.73000000000005</v>
          </cell>
          <cell r="E11">
            <v>594.92099999999982</v>
          </cell>
          <cell r="F11">
            <v>798.6099999999999</v>
          </cell>
          <cell r="G11">
            <v>231.41000000000003</v>
          </cell>
          <cell r="H11">
            <v>154.33000000000001</v>
          </cell>
          <cell r="I11">
            <v>260</v>
          </cell>
          <cell r="J11">
            <v>1565.45</v>
          </cell>
          <cell r="K11">
            <v>252.17</v>
          </cell>
        </row>
        <row r="12">
          <cell r="B12">
            <v>22.390507703014958</v>
          </cell>
          <cell r="C12">
            <v>0</v>
          </cell>
          <cell r="D12">
            <v>4.2893724068778262E-2</v>
          </cell>
          <cell r="E12">
            <v>145.58380196503975</v>
          </cell>
          <cell r="F12">
            <v>328.63219262793052</v>
          </cell>
          <cell r="G12">
            <v>202.86898067054378</v>
          </cell>
          <cell r="H12">
            <v>1146.3041065888617</v>
          </cell>
          <cell r="I12">
            <v>2.4</v>
          </cell>
          <cell r="J12">
            <v>123.54162415471392</v>
          </cell>
          <cell r="K12">
            <v>55.695402220951536</v>
          </cell>
        </row>
      </sheetData>
      <sheetData sheetId="1"/>
      <sheetData sheetId="2"/>
      <sheetData sheetId="3"/>
      <sheetData sheetId="4"/>
      <sheetData sheetId="5"/>
      <sheetData sheetId="6"/>
      <sheetData sheetId="7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sumen"/>
      <sheetName val="M01"/>
      <sheetName val="M02"/>
      <sheetName val="M03"/>
      <sheetName val="M04"/>
      <sheetName val="M05"/>
      <sheetName val="M06"/>
      <sheetName val="M07"/>
      <sheetName val="M08"/>
      <sheetName val="M09"/>
      <sheetName val="M10"/>
      <sheetName val="M11"/>
      <sheetName val="M12"/>
    </sheetNames>
    <sheetDataSet>
      <sheetData sheetId="0" refreshError="1"/>
      <sheetData sheetId="1">
        <row r="13">
          <cell r="H13">
            <v>744</v>
          </cell>
          <cell r="I13">
            <v>8.4931506849315067E-2</v>
          </cell>
        </row>
        <row r="21">
          <cell r="B21">
            <v>173.53555107526878</v>
          </cell>
          <cell r="C21">
            <v>340.08615591397847</v>
          </cell>
          <cell r="D21">
            <v>142.39744623655915</v>
          </cell>
          <cell r="E21">
            <v>395.44166666666672</v>
          </cell>
          <cell r="F21">
            <v>51.468077956989248</v>
          </cell>
          <cell r="G21">
            <v>35.838709677419352</v>
          </cell>
          <cell r="H21">
            <v>0</v>
          </cell>
          <cell r="I21">
            <v>99.814516129032256</v>
          </cell>
          <cell r="J21">
            <v>31.754704301075268</v>
          </cell>
          <cell r="K21">
            <v>205.6549059139785</v>
          </cell>
        </row>
        <row r="22">
          <cell r="B22">
            <v>63.15625</v>
          </cell>
          <cell r="C22">
            <v>0</v>
          </cell>
          <cell r="D22">
            <v>0</v>
          </cell>
          <cell r="E22">
            <v>71.084206989247321</v>
          </cell>
          <cell r="F22">
            <v>127.94018817204301</v>
          </cell>
          <cell r="G22">
            <v>142.29220430107526</v>
          </cell>
          <cell r="H22">
            <v>958.42197580645166</v>
          </cell>
          <cell r="I22">
            <v>0</v>
          </cell>
          <cell r="J22">
            <v>106.14798387096774</v>
          </cell>
          <cell r="K22">
            <v>7.1305107526881715</v>
          </cell>
        </row>
        <row r="24">
          <cell r="B24">
            <v>129.11044999999999</v>
          </cell>
          <cell r="C24">
            <v>253.02409999999998</v>
          </cell>
          <cell r="D24">
            <v>105.94369999999999</v>
          </cell>
          <cell r="E24">
            <v>294.20860000000005</v>
          </cell>
          <cell r="F24">
            <v>38.292250000000003</v>
          </cell>
          <cell r="G24">
            <v>26.664000000000001</v>
          </cell>
          <cell r="H24">
            <v>0</v>
          </cell>
          <cell r="I24">
            <v>74.262</v>
          </cell>
          <cell r="J24">
            <v>23.625499999999999</v>
          </cell>
          <cell r="K24">
            <v>153.00725</v>
          </cell>
        </row>
        <row r="25">
          <cell r="B25">
            <v>46.988250000000001</v>
          </cell>
          <cell r="C25">
            <v>0</v>
          </cell>
          <cell r="D25">
            <v>0</v>
          </cell>
          <cell r="E25">
            <v>52.88665000000001</v>
          </cell>
          <cell r="F25">
            <v>95.1875</v>
          </cell>
          <cell r="G25">
            <v>105.86539999999999</v>
          </cell>
          <cell r="H25">
            <v>713.06595000000004</v>
          </cell>
          <cell r="I25">
            <v>0</v>
          </cell>
          <cell r="J25">
            <v>78.974099999999993</v>
          </cell>
          <cell r="K25">
            <v>5.3050999999999995</v>
          </cell>
        </row>
        <row r="27">
          <cell r="B27">
            <v>1.7034205452743418</v>
          </cell>
          <cell r="C27">
            <v>2.3385092664021876</v>
          </cell>
          <cell r="D27">
            <v>2.4312233775676289</v>
          </cell>
          <cell r="E27">
            <v>1.9111177548478524</v>
          </cell>
          <cell r="F27">
            <v>0.54591344704352995</v>
          </cell>
          <cell r="G27">
            <v>0.88879027735803384</v>
          </cell>
          <cell r="H27">
            <v>0</v>
          </cell>
          <cell r="I27">
            <v>0.45422981815902225</v>
          </cell>
          <cell r="J27">
            <v>0.15110035215186496</v>
          </cell>
          <cell r="K27">
            <v>3.1144655527483933</v>
          </cell>
        </row>
        <row r="28">
          <cell r="B28">
            <v>0</v>
          </cell>
          <cell r="C28">
            <v>0</v>
          </cell>
          <cell r="D28">
            <v>0</v>
          </cell>
          <cell r="E28">
            <v>0.6278396736953209</v>
          </cell>
          <cell r="F28">
            <v>1.6996590847040929</v>
          </cell>
          <cell r="G28">
            <v>2.4413295532859123</v>
          </cell>
          <cell r="H28">
            <v>2.8085699690088699</v>
          </cell>
          <cell r="I28">
            <v>0</v>
          </cell>
          <cell r="J28">
            <v>4.0479272459843729</v>
          </cell>
          <cell r="K28">
            <v>0.48037851386928004</v>
          </cell>
        </row>
        <row r="30">
          <cell r="B30">
            <v>0.45780076816347537</v>
          </cell>
        </row>
        <row r="31">
          <cell r="B31">
            <v>1.3855948691263948</v>
          </cell>
        </row>
        <row r="33">
          <cell r="B33">
            <v>0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</row>
        <row r="34">
          <cell r="I34">
            <v>0</v>
          </cell>
        </row>
        <row r="38">
          <cell r="B38">
            <v>220.73069096912604</v>
          </cell>
          <cell r="C38">
            <v>578.42651604734397</v>
          </cell>
          <cell r="D38">
            <v>253.25926866833254</v>
          </cell>
          <cell r="E38">
            <v>556.2342526441239</v>
          </cell>
          <cell r="F38">
            <v>30.963636525203089</v>
          </cell>
          <cell r="G38">
            <v>24.099247510886794</v>
          </cell>
          <cell r="H38">
            <v>0</v>
          </cell>
          <cell r="I38">
            <v>58.149459757363417</v>
          </cell>
          <cell r="J38">
            <v>17.132604088950501</v>
          </cell>
          <cell r="K38">
            <v>466.81314905349774</v>
          </cell>
        </row>
        <row r="39">
          <cell r="B39">
            <v>0</v>
          </cell>
          <cell r="C39">
            <v>0</v>
          </cell>
          <cell r="D39">
            <v>0</v>
          </cell>
          <cell r="E39">
            <v>30.475421882788741</v>
          </cell>
          <cell r="F39">
            <v>158.66569818335003</v>
          </cell>
          <cell r="G39">
            <v>255.81677458821954</v>
          </cell>
          <cell r="H39">
            <v>1936.068979551118</v>
          </cell>
          <cell r="I39">
            <v>0</v>
          </cell>
          <cell r="J39">
            <v>312.86865815282243</v>
          </cell>
          <cell r="K39">
            <v>2.093031854269074</v>
          </cell>
        </row>
        <row r="41">
          <cell r="B41">
            <v>231.56936256013068</v>
          </cell>
          <cell r="C41">
            <v>282.3394677494602</v>
          </cell>
          <cell r="D41">
            <v>81.82273129385797</v>
          </cell>
          <cell r="E41">
            <v>254.18060030049284</v>
          </cell>
          <cell r="F41">
            <v>341.72538339562618</v>
          </cell>
          <cell r="G41">
            <v>85.041070694047178</v>
          </cell>
          <cell r="H41">
            <v>70.652392550669148</v>
          </cell>
          <cell r="I41">
            <v>119.02819972250356</v>
          </cell>
          <cell r="J41">
            <v>716.66421252151213</v>
          </cell>
          <cell r="K41">
            <v>115.44361970778357</v>
          </cell>
        </row>
        <row r="42">
          <cell r="B42">
            <v>31.024172590432556</v>
          </cell>
          <cell r="C42">
            <v>0</v>
          </cell>
          <cell r="D42">
            <v>5.9433323987422536E-2</v>
          </cell>
          <cell r="E42">
            <v>201.72016903067234</v>
          </cell>
          <cell r="F42">
            <v>455.35107993501776</v>
          </cell>
          <cell r="G42">
            <v>281.09421872200733</v>
          </cell>
          <cell r="H42">
            <v>1588.3130885480439</v>
          </cell>
          <cell r="I42">
            <v>3.3254276859033487</v>
          </cell>
          <cell r="J42">
            <v>171.17864055231308</v>
          </cell>
          <cell r="K42">
            <v>77.171263551281285</v>
          </cell>
        </row>
        <row r="44">
          <cell r="B44">
            <v>0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</row>
        <row r="45"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</row>
        <row r="46">
          <cell r="G46">
            <v>0</v>
          </cell>
        </row>
      </sheetData>
      <sheetData sheetId="2">
        <row r="13">
          <cell r="H13">
            <v>744</v>
          </cell>
          <cell r="I13">
            <v>8.493150684931508E-2</v>
          </cell>
        </row>
        <row r="21">
          <cell r="B21">
            <v>173.75120967741933</v>
          </cell>
          <cell r="C21">
            <v>332.69206989247317</v>
          </cell>
          <cell r="D21">
            <v>141.01451612903227</v>
          </cell>
          <cell r="E21">
            <v>394.1229166666667</v>
          </cell>
          <cell r="F21">
            <v>51.246034946236556</v>
          </cell>
          <cell r="G21">
            <v>36.548387096774192</v>
          </cell>
          <cell r="H21">
            <v>0</v>
          </cell>
          <cell r="I21">
            <v>92.33064516129032</v>
          </cell>
          <cell r="J21">
            <v>29.586088709677419</v>
          </cell>
          <cell r="K21">
            <v>203.10040322580647</v>
          </cell>
        </row>
        <row r="22">
          <cell r="B22">
            <v>62.912500000000001</v>
          </cell>
          <cell r="C22">
            <v>0</v>
          </cell>
          <cell r="D22">
            <v>0</v>
          </cell>
          <cell r="E22">
            <v>69.782862903225819</v>
          </cell>
          <cell r="F22">
            <v>125.52002688172043</v>
          </cell>
          <cell r="G22">
            <v>140.09650537634408</v>
          </cell>
          <cell r="H22">
            <v>944.57069892473112</v>
          </cell>
          <cell r="I22">
            <v>0</v>
          </cell>
          <cell r="J22">
            <v>104.81935483870967</v>
          </cell>
          <cell r="K22">
            <v>6.876680107526882</v>
          </cell>
        </row>
        <row r="24">
          <cell r="B24">
            <v>129.27089999999998</v>
          </cell>
          <cell r="C24">
            <v>247.52290000000002</v>
          </cell>
          <cell r="D24">
            <v>104.9148</v>
          </cell>
          <cell r="E24">
            <v>293.22745000000003</v>
          </cell>
          <cell r="F24">
            <v>38.127049999999997</v>
          </cell>
          <cell r="G24">
            <v>27.192</v>
          </cell>
          <cell r="H24">
            <v>0</v>
          </cell>
          <cell r="I24">
            <v>68.694000000000003</v>
          </cell>
          <cell r="J24">
            <v>22.012049999999999</v>
          </cell>
          <cell r="K24">
            <v>151.10670000000002</v>
          </cell>
        </row>
        <row r="25">
          <cell r="B25">
            <v>46.806899999999999</v>
          </cell>
          <cell r="C25">
            <v>0</v>
          </cell>
          <cell r="D25">
            <v>0</v>
          </cell>
          <cell r="E25">
            <v>51.918450000000007</v>
          </cell>
          <cell r="F25">
            <v>93.386899999999997</v>
          </cell>
          <cell r="G25">
            <v>104.23180000000001</v>
          </cell>
          <cell r="H25">
            <v>702.76059999999995</v>
          </cell>
          <cell r="I25">
            <v>0</v>
          </cell>
          <cell r="J25">
            <v>77.985599999999991</v>
          </cell>
          <cell r="K25">
            <v>5.11625</v>
          </cell>
        </row>
        <row r="27">
          <cell r="B27">
            <v>1.7307146870122454</v>
          </cell>
          <cell r="C27">
            <v>2.3667343587457186</v>
          </cell>
          <cell r="D27">
            <v>2.4803665801145445</v>
          </cell>
          <cell r="E27">
            <v>1.9409562010320995</v>
          </cell>
          <cell r="F27">
            <v>0.55151880340015624</v>
          </cell>
          <cell r="G27">
            <v>0.90197908609219246</v>
          </cell>
          <cell r="H27">
            <v>0</v>
          </cell>
          <cell r="I27">
            <v>0.42632495590942193</v>
          </cell>
          <cell r="J27">
            <v>0.13796119109518107</v>
          </cell>
          <cell r="K27">
            <v>3.1674604475886161</v>
          </cell>
        </row>
        <row r="28">
          <cell r="B28">
            <v>0</v>
          </cell>
          <cell r="C28">
            <v>0</v>
          </cell>
          <cell r="D28">
            <v>0</v>
          </cell>
          <cell r="E28">
            <v>0.62874248999305737</v>
          </cell>
          <cell r="F28">
            <v>1.7188640556310835</v>
          </cell>
          <cell r="G28">
            <v>2.465183557753424</v>
          </cell>
          <cell r="H28">
            <v>2.8625116590968522</v>
          </cell>
          <cell r="I28">
            <v>0</v>
          </cell>
          <cell r="J28">
            <v>4.0935592857442265</v>
          </cell>
          <cell r="K28">
            <v>0.50779709586067345</v>
          </cell>
        </row>
        <row r="30">
          <cell r="B30">
            <v>0.45693675406063161</v>
          </cell>
        </row>
        <row r="31">
          <cell r="B31">
            <v>1.3857316327211369</v>
          </cell>
        </row>
        <row r="33">
          <cell r="B33">
            <v>0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</row>
        <row r="34">
          <cell r="I34">
            <v>0</v>
          </cell>
        </row>
        <row r="38">
          <cell r="B38">
            <v>224.58207890585527</v>
          </cell>
          <cell r="C38">
            <v>569.81347192676776</v>
          </cell>
          <cell r="D38">
            <v>255.08284406611506</v>
          </cell>
          <cell r="E38">
            <v>562.77989148467464</v>
          </cell>
          <cell r="F38">
            <v>31.556108594047863</v>
          </cell>
          <cell r="G38">
            <v>24.992476298225952</v>
          </cell>
          <cell r="H38">
            <v>0</v>
          </cell>
          <cell r="I38">
            <v>54.128042212925536</v>
          </cell>
          <cell r="J38">
            <v>15.642812429041761</v>
          </cell>
          <cell r="K38">
            <v>467.00423172384706</v>
          </cell>
        </row>
        <row r="39">
          <cell r="B39">
            <v>0</v>
          </cell>
          <cell r="C39">
            <v>0</v>
          </cell>
          <cell r="D39">
            <v>0</v>
          </cell>
          <cell r="E39">
            <v>29.943633975629599</v>
          </cell>
          <cell r="F39">
            <v>156.95174519757379</v>
          </cell>
          <cell r="G39">
            <v>253.84036857465208</v>
          </cell>
          <cell r="H39">
            <v>1941.0218204939049</v>
          </cell>
          <cell r="I39">
            <v>0</v>
          </cell>
          <cell r="J39">
            <v>311.88506223300629</v>
          </cell>
          <cell r="K39">
            <v>2.0686510870679515</v>
          </cell>
        </row>
        <row r="41">
          <cell r="B41">
            <v>231.13231830648931</v>
          </cell>
          <cell r="C41">
            <v>281.80660433181345</v>
          </cell>
          <cell r="D41">
            <v>81.668306053256714</v>
          </cell>
          <cell r="E41">
            <v>253.70088152629793</v>
          </cell>
          <cell r="F41">
            <v>345.64523824162416</v>
          </cell>
          <cell r="G41">
            <v>84.880571434302936</v>
          </cell>
          <cell r="H41">
            <v>70.519049254177276</v>
          </cell>
          <cell r="I41">
            <v>118.80355605576423</v>
          </cell>
          <cell r="J41">
            <v>715.3116416442158</v>
          </cell>
          <cell r="K41">
            <v>115.22574127146947</v>
          </cell>
        </row>
        <row r="42">
          <cell r="B42">
            <v>31.027234796754108</v>
          </cell>
          <cell r="C42">
            <v>0</v>
          </cell>
          <cell r="D42">
            <v>5.9439190287318033E-2</v>
          </cell>
          <cell r="E42">
            <v>201.74007959476523</v>
          </cell>
          <cell r="F42">
            <v>455.39602485502934</v>
          </cell>
          <cell r="G42">
            <v>281.12196381306535</v>
          </cell>
          <cell r="H42">
            <v>1588.469861218327</v>
          </cell>
          <cell r="I42">
            <v>3.3257559185307288</v>
          </cell>
          <cell r="J42">
            <v>171.19553654893278</v>
          </cell>
          <cell r="K42">
            <v>77.178880654699611</v>
          </cell>
        </row>
        <row r="44">
          <cell r="B44">
            <v>0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</row>
        <row r="45"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</row>
        <row r="46">
          <cell r="G46">
            <v>0</v>
          </cell>
        </row>
      </sheetData>
      <sheetData sheetId="3">
        <row r="13">
          <cell r="H13">
            <v>720</v>
          </cell>
          <cell r="I13">
            <v>8.2191780821917804E-2</v>
          </cell>
        </row>
        <row r="21">
          <cell r="B21">
            <v>173.56430555555556</v>
          </cell>
          <cell r="C21">
            <v>339.10027777777776</v>
          </cell>
          <cell r="D21">
            <v>142.21305555555554</v>
          </cell>
          <cell r="E21">
            <v>395.26583333333338</v>
          </cell>
          <cell r="F21">
            <v>51.438472222222217</v>
          </cell>
          <cell r="G21">
            <v>35.93333333333333</v>
          </cell>
          <cell r="H21">
            <v>0</v>
          </cell>
          <cell r="I21">
            <v>98.816666666666649</v>
          </cell>
          <cell r="J21">
            <v>31.46555555555555</v>
          </cell>
          <cell r="K21">
            <v>205.31430555555553</v>
          </cell>
        </row>
        <row r="22">
          <cell r="B22">
            <v>63.123750000000001</v>
          </cell>
          <cell r="C22">
            <v>0</v>
          </cell>
          <cell r="D22">
            <v>0</v>
          </cell>
          <cell r="E22">
            <v>70.910694444444445</v>
          </cell>
          <cell r="F22">
            <v>127.61750000000001</v>
          </cell>
          <cell r="G22">
            <v>141.99944444444444</v>
          </cell>
          <cell r="H22">
            <v>956.57513888888889</v>
          </cell>
          <cell r="I22">
            <v>0</v>
          </cell>
          <cell r="J22">
            <v>105.97083333333333</v>
          </cell>
          <cell r="K22">
            <v>7.0966666666666658</v>
          </cell>
        </row>
        <row r="24">
          <cell r="B24">
            <v>124.9663</v>
          </cell>
          <cell r="C24">
            <v>244.15219999999999</v>
          </cell>
          <cell r="D24">
            <v>102.3934</v>
          </cell>
          <cell r="E24">
            <v>284.59140000000002</v>
          </cell>
          <cell r="F24">
            <v>37.035699999999999</v>
          </cell>
          <cell r="G24">
            <v>25.872</v>
          </cell>
          <cell r="H24">
            <v>0</v>
          </cell>
          <cell r="I24">
            <v>71.147999999999982</v>
          </cell>
          <cell r="J24">
            <v>22.655199999999997</v>
          </cell>
          <cell r="K24">
            <v>147.82629999999997</v>
          </cell>
        </row>
        <row r="25">
          <cell r="B25">
            <v>45.449100000000001</v>
          </cell>
          <cell r="C25">
            <v>0</v>
          </cell>
          <cell r="D25">
            <v>0</v>
          </cell>
          <cell r="E25">
            <v>51.055699999999995</v>
          </cell>
          <cell r="F25">
            <v>91.884600000000006</v>
          </cell>
          <cell r="G25">
            <v>102.2396</v>
          </cell>
          <cell r="H25">
            <v>688.73410000000001</v>
          </cell>
          <cell r="I25">
            <v>0</v>
          </cell>
          <cell r="J25">
            <v>76.299000000000007</v>
          </cell>
          <cell r="K25">
            <v>5.1095999999999995</v>
          </cell>
        </row>
        <row r="27">
          <cell r="B27">
            <v>1.707059764172729</v>
          </cell>
          <cell r="C27">
            <v>2.3422726120479918</v>
          </cell>
          <cell r="D27">
            <v>2.4377758045738838</v>
          </cell>
          <cell r="E27">
            <v>1.9150962143390851</v>
          </cell>
          <cell r="F27">
            <v>0.54666082789108017</v>
          </cell>
          <cell r="G27">
            <v>0.89054878518925484</v>
          </cell>
          <cell r="H27">
            <v>0</v>
          </cell>
          <cell r="I27">
            <v>0.45050916985907541</v>
          </cell>
          <cell r="J27">
            <v>0.14809519660520065</v>
          </cell>
          <cell r="K27">
            <v>3.1215315387270897</v>
          </cell>
        </row>
        <row r="28">
          <cell r="B28">
            <v>0</v>
          </cell>
          <cell r="C28">
            <v>0</v>
          </cell>
          <cell r="D28">
            <v>0</v>
          </cell>
          <cell r="E28">
            <v>0.62796004920168569</v>
          </cell>
          <cell r="F28">
            <v>1.7022197474943583</v>
          </cell>
          <cell r="G28">
            <v>2.4445100872149146</v>
          </cell>
          <cell r="H28">
            <v>2.8155749149658957</v>
          </cell>
          <cell r="I28">
            <v>0</v>
          </cell>
          <cell r="J28">
            <v>4.0539257050413902</v>
          </cell>
          <cell r="K28">
            <v>0.48403432480146574</v>
          </cell>
        </row>
        <row r="30">
          <cell r="B30">
            <v>0.44373881231111811</v>
          </cell>
        </row>
        <row r="31">
          <cell r="B31">
            <v>1.3409988082506119</v>
          </cell>
        </row>
        <row r="33">
          <cell r="B33">
            <v>0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</row>
        <row r="34">
          <cell r="I34">
            <v>0</v>
          </cell>
        </row>
        <row r="38">
          <cell r="B38">
            <v>214.10729938131283</v>
          </cell>
          <cell r="C38">
            <v>558.65623564316195</v>
          </cell>
          <cell r="D38">
            <v>245.32491489164858</v>
          </cell>
          <cell r="E38">
            <v>539.13581079632002</v>
          </cell>
          <cell r="F38">
            <v>30.041257549402321</v>
          </cell>
          <cell r="G38">
            <v>23.437107757289052</v>
          </cell>
          <cell r="H38">
            <v>0</v>
          </cell>
          <cell r="I38">
            <v>55.754778146553235</v>
          </cell>
          <cell r="J38">
            <v>16.250189733095457</v>
          </cell>
          <cell r="K38">
            <v>451.77931620278486</v>
          </cell>
        </row>
        <row r="39">
          <cell r="B39">
            <v>0</v>
          </cell>
          <cell r="C39">
            <v>0</v>
          </cell>
          <cell r="D39">
            <v>0</v>
          </cell>
          <cell r="E39">
            <v>29.42372596306534</v>
          </cell>
          <cell r="F39">
            <v>153.32629463088375</v>
          </cell>
          <cell r="G39">
            <v>247.30960043846184</v>
          </cell>
          <cell r="H39">
            <v>1874.0950242789909</v>
          </cell>
          <cell r="I39">
            <v>0</v>
          </cell>
          <cell r="J39">
            <v>302.64032046494748</v>
          </cell>
          <cell r="K39">
            <v>2.0223687922344435</v>
          </cell>
        </row>
        <row r="41">
          <cell r="B41">
            <v>224.45640343133283</v>
          </cell>
          <cell r="C41">
            <v>273.66703771663589</v>
          </cell>
          <cell r="D41">
            <v>79.309437924366151</v>
          </cell>
          <cell r="E41">
            <v>246.37310711019126</v>
          </cell>
          <cell r="F41">
            <v>341.16414845727991</v>
          </cell>
          <cell r="G41">
            <v>82.428921774913263</v>
          </cell>
          <cell r="H41">
            <v>68.48221090397486</v>
          </cell>
          <cell r="I41">
            <v>115.37209120089068</v>
          </cell>
          <cell r="J41">
            <v>694.65092373243976</v>
          </cell>
          <cell r="K41">
            <v>98.585451931161074</v>
          </cell>
        </row>
        <row r="42">
          <cell r="B42">
            <v>30.025644145869212</v>
          </cell>
          <cell r="C42">
            <v>0</v>
          </cell>
          <cell r="D42">
            <v>5.7520432857662264E-2</v>
          </cell>
          <cell r="E42">
            <v>195.22770493571147</v>
          </cell>
          <cell r="F42">
            <v>440.69537866684061</v>
          </cell>
          <cell r="G42">
            <v>272.04706131021572</v>
          </cell>
          <cell r="H42">
            <v>1537.1924408284469</v>
          </cell>
          <cell r="I42">
            <v>3.2183971398014695</v>
          </cell>
          <cell r="J42">
            <v>165.66917076081637</v>
          </cell>
          <cell r="K42">
            <v>74.687468003334502</v>
          </cell>
        </row>
        <row r="44">
          <cell r="B44">
            <v>0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</row>
        <row r="45"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</row>
        <row r="46">
          <cell r="G46">
            <v>0</v>
          </cell>
        </row>
      </sheetData>
      <sheetData sheetId="4">
        <row r="13">
          <cell r="H13">
            <v>744</v>
          </cell>
          <cell r="I13">
            <v>8.4931506849315067E-2</v>
          </cell>
        </row>
        <row r="21">
          <cell r="B21">
            <v>173.53555107526878</v>
          </cell>
          <cell r="C21">
            <v>340.08615591397847</v>
          </cell>
          <cell r="D21">
            <v>142.39744623655915</v>
          </cell>
          <cell r="E21">
            <v>395.44166666666672</v>
          </cell>
          <cell r="F21">
            <v>51.468077956989248</v>
          </cell>
          <cell r="G21">
            <v>35.838709677419352</v>
          </cell>
          <cell r="H21">
            <v>0</v>
          </cell>
          <cell r="I21">
            <v>99.814516129032256</v>
          </cell>
          <cell r="J21">
            <v>31.754704301075268</v>
          </cell>
          <cell r="K21">
            <v>205.6549059139785</v>
          </cell>
        </row>
        <row r="22">
          <cell r="B22">
            <v>63.15625</v>
          </cell>
          <cell r="C22">
            <v>0</v>
          </cell>
          <cell r="D22">
            <v>0</v>
          </cell>
          <cell r="E22">
            <v>71.084206989247321</v>
          </cell>
          <cell r="F22">
            <v>127.94018817204301</v>
          </cell>
          <cell r="G22">
            <v>142.29220430107526</v>
          </cell>
          <cell r="H22">
            <v>958.42197580645166</v>
          </cell>
          <cell r="I22">
            <v>0</v>
          </cell>
          <cell r="J22">
            <v>106.14798387096774</v>
          </cell>
          <cell r="K22">
            <v>7.1305107526881715</v>
          </cell>
        </row>
        <row r="24">
          <cell r="B24">
            <v>129.11044999999999</v>
          </cell>
          <cell r="C24">
            <v>253.02409999999998</v>
          </cell>
          <cell r="D24">
            <v>105.94369999999999</v>
          </cell>
          <cell r="E24">
            <v>294.20860000000005</v>
          </cell>
          <cell r="F24">
            <v>38.292250000000003</v>
          </cell>
          <cell r="G24">
            <v>26.664000000000001</v>
          </cell>
          <cell r="H24">
            <v>0</v>
          </cell>
          <cell r="I24">
            <v>74.262</v>
          </cell>
          <cell r="J24">
            <v>23.625499999999999</v>
          </cell>
          <cell r="K24">
            <v>153.00725</v>
          </cell>
        </row>
        <row r="25">
          <cell r="B25">
            <v>46.988250000000001</v>
          </cell>
          <cell r="C25">
            <v>0</v>
          </cell>
          <cell r="D25">
            <v>0</v>
          </cell>
          <cell r="E25">
            <v>52.88665000000001</v>
          </cell>
          <cell r="F25">
            <v>95.1875</v>
          </cell>
          <cell r="G25">
            <v>105.86539999999999</v>
          </cell>
          <cell r="H25">
            <v>713.06595000000004</v>
          </cell>
          <cell r="I25">
            <v>0</v>
          </cell>
          <cell r="J25">
            <v>78.974099999999993</v>
          </cell>
          <cell r="K25">
            <v>5.3050999999999995</v>
          </cell>
        </row>
        <row r="27">
          <cell r="B27">
            <v>1.7034205452743418</v>
          </cell>
          <cell r="C27">
            <v>2.3385092664021876</v>
          </cell>
          <cell r="D27">
            <v>2.4312233775676289</v>
          </cell>
          <cell r="E27">
            <v>1.9111177548478524</v>
          </cell>
          <cell r="F27">
            <v>0.54591344704352995</v>
          </cell>
          <cell r="G27">
            <v>0.88879027735803384</v>
          </cell>
          <cell r="H27">
            <v>0</v>
          </cell>
          <cell r="I27">
            <v>0.45422981815902225</v>
          </cell>
          <cell r="J27">
            <v>0.15110035215186496</v>
          </cell>
          <cell r="K27">
            <v>3.1144655527483933</v>
          </cell>
        </row>
        <row r="28">
          <cell r="B28">
            <v>0</v>
          </cell>
          <cell r="C28">
            <v>0</v>
          </cell>
          <cell r="D28">
            <v>0</v>
          </cell>
          <cell r="E28">
            <v>0.6278396736953209</v>
          </cell>
          <cell r="F28">
            <v>1.6996590847040929</v>
          </cell>
          <cell r="G28">
            <v>2.4413295532859123</v>
          </cell>
          <cell r="H28">
            <v>2.8085699690088699</v>
          </cell>
          <cell r="I28">
            <v>0</v>
          </cell>
          <cell r="J28">
            <v>4.0479272459843729</v>
          </cell>
          <cell r="K28">
            <v>0.48037851386928004</v>
          </cell>
        </row>
        <row r="30">
          <cell r="B30">
            <v>0.45576824085532258</v>
          </cell>
        </row>
        <row r="31">
          <cell r="B31">
            <v>1.3855948691263948</v>
          </cell>
        </row>
        <row r="33">
          <cell r="B33">
            <v>0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</row>
        <row r="34">
          <cell r="I34">
            <v>0</v>
          </cell>
        </row>
        <row r="38">
          <cell r="B38">
            <v>220.73069096912604</v>
          </cell>
          <cell r="C38">
            <v>578.42651604734397</v>
          </cell>
          <cell r="D38">
            <v>253.25926866833254</v>
          </cell>
          <cell r="E38">
            <v>556.2342526441239</v>
          </cell>
          <cell r="F38">
            <v>30.963636525203089</v>
          </cell>
          <cell r="G38">
            <v>24.099247510886794</v>
          </cell>
          <cell r="H38">
            <v>0</v>
          </cell>
          <cell r="I38">
            <v>58.149459757363417</v>
          </cell>
          <cell r="J38">
            <v>17.132604088950501</v>
          </cell>
          <cell r="K38">
            <v>466.81314905349774</v>
          </cell>
        </row>
        <row r="39">
          <cell r="B39">
            <v>0</v>
          </cell>
          <cell r="C39">
            <v>0</v>
          </cell>
          <cell r="D39">
            <v>0</v>
          </cell>
          <cell r="E39">
            <v>30.475421882788741</v>
          </cell>
          <cell r="F39">
            <v>158.66569818335003</v>
          </cell>
          <cell r="G39">
            <v>255.81677458821954</v>
          </cell>
          <cell r="H39">
            <v>1936.068979551118</v>
          </cell>
          <cell r="I39">
            <v>0</v>
          </cell>
          <cell r="J39">
            <v>312.86865815282243</v>
          </cell>
          <cell r="K39">
            <v>2.093031854269074</v>
          </cell>
        </row>
        <row r="41">
          <cell r="B41">
            <v>230.54124927184782</v>
          </cell>
          <cell r="C41">
            <v>281.08594718270319</v>
          </cell>
          <cell r="D41">
            <v>81.459457688071822</v>
          </cell>
          <cell r="E41">
            <v>253.05209845593302</v>
          </cell>
          <cell r="F41">
            <v>350.41285429920612</v>
          </cell>
          <cell r="G41">
            <v>84.663508421284732</v>
          </cell>
          <cell r="H41">
            <v>70.338712611201942</v>
          </cell>
          <cell r="I41">
            <v>118.49974262238388</v>
          </cell>
          <cell r="J41">
            <v>713.48239264696485</v>
          </cell>
          <cell r="K41">
            <v>114.93107729648671</v>
          </cell>
        </row>
        <row r="42">
          <cell r="B42">
            <v>31.024172590432556</v>
          </cell>
          <cell r="C42">
            <v>0</v>
          </cell>
          <cell r="D42">
            <v>5.9433323987422536E-2</v>
          </cell>
          <cell r="E42">
            <v>201.72016903067234</v>
          </cell>
          <cell r="F42">
            <v>455.35107993501776</v>
          </cell>
          <cell r="G42">
            <v>281.09421872200733</v>
          </cell>
          <cell r="H42">
            <v>1588.3130885480439</v>
          </cell>
          <cell r="I42">
            <v>3.3254276859033487</v>
          </cell>
          <cell r="J42">
            <v>171.17864055231308</v>
          </cell>
          <cell r="K42">
            <v>77.171263551281285</v>
          </cell>
        </row>
        <row r="44">
          <cell r="B44">
            <v>0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</row>
        <row r="45"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</row>
        <row r="46">
          <cell r="G46">
            <v>0</v>
          </cell>
        </row>
      </sheetData>
      <sheetData sheetId="5">
        <row r="13">
          <cell r="H13">
            <v>720</v>
          </cell>
          <cell r="I13">
            <v>8.2191780821917818E-2</v>
          </cell>
        </row>
        <row r="21">
          <cell r="B21">
            <v>174.62618055555555</v>
          </cell>
          <cell r="C21">
            <v>312.0602777777778</v>
          </cell>
          <cell r="D21">
            <v>136.91381944444447</v>
          </cell>
          <cell r="E21">
            <v>389.96513888888893</v>
          </cell>
          <cell r="F21">
            <v>50.520694444444437</v>
          </cell>
          <cell r="G21">
            <v>38.866666666666667</v>
          </cell>
          <cell r="H21">
            <v>0</v>
          </cell>
          <cell r="I21">
            <v>72.208333333333329</v>
          </cell>
          <cell r="J21">
            <v>23.608124999999998</v>
          </cell>
          <cell r="K21">
            <v>194.81847222222228</v>
          </cell>
        </row>
        <row r="22">
          <cell r="B22">
            <v>62.328472222222231</v>
          </cell>
          <cell r="C22">
            <v>0</v>
          </cell>
          <cell r="D22">
            <v>0</v>
          </cell>
          <cell r="E22">
            <v>66.094374999999999</v>
          </cell>
          <cell r="F22">
            <v>119.10097222222224</v>
          </cell>
          <cell r="G22">
            <v>133.92000000000002</v>
          </cell>
          <cell r="H22">
            <v>905.13868055555554</v>
          </cell>
          <cell r="I22">
            <v>0</v>
          </cell>
          <cell r="J22">
            <v>101.03340277777777</v>
          </cell>
          <cell r="K22">
            <v>6.161041666666665</v>
          </cell>
        </row>
        <row r="24">
          <cell r="B24">
            <v>125.73084999999999</v>
          </cell>
          <cell r="C24">
            <v>224.68340000000003</v>
          </cell>
          <cell r="D24">
            <v>98.577950000000016</v>
          </cell>
          <cell r="E24">
            <v>280.7749</v>
          </cell>
          <cell r="F24">
            <v>36.374899999999997</v>
          </cell>
          <cell r="G24">
            <v>27.984000000000002</v>
          </cell>
          <cell r="H24">
            <v>0</v>
          </cell>
          <cell r="I24">
            <v>51.99</v>
          </cell>
          <cell r="J24">
            <v>16.99785</v>
          </cell>
          <cell r="K24">
            <v>140.26930000000004</v>
          </cell>
        </row>
        <row r="25">
          <cell r="B25">
            <v>44.876500000000007</v>
          </cell>
          <cell r="C25">
            <v>0</v>
          </cell>
          <cell r="D25">
            <v>0</v>
          </cell>
          <cell r="E25">
            <v>47.587950000000006</v>
          </cell>
          <cell r="F25">
            <v>85.752700000000019</v>
          </cell>
          <cell r="G25">
            <v>96.42240000000001</v>
          </cell>
          <cell r="H25">
            <v>651.69984999999997</v>
          </cell>
          <cell r="I25">
            <v>0</v>
          </cell>
          <cell r="J25">
            <v>72.744049999999987</v>
          </cell>
          <cell r="K25">
            <v>4.4359499999999992</v>
          </cell>
        </row>
        <row r="27">
          <cell r="B27">
            <v>1.810353849403604</v>
          </cell>
          <cell r="C27">
            <v>2.4500890508677267</v>
          </cell>
          <cell r="D27">
            <v>2.6216433799525092</v>
          </cell>
          <cell r="E27">
            <v>2.029038995454199</v>
          </cell>
          <cell r="F27">
            <v>0.56506402740983153</v>
          </cell>
          <cell r="G27">
            <v>0.93951431025123244</v>
          </cell>
          <cell r="H27">
            <v>0</v>
          </cell>
          <cell r="I27">
            <v>0.35403071479930853</v>
          </cell>
          <cell r="J27">
            <v>0.10182849818930031</v>
          </cell>
          <cell r="K27">
            <v>3.3237814493623072</v>
          </cell>
        </row>
        <row r="28">
          <cell r="B28">
            <v>0</v>
          </cell>
          <cell r="C28">
            <v>0</v>
          </cell>
          <cell r="D28">
            <v>0</v>
          </cell>
          <cell r="E28">
            <v>0.63470511683521169</v>
          </cell>
          <cell r="F28">
            <v>1.775803822047852</v>
          </cell>
          <cell r="G28">
            <v>2.5355600684034525</v>
          </cell>
          <cell r="H28">
            <v>3.0157721328746163</v>
          </cell>
          <cell r="I28">
            <v>0</v>
          </cell>
          <cell r="J28">
            <v>4.2266220371325867</v>
          </cell>
          <cell r="K28">
            <v>0.59065834846279974</v>
          </cell>
        </row>
        <row r="30">
          <cell r="B30">
            <v>0.44010352380861539</v>
          </cell>
        </row>
        <row r="31">
          <cell r="B31">
            <v>1.3413945799419442</v>
          </cell>
        </row>
        <row r="33">
          <cell r="B33">
            <v>0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</row>
        <row r="34">
          <cell r="I34">
            <v>0</v>
          </cell>
        </row>
        <row r="38">
          <cell r="B38">
            <v>228.56529135523672</v>
          </cell>
          <cell r="C38">
            <v>528.394956571438</v>
          </cell>
          <cell r="D38">
            <v>251.47680560575884</v>
          </cell>
          <cell r="E38">
            <v>563.03035858489102</v>
          </cell>
          <cell r="F38">
            <v>32.15874537896778</v>
          </cell>
          <cell r="G38">
            <v>26.878197253953989</v>
          </cell>
          <cell r="H38">
            <v>0</v>
          </cell>
          <cell r="I38">
            <v>42.063789579611921</v>
          </cell>
          <cell r="J38">
            <v>11.173437449315545</v>
          </cell>
          <cell r="K38">
            <v>450.08881016664918</v>
          </cell>
        </row>
        <row r="39">
          <cell r="B39">
            <v>0</v>
          </cell>
          <cell r="C39">
            <v>0</v>
          </cell>
          <cell r="D39">
            <v>0</v>
          </cell>
          <cell r="E39">
            <v>27.689460961442421</v>
          </cell>
          <cell r="F39">
            <v>147.68241675915272</v>
          </cell>
          <cell r="G39">
            <v>240.48144476916795</v>
          </cell>
          <cell r="H39">
            <v>1890.9586560788478</v>
          </cell>
          <cell r="I39">
            <v>0</v>
          </cell>
          <cell r="J39">
            <v>299.25924056607721</v>
          </cell>
          <cell r="K39">
            <v>1.9437043546515507</v>
          </cell>
        </row>
        <row r="41">
          <cell r="B41">
            <v>222.61756544811192</v>
          </cell>
          <cell r="C41">
            <v>271.42504623848743</v>
          </cell>
          <cell r="D41">
            <v>78.659702810313846</v>
          </cell>
          <cell r="E41">
            <v>244.35471859254321</v>
          </cell>
          <cell r="F41">
            <v>338.36919324501582</v>
          </cell>
          <cell r="G41">
            <v>87.430966039819552</v>
          </cell>
          <cell r="H41">
            <v>67.921176829383612</v>
          </cell>
          <cell r="I41">
            <v>114.42691619024001</v>
          </cell>
          <cell r="J41">
            <v>688.96006134619688</v>
          </cell>
          <cell r="K41">
            <v>110.98090559881854</v>
          </cell>
        </row>
        <row r="42">
          <cell r="B42">
            <v>30.034505674972621</v>
          </cell>
          <cell r="C42">
            <v>0</v>
          </cell>
          <cell r="D42">
            <v>5.7537408979384481E-2</v>
          </cell>
          <cell r="E42">
            <v>195.28532288324573</v>
          </cell>
          <cell r="F42">
            <v>440.82544198554308</v>
          </cell>
          <cell r="G42">
            <v>272.12735110981453</v>
          </cell>
          <cell r="H42">
            <v>1537.646115543492</v>
          </cell>
          <cell r="I42">
            <v>3.2193469918606663</v>
          </cell>
          <cell r="J42">
            <v>165.71806503835805</v>
          </cell>
          <cell r="K42">
            <v>74.709510666870926</v>
          </cell>
        </row>
        <row r="44">
          <cell r="B44">
            <v>0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</row>
        <row r="45"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</row>
        <row r="46">
          <cell r="G46">
            <v>0</v>
          </cell>
        </row>
      </sheetData>
      <sheetData sheetId="6">
        <row r="13">
          <cell r="H13">
            <v>744</v>
          </cell>
          <cell r="I13">
            <v>8.4931506849315094E-2</v>
          </cell>
        </row>
        <row r="21">
          <cell r="B21">
            <v>174.89314516129031</v>
          </cell>
          <cell r="C21">
            <v>320.73561827956985</v>
          </cell>
          <cell r="D21">
            <v>138.07600806451615</v>
          </cell>
          <cell r="E21">
            <v>390.60255376344094</v>
          </cell>
          <cell r="F21">
            <v>50.579905913978493</v>
          </cell>
          <cell r="G21">
            <v>38.677419354838712</v>
          </cell>
          <cell r="H21">
            <v>0</v>
          </cell>
          <cell r="I21">
            <v>82.435483870967744</v>
          </cell>
          <cell r="J21">
            <v>26.291733870967747</v>
          </cell>
          <cell r="K21">
            <v>195.61915322580649</v>
          </cell>
        </row>
        <row r="22">
          <cell r="B22">
            <v>62.797379032258064</v>
          </cell>
          <cell r="C22">
            <v>0</v>
          </cell>
          <cell r="D22">
            <v>0</v>
          </cell>
          <cell r="E22">
            <v>67.512096774193552</v>
          </cell>
          <cell r="F22">
            <v>122.57607526881719</v>
          </cell>
          <cell r="G22">
            <v>136.40134408602151</v>
          </cell>
          <cell r="H22">
            <v>919.90053763440858</v>
          </cell>
          <cell r="I22">
            <v>0</v>
          </cell>
          <cell r="J22">
            <v>102.44254032258064</v>
          </cell>
          <cell r="K22">
            <v>6.4448252688172039</v>
          </cell>
        </row>
        <row r="24">
          <cell r="B24">
            <v>130.12049999999999</v>
          </cell>
          <cell r="C24">
            <v>238.62729999999999</v>
          </cell>
          <cell r="D24">
            <v>102.72855</v>
          </cell>
          <cell r="E24">
            <v>290.60830000000004</v>
          </cell>
          <cell r="F24">
            <v>37.631449999999994</v>
          </cell>
          <cell r="G24">
            <v>28.776</v>
          </cell>
          <cell r="H24">
            <v>0</v>
          </cell>
          <cell r="I24">
            <v>61.332000000000001</v>
          </cell>
          <cell r="J24">
            <v>19.561050000000002</v>
          </cell>
          <cell r="K24">
            <v>145.54065000000003</v>
          </cell>
        </row>
        <row r="25">
          <cell r="B25">
            <v>46.721249999999998</v>
          </cell>
          <cell r="C25">
            <v>0</v>
          </cell>
          <cell r="D25">
            <v>0</v>
          </cell>
          <cell r="E25">
            <v>50.229000000000006</v>
          </cell>
          <cell r="F25">
            <v>91.196599999999989</v>
          </cell>
          <cell r="G25">
            <v>101.48260000000001</v>
          </cell>
          <cell r="H25">
            <v>684.40599999999995</v>
          </cell>
          <cell r="I25">
            <v>0</v>
          </cell>
          <cell r="J25">
            <v>76.217250000000007</v>
          </cell>
          <cell r="K25">
            <v>4.79495</v>
          </cell>
        </row>
        <row r="27">
          <cell r="B27">
            <v>1.7849534652671992</v>
          </cell>
          <cell r="C27">
            <v>2.4257239951951068</v>
          </cell>
          <cell r="D27">
            <v>2.5718868470012182</v>
          </cell>
          <cell r="E27">
            <v>2.0032118079661378</v>
          </cell>
          <cell r="F27">
            <v>0.5544992399546359</v>
          </cell>
          <cell r="G27">
            <v>0.92543778347114936</v>
          </cell>
          <cell r="H27">
            <v>0</v>
          </cell>
          <cell r="I27">
            <v>0.39736997565972665</v>
          </cell>
          <cell r="J27">
            <v>0.11825244951015519</v>
          </cell>
          <cell r="K27">
            <v>3.2776835539353049</v>
          </cell>
        </row>
        <row r="28">
          <cell r="B28">
            <v>0</v>
          </cell>
          <cell r="C28">
            <v>0</v>
          </cell>
          <cell r="D28">
            <v>0</v>
          </cell>
          <cell r="E28">
            <v>0.64019959773334389</v>
          </cell>
          <cell r="F28">
            <v>1.7596505014757311</v>
          </cell>
          <cell r="G28">
            <v>2.5148361726093231</v>
          </cell>
          <cell r="H28">
            <v>2.9577104633650593</v>
          </cell>
          <cell r="I28">
            <v>0</v>
          </cell>
          <cell r="J28">
            <v>4.1839982416546162</v>
          </cell>
          <cell r="K28">
            <v>0.57058347501942464</v>
          </cell>
        </row>
        <row r="30">
          <cell r="B30">
            <v>0.45293571650436609</v>
          </cell>
        </row>
        <row r="31">
          <cell r="B31">
            <v>1.3859367781132492</v>
          </cell>
        </row>
        <row r="33">
          <cell r="B33">
            <v>0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</row>
        <row r="34">
          <cell r="I34">
            <v>0</v>
          </cell>
        </row>
        <row r="38">
          <cell r="B38">
            <v>233.29356339706356</v>
          </cell>
          <cell r="C38">
            <v>556.54703179678359</v>
          </cell>
          <cell r="D38">
            <v>257.12633762840312</v>
          </cell>
          <cell r="E38">
            <v>575.55278528543113</v>
          </cell>
          <cell r="F38">
            <v>32.576323463141307</v>
          </cell>
          <cell r="G38">
            <v>27.276685702168365</v>
          </cell>
          <cell r="H38">
            <v>0</v>
          </cell>
          <cell r="I38">
            <v>49.247834412042408</v>
          </cell>
          <cell r="J38">
            <v>13.408124939178654</v>
          </cell>
          <cell r="K38">
            <v>460.21296958229772</v>
          </cell>
        </row>
        <row r="39">
          <cell r="B39">
            <v>0</v>
          </cell>
          <cell r="C39">
            <v>0</v>
          </cell>
          <cell r="D39">
            <v>0</v>
          </cell>
          <cell r="E39">
            <v>29.526930135193069</v>
          </cell>
          <cell r="F39">
            <v>155.44568845436692</v>
          </cell>
          <cell r="G39">
            <v>251.14355568887774</v>
          </cell>
          <cell r="H39">
            <v>1946.5595669900752</v>
          </cell>
          <cell r="I39">
            <v>0</v>
          </cell>
          <cell r="J39">
            <v>310.56753163809236</v>
          </cell>
          <cell r="K39">
            <v>2.0520846791293805</v>
          </cell>
        </row>
        <row r="41">
          <cell r="B41">
            <v>238.11736488067532</v>
          </cell>
          <cell r="C41">
            <v>279.33904443973768</v>
          </cell>
          <cell r="D41">
            <v>80.953200610825363</v>
          </cell>
          <cell r="E41">
            <v>251.47942145327053</v>
          </cell>
          <cell r="F41">
            <v>348.23509627721671</v>
          </cell>
          <cell r="G41">
            <v>89.980209440757363</v>
          </cell>
          <cell r="H41">
            <v>69.901569128118808</v>
          </cell>
          <cell r="I41">
            <v>117.76328629113517</v>
          </cell>
          <cell r="J41">
            <v>709.04821740175976</v>
          </cell>
          <cell r="K41">
            <v>114.21679963090597</v>
          </cell>
        </row>
        <row r="42">
          <cell r="B42">
            <v>31.031828106236436</v>
          </cell>
          <cell r="C42">
            <v>0</v>
          </cell>
          <cell r="D42">
            <v>5.9447989737161276E-2</v>
          </cell>
          <cell r="E42">
            <v>201.76994544090448</v>
          </cell>
          <cell r="F42">
            <v>455.46344223504661</v>
          </cell>
          <cell r="G42">
            <v>281.16358144965244</v>
          </cell>
          <cell r="H42">
            <v>1588.7050202237533</v>
          </cell>
          <cell r="I42">
            <v>3.3262482674717972</v>
          </cell>
          <cell r="J42">
            <v>171.22088054386219</v>
          </cell>
          <cell r="K42">
            <v>77.190306309827079</v>
          </cell>
        </row>
        <row r="44">
          <cell r="B44">
            <v>0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</row>
        <row r="45"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</row>
        <row r="46">
          <cell r="G46">
            <v>0</v>
          </cell>
        </row>
      </sheetData>
      <sheetData sheetId="7">
        <row r="13">
          <cell r="H13">
            <v>744</v>
          </cell>
          <cell r="I13">
            <v>8.4931506849315053E-2</v>
          </cell>
        </row>
        <row r="21">
          <cell r="B21">
            <v>95.243548387096794</v>
          </cell>
          <cell r="C21">
            <v>36.12069892473118</v>
          </cell>
          <cell r="D21">
            <v>32.794287634408605</v>
          </cell>
          <cell r="E21">
            <v>235.22587365591397</v>
          </cell>
          <cell r="F21">
            <v>263.95268817204305</v>
          </cell>
          <cell r="G21">
            <v>57.241397849462366</v>
          </cell>
          <cell r="H21">
            <v>0.19516129032258067</v>
          </cell>
          <cell r="I21">
            <v>0</v>
          </cell>
          <cell r="J21">
            <v>541.13266129032263</v>
          </cell>
          <cell r="K21">
            <v>97.348185483870978</v>
          </cell>
        </row>
        <row r="22">
          <cell r="B22">
            <v>43.409206989247316</v>
          </cell>
          <cell r="C22">
            <v>0</v>
          </cell>
          <cell r="D22">
            <v>0</v>
          </cell>
          <cell r="E22">
            <v>79.177688172043005</v>
          </cell>
          <cell r="F22">
            <v>76.081989247311824</v>
          </cell>
          <cell r="G22">
            <v>130.65356182795699</v>
          </cell>
          <cell r="H22">
            <v>909.92170698924735</v>
          </cell>
          <cell r="I22">
            <v>0</v>
          </cell>
          <cell r="J22">
            <v>100.74475806451612</v>
          </cell>
          <cell r="K22">
            <v>19.251948924731181</v>
          </cell>
        </row>
        <row r="24">
          <cell r="B24">
            <v>70.861200000000011</v>
          </cell>
          <cell r="C24">
            <v>26.873799999999999</v>
          </cell>
          <cell r="D24">
            <v>24.398949999999999</v>
          </cell>
          <cell r="E24">
            <v>175.00805</v>
          </cell>
          <cell r="F24">
            <v>196.38080000000002</v>
          </cell>
          <cell r="G24">
            <v>42.587600000000002</v>
          </cell>
          <cell r="H24">
            <v>0.14520000000000002</v>
          </cell>
          <cell r="I24">
            <v>0</v>
          </cell>
          <cell r="J24">
            <v>402.60270000000003</v>
          </cell>
          <cell r="K24">
            <v>72.427050000000008</v>
          </cell>
        </row>
        <row r="25">
          <cell r="B25">
            <v>32.29645</v>
          </cell>
          <cell r="C25">
            <v>0</v>
          </cell>
          <cell r="D25">
            <v>0</v>
          </cell>
          <cell r="E25">
            <v>58.908199999999994</v>
          </cell>
          <cell r="F25">
            <v>56.604999999999997</v>
          </cell>
          <cell r="G25">
            <v>97.206249999999997</v>
          </cell>
          <cell r="H25">
            <v>676.98175000000003</v>
          </cell>
          <cell r="I25">
            <v>0</v>
          </cell>
          <cell r="J25">
            <v>74.954099999999997</v>
          </cell>
          <cell r="K25">
            <v>14.323449999999999</v>
          </cell>
        </row>
        <row r="27">
          <cell r="B27">
            <v>3.3320926678428289</v>
          </cell>
          <cell r="C27">
            <v>6.145130065384274</v>
          </cell>
          <cell r="D27">
            <v>4.3760199854841364</v>
          </cell>
          <cell r="E27">
            <v>4.3171741888844215</v>
          </cell>
          <cell r="F27">
            <v>1.7044933944118541</v>
          </cell>
          <cell r="G27">
            <v>1.4994596884425409</v>
          </cell>
          <cell r="H27">
            <v>2.1336621476893115E-2</v>
          </cell>
          <cell r="I27">
            <v>0</v>
          </cell>
          <cell r="J27">
            <v>0.55967004841473023</v>
          </cell>
          <cell r="K27">
            <v>6.5277255111731138</v>
          </cell>
        </row>
        <row r="28">
          <cell r="B28">
            <v>0</v>
          </cell>
          <cell r="C28">
            <v>0</v>
          </cell>
          <cell r="D28">
            <v>0</v>
          </cell>
          <cell r="E28">
            <v>2.0010669773142125</v>
          </cell>
          <cell r="F28">
            <v>5.0089607124739111</v>
          </cell>
          <cell r="G28">
            <v>3.9652152713656665</v>
          </cell>
          <cell r="H28">
            <v>2.2520833866407823</v>
          </cell>
          <cell r="I28">
            <v>0</v>
          </cell>
          <cell r="J28">
            <v>3.9468149563672892</v>
          </cell>
          <cell r="K28">
            <v>0.53547883198819057</v>
          </cell>
        </row>
        <row r="30">
          <cell r="B30">
            <v>0.44666879195757758</v>
          </cell>
        </row>
        <row r="31">
          <cell r="B31">
            <v>1.3787753389704189</v>
          </cell>
        </row>
        <row r="33">
          <cell r="B33">
            <v>0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</row>
        <row r="34">
          <cell r="I34">
            <v>0</v>
          </cell>
        </row>
        <row r="38">
          <cell r="B38">
            <v>231.81778348721897</v>
          </cell>
          <cell r="C38">
            <v>166.36086280168675</v>
          </cell>
          <cell r="D38">
            <v>105.27276454210421</v>
          </cell>
          <cell r="E38">
            <v>659.51473841717473</v>
          </cell>
          <cell r="F38">
            <v>286.89113308948555</v>
          </cell>
          <cell r="G38">
            <v>62.944867201529675</v>
          </cell>
          <cell r="H38">
            <v>6.9847564066757309E-2</v>
          </cell>
          <cell r="I38">
            <v>0</v>
          </cell>
          <cell r="J38">
            <v>234.21511536946269</v>
          </cell>
          <cell r="K38">
            <v>470.03415746437258</v>
          </cell>
        </row>
        <row r="39">
          <cell r="B39">
            <v>0</v>
          </cell>
          <cell r="C39">
            <v>0</v>
          </cell>
          <cell r="D39">
            <v>0</v>
          </cell>
          <cell r="E39">
            <v>107.84270828313844</v>
          </cell>
          <cell r="F39">
            <v>365.36892804680537</v>
          </cell>
          <cell r="G39">
            <v>399.1845720923825</v>
          </cell>
          <cell r="H39">
            <v>1536.2750589939776</v>
          </cell>
          <cell r="I39">
            <v>0</v>
          </cell>
          <cell r="J39">
            <v>293.64803831705962</v>
          </cell>
          <cell r="K39">
            <v>7.4955797453171087</v>
          </cell>
        </row>
        <row r="41">
          <cell r="B41">
            <v>234.82271730793769</v>
          </cell>
          <cell r="C41">
            <v>275.47404406399693</v>
          </cell>
          <cell r="D41">
            <v>79.833113186577876</v>
          </cell>
          <cell r="E41">
            <v>247.99989333947815</v>
          </cell>
          <cell r="F41">
            <v>356.71416394524101</v>
          </cell>
          <cell r="G41">
            <v>95.36825377086241</v>
          </cell>
          <cell r="H41">
            <v>68.934394662812963</v>
          </cell>
          <cell r="I41">
            <v>116.13388590897019</v>
          </cell>
          <cell r="J41">
            <v>699.23766036998995</v>
          </cell>
          <cell r="K41">
            <v>112.63646926794233</v>
          </cell>
        </row>
        <row r="42">
          <cell r="B42">
            <v>30.871479847944236</v>
          </cell>
          <cell r="C42">
            <v>0</v>
          </cell>
          <cell r="D42">
            <v>5.9140808942633377E-2</v>
          </cell>
          <cell r="E42">
            <v>200.72735590295005</v>
          </cell>
          <cell r="F42">
            <v>453.10996278716704</v>
          </cell>
          <cell r="G42">
            <v>279.71074759061241</v>
          </cell>
          <cell r="H42">
            <v>1580.4958331252415</v>
          </cell>
          <cell r="I42">
            <v>3.3090608135290056</v>
          </cell>
          <cell r="J42">
            <v>170.3361447208718</v>
          </cell>
          <cell r="K42">
            <v>76.791447076286289</v>
          </cell>
        </row>
        <row r="44">
          <cell r="B44">
            <v>0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</row>
        <row r="45"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</row>
        <row r="46">
          <cell r="G46">
            <v>0</v>
          </cell>
        </row>
      </sheetData>
      <sheetData sheetId="8">
        <row r="13">
          <cell r="H13">
            <v>672</v>
          </cell>
          <cell r="I13">
            <v>7.6712328767123306E-2</v>
          </cell>
        </row>
        <row r="21">
          <cell r="B21">
            <v>95.854464285714286</v>
          </cell>
          <cell r="C21">
            <v>37.349479166666661</v>
          </cell>
          <cell r="D21">
            <v>32.89129464285714</v>
          </cell>
          <cell r="E21">
            <v>236.29732142857142</v>
          </cell>
          <cell r="F21">
            <v>265.23311011904764</v>
          </cell>
          <cell r="G21">
            <v>56.495982142857144</v>
          </cell>
          <cell r="H21">
            <v>0.18005952380952384</v>
          </cell>
          <cell r="I21">
            <v>0</v>
          </cell>
          <cell r="J21">
            <v>529.01845238095245</v>
          </cell>
          <cell r="K21">
            <v>97.38712797619047</v>
          </cell>
        </row>
        <row r="22">
          <cell r="B22">
            <v>43.710267857142853</v>
          </cell>
          <cell r="C22">
            <v>0</v>
          </cell>
          <cell r="D22">
            <v>0</v>
          </cell>
          <cell r="E22">
            <v>78.613318452380952</v>
          </cell>
          <cell r="F22">
            <v>74.974925595238091</v>
          </cell>
          <cell r="G22">
            <v>129.4111607142857</v>
          </cell>
          <cell r="H22">
            <v>904.65677083333333</v>
          </cell>
          <cell r="I22">
            <v>0</v>
          </cell>
          <cell r="J22">
            <v>100.21860119047618</v>
          </cell>
          <cell r="K22">
            <v>19.109747023809526</v>
          </cell>
        </row>
        <row r="24">
          <cell r="B24">
            <v>64.414199999999994</v>
          </cell>
          <cell r="C24">
            <v>25.098849999999999</v>
          </cell>
          <cell r="D24">
            <v>22.102949999999996</v>
          </cell>
          <cell r="E24">
            <v>158.79179999999999</v>
          </cell>
          <cell r="F24">
            <v>178.23665000000003</v>
          </cell>
          <cell r="G24">
            <v>37.965300000000006</v>
          </cell>
          <cell r="H24">
            <v>0.12100000000000001</v>
          </cell>
          <cell r="I24">
            <v>0</v>
          </cell>
          <cell r="J24">
            <v>355.50040000000007</v>
          </cell>
          <cell r="K24">
            <v>65.444149999999993</v>
          </cell>
        </row>
        <row r="25">
          <cell r="B25">
            <v>29.3733</v>
          </cell>
          <cell r="C25">
            <v>0</v>
          </cell>
          <cell r="D25">
            <v>0</v>
          </cell>
          <cell r="E25">
            <v>52.828150000000001</v>
          </cell>
          <cell r="F25">
            <v>50.383150000000001</v>
          </cell>
          <cell r="G25">
            <v>86.964299999999994</v>
          </cell>
          <cell r="H25">
            <v>607.92935</v>
          </cell>
          <cell r="I25">
            <v>0</v>
          </cell>
          <cell r="J25">
            <v>67.346899999999991</v>
          </cell>
          <cell r="K25">
            <v>12.841749999999999</v>
          </cell>
        </row>
        <row r="27">
          <cell r="B27">
            <v>3.3229505384867641</v>
          </cell>
          <cell r="C27">
            <v>6.0964230630549299</v>
          </cell>
          <cell r="D27">
            <v>4.411475135933733</v>
          </cell>
          <cell r="E27">
            <v>4.297027213047631</v>
          </cell>
          <cell r="F27">
            <v>1.6941566474517635</v>
          </cell>
          <cell r="G27">
            <v>1.4966773404239322</v>
          </cell>
          <cell r="H27">
            <v>1.9685573386419242E-2</v>
          </cell>
          <cell r="I27">
            <v>0</v>
          </cell>
          <cell r="J27">
            <v>0.5795039094411164</v>
          </cell>
          <cell r="K27">
            <v>6.5083766152129057</v>
          </cell>
        </row>
        <row r="28">
          <cell r="B28">
            <v>0</v>
          </cell>
          <cell r="C28">
            <v>0</v>
          </cell>
          <cell r="D28">
            <v>0</v>
          </cell>
          <cell r="E28">
            <v>1.9835251410639856</v>
          </cell>
          <cell r="F28">
            <v>4.9641082799498637</v>
          </cell>
          <cell r="G28">
            <v>3.948370205256905</v>
          </cell>
          <cell r="H28">
            <v>2.2848589514630624</v>
          </cell>
          <cell r="I28">
            <v>0</v>
          </cell>
          <cell r="J28">
            <v>3.9820905587538507</v>
          </cell>
          <cell r="K28">
            <v>0.535394679128393</v>
          </cell>
        </row>
        <row r="30">
          <cell r="B30">
            <v>0.40279404754374565</v>
          </cell>
        </row>
        <row r="31">
          <cell r="B31">
            <v>1.245285508051247</v>
          </cell>
        </row>
        <row r="33">
          <cell r="B33">
            <v>0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</row>
        <row r="34">
          <cell r="I34">
            <v>0</v>
          </cell>
        </row>
        <row r="38">
          <cell r="B38">
            <v>209.73679157683776</v>
          </cell>
          <cell r="C38">
            <v>153.29951380893377</v>
          </cell>
          <cell r="D38">
            <v>96.343046434727455</v>
          </cell>
          <cell r="E38">
            <v>595.41352210613252</v>
          </cell>
          <cell r="F38">
            <v>258.53631868935884</v>
          </cell>
          <cell r="G38">
            <v>55.915468696663083</v>
          </cell>
          <cell r="H38">
            <v>5.8206303388964424E-2</v>
          </cell>
          <cell r="I38">
            <v>0</v>
          </cell>
          <cell r="J38">
            <v>209.87081454753044</v>
          </cell>
          <cell r="K38">
            <v>423.48692736814257</v>
          </cell>
        </row>
        <row r="39">
          <cell r="B39">
            <v>0</v>
          </cell>
          <cell r="C39">
            <v>0</v>
          </cell>
          <cell r="D39">
            <v>0</v>
          </cell>
          <cell r="E39">
            <v>95.78045999491016</v>
          </cell>
          <cell r="F39">
            <v>323.98984286270269</v>
          </cell>
          <cell r="G39">
            <v>355.86137712432128</v>
          </cell>
          <cell r="H39">
            <v>1399.1982312948849</v>
          </cell>
          <cell r="I39">
            <v>0</v>
          </cell>
          <cell r="J39">
            <v>266.14645875278222</v>
          </cell>
          <cell r="K39">
            <v>6.7199305091616033</v>
          </cell>
        </row>
        <row r="41">
          <cell r="B41">
            <v>211.75688667469797</v>
          </cell>
          <cell r="C41">
            <v>248.41517294165433</v>
          </cell>
          <cell r="D41">
            <v>71.991380117493691</v>
          </cell>
          <cell r="E41">
            <v>223.63971387128598</v>
          </cell>
          <cell r="F41">
            <v>321.6753543089107</v>
          </cell>
          <cell r="G41">
            <v>89.222909471415136</v>
          </cell>
          <cell r="H41">
            <v>62.163205357426271</v>
          </cell>
          <cell r="I41">
            <v>104.72645236137389</v>
          </cell>
          <cell r="J41">
            <v>630.5539417273568</v>
          </cell>
          <cell r="K41">
            <v>101.57257496910636</v>
          </cell>
        </row>
        <row r="42">
          <cell r="B42">
            <v>27.882574760474355</v>
          </cell>
          <cell r="C42">
            <v>0</v>
          </cell>
          <cell r="D42">
            <v>5.3414932969198567E-2</v>
          </cell>
          <cell r="E42">
            <v>181.29339879406672</v>
          </cell>
          <cell r="F42">
            <v>409.24090695866789</v>
          </cell>
          <cell r="G42">
            <v>252.62980166215681</v>
          </cell>
          <cell r="H42">
            <v>1427.475891754742</v>
          </cell>
          <cell r="I42">
            <v>2.9886852193229938</v>
          </cell>
          <cell r="J42">
            <v>153.8445942009792</v>
          </cell>
          <cell r="K42">
            <v>69.356677250836213</v>
          </cell>
        </row>
        <row r="44">
          <cell r="B44">
            <v>0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</row>
        <row r="45"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</row>
        <row r="46">
          <cell r="G46">
            <v>0</v>
          </cell>
        </row>
      </sheetData>
      <sheetData sheetId="9">
        <row r="13">
          <cell r="H13">
            <v>744</v>
          </cell>
          <cell r="I13">
            <v>8.493150684931508E-2</v>
          </cell>
        </row>
        <row r="21">
          <cell r="B21">
            <v>95.283534946236557</v>
          </cell>
          <cell r="C21">
            <v>35.448857526881724</v>
          </cell>
          <cell r="D21">
            <v>33.00322580645161</v>
          </cell>
          <cell r="E21">
            <v>235.99852150537629</v>
          </cell>
          <cell r="F21">
            <v>262.38434139784948</v>
          </cell>
          <cell r="G21">
            <v>55.635887096774191</v>
          </cell>
          <cell r="H21">
            <v>0.16263440860215056</v>
          </cell>
          <cell r="I21">
            <v>0</v>
          </cell>
          <cell r="J21">
            <v>562.29663978494614</v>
          </cell>
          <cell r="K21">
            <v>97.403696236559142</v>
          </cell>
        </row>
        <row r="22">
          <cell r="B22">
            <v>43.329905913978493</v>
          </cell>
          <cell r="C22">
            <v>0</v>
          </cell>
          <cell r="D22">
            <v>0</v>
          </cell>
          <cell r="E22">
            <v>80.429301075268825</v>
          </cell>
          <cell r="F22">
            <v>75.731922043010755</v>
          </cell>
          <cell r="G22">
            <v>132.88239247311827</v>
          </cell>
          <cell r="H22">
            <v>923.58669354838707</v>
          </cell>
          <cell r="I22">
            <v>0</v>
          </cell>
          <cell r="J22">
            <v>102.05336021505376</v>
          </cell>
          <cell r="K22">
            <v>19.599596774193547</v>
          </cell>
        </row>
        <row r="24">
          <cell r="B24">
            <v>70.890950000000004</v>
          </cell>
          <cell r="C24">
            <v>26.373950000000004</v>
          </cell>
          <cell r="D24">
            <v>24.554399999999998</v>
          </cell>
          <cell r="E24">
            <v>175.58289999999997</v>
          </cell>
          <cell r="F24">
            <v>195.21395000000001</v>
          </cell>
          <cell r="G24">
            <v>41.393099999999997</v>
          </cell>
          <cell r="H24">
            <v>0.12100000000000001</v>
          </cell>
          <cell r="I24">
            <v>0</v>
          </cell>
          <cell r="J24">
            <v>418.34869999999995</v>
          </cell>
          <cell r="K24">
            <v>72.468350000000001</v>
          </cell>
        </row>
        <row r="25">
          <cell r="B25">
            <v>32.237449999999995</v>
          </cell>
          <cell r="C25">
            <v>0</v>
          </cell>
          <cell r="D25">
            <v>0</v>
          </cell>
          <cell r="E25">
            <v>59.839400000000005</v>
          </cell>
          <cell r="F25">
            <v>56.344550000000005</v>
          </cell>
          <cell r="G25">
            <v>98.864500000000007</v>
          </cell>
          <cell r="H25">
            <v>687.14850000000001</v>
          </cell>
          <cell r="I25">
            <v>0</v>
          </cell>
          <cell r="J25">
            <v>75.927700000000002</v>
          </cell>
          <cell r="K25">
            <v>14.582099999999999</v>
          </cell>
        </row>
        <row r="27">
          <cell r="B27">
            <v>3.3435699188148504</v>
          </cell>
          <cell r="C27">
            <v>6.1354910721289802</v>
          </cell>
          <cell r="D27">
            <v>4.301312018974687</v>
          </cell>
          <cell r="E27">
            <v>4.2980273955142669</v>
          </cell>
          <cell r="F27">
            <v>1.6930720205374297</v>
          </cell>
          <cell r="G27">
            <v>1.4974765853818821</v>
          </cell>
          <cell r="H27">
            <v>1.7780517897410929E-2</v>
          </cell>
          <cell r="I27">
            <v>0</v>
          </cell>
          <cell r="J27">
            <v>0.55519185455127484</v>
          </cell>
          <cell r="K27">
            <v>6.5082816074669863</v>
          </cell>
        </row>
        <row r="28">
          <cell r="B28">
            <v>0</v>
          </cell>
          <cell r="C28">
            <v>0</v>
          </cell>
          <cell r="D28">
            <v>0</v>
          </cell>
          <cell r="E28">
            <v>1.9874931770332558</v>
          </cell>
          <cell r="F28">
            <v>5.0298205569503809</v>
          </cell>
          <cell r="G28">
            <v>4.0014235530096602</v>
          </cell>
          <cell r="H28">
            <v>2.1998607634187031</v>
          </cell>
          <cell r="I28">
            <v>0</v>
          </cell>
          <cell r="J28">
            <v>3.8939792780830462</v>
          </cell>
          <cell r="K28">
            <v>0.53396610645918208</v>
          </cell>
        </row>
        <row r="30">
          <cell r="B30">
            <v>0.44506662053708956</v>
          </cell>
        </row>
        <row r="31">
          <cell r="B31">
            <v>1.378632358848644</v>
          </cell>
        </row>
        <row r="33">
          <cell r="B33">
            <v>0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</row>
        <row r="34">
          <cell r="I34">
            <v>0</v>
          </cell>
        </row>
        <row r="38">
          <cell r="B38">
            <v>233.30215426305284</v>
          </cell>
          <cell r="C38">
            <v>164.29754401750176</v>
          </cell>
          <cell r="D38">
            <v>104.32849210751385</v>
          </cell>
          <cell r="E38">
            <v>661.67762272480343</v>
          </cell>
          <cell r="F38">
            <v>283.71536910239854</v>
          </cell>
          <cell r="G38">
            <v>60.868293971368672</v>
          </cell>
          <cell r="H38">
            <v>5.8206303388964424E-2</v>
          </cell>
          <cell r="I38">
            <v>0</v>
          </cell>
          <cell r="J38">
            <v>239.99935381360785</v>
          </cell>
          <cell r="K38">
            <v>469.11141342149034</v>
          </cell>
        </row>
        <row r="39">
          <cell r="B39">
            <v>0</v>
          </cell>
          <cell r="C39">
            <v>0</v>
          </cell>
          <cell r="D39">
            <v>0</v>
          </cell>
          <cell r="E39">
            <v>108.7369242973578</v>
          </cell>
          <cell r="F39">
            <v>362.48825261211613</v>
          </cell>
          <cell r="G39">
            <v>408.56081635836478</v>
          </cell>
          <cell r="H39">
            <v>1528.385036859607</v>
          </cell>
          <cell r="I39">
            <v>0</v>
          </cell>
          <cell r="J39">
            <v>294.32162092987613</v>
          </cell>
          <cell r="K39">
            <v>7.6121208289436115</v>
          </cell>
        </row>
        <row r="41">
          <cell r="B41">
            <v>233.98042374875877</v>
          </cell>
          <cell r="C41">
            <v>274.48593688383932</v>
          </cell>
          <cell r="D41">
            <v>79.546757088594035</v>
          </cell>
          <cell r="E41">
            <v>247.11033412122333</v>
          </cell>
          <cell r="F41">
            <v>355.43465382712509</v>
          </cell>
          <cell r="G41">
            <v>102.99286665848791</v>
          </cell>
          <cell r="H41">
            <v>68.687131547489045</v>
          </cell>
          <cell r="I41">
            <v>115.71732133964329</v>
          </cell>
          <cell r="J41">
            <v>696.72954111978697</v>
          </cell>
          <cell r="K41">
            <v>112.2324497008379</v>
          </cell>
        </row>
        <row r="42">
          <cell r="B42">
            <v>30.868278450426253</v>
          </cell>
          <cell r="C42">
            <v>0</v>
          </cell>
          <cell r="D42">
            <v>5.9134675992742636E-2</v>
          </cell>
          <cell r="E42">
            <v>200.70654031321664</v>
          </cell>
          <cell r="F42">
            <v>453.06297491624588</v>
          </cell>
          <cell r="G42">
            <v>279.68174135905178</v>
          </cell>
          <cell r="H42">
            <v>1580.3319344244903</v>
          </cell>
          <cell r="I42">
            <v>3.3087176612367459</v>
          </cell>
          <cell r="J42">
            <v>170.3184807244059</v>
          </cell>
          <cell r="K42">
            <v>76.78348374089444</v>
          </cell>
        </row>
        <row r="44">
          <cell r="B44">
            <v>0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</row>
        <row r="45"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</row>
        <row r="46">
          <cell r="G46">
            <v>0</v>
          </cell>
        </row>
      </sheetData>
      <sheetData sheetId="10">
        <row r="13">
          <cell r="H13">
            <v>720</v>
          </cell>
          <cell r="I13">
            <v>8.2191780821917804E-2</v>
          </cell>
        </row>
        <row r="21">
          <cell r="B21">
            <v>94.935694444444465</v>
          </cell>
          <cell r="C21">
            <v>35.475138888888893</v>
          </cell>
          <cell r="D21">
            <v>32.752499999999998</v>
          </cell>
          <cell r="E21">
            <v>234.71055555555552</v>
          </cell>
          <cell r="F21">
            <v>263.24958333333336</v>
          </cell>
          <cell r="G21">
            <v>57.5625</v>
          </cell>
          <cell r="H21">
            <v>0.20166666666666669</v>
          </cell>
          <cell r="I21">
            <v>0</v>
          </cell>
          <cell r="J21">
            <v>548.00638888888886</v>
          </cell>
          <cell r="K21">
            <v>97.330416666666679</v>
          </cell>
        </row>
        <row r="22">
          <cell r="B22">
            <v>43.254027777777779</v>
          </cell>
          <cell r="C22">
            <v>0</v>
          </cell>
          <cell r="D22">
            <v>0</v>
          </cell>
          <cell r="E22">
            <v>79.507222222222225</v>
          </cell>
          <cell r="F22">
            <v>76.630138888888894</v>
          </cell>
          <cell r="G22">
            <v>131.36055555555555</v>
          </cell>
          <cell r="H22">
            <v>913.06555555555553</v>
          </cell>
          <cell r="I22">
            <v>0</v>
          </cell>
          <cell r="J22">
            <v>101.05694444444444</v>
          </cell>
          <cell r="K22">
            <v>19.336111111111109</v>
          </cell>
        </row>
        <row r="24">
          <cell r="B24">
            <v>68.353700000000018</v>
          </cell>
          <cell r="C24">
            <v>25.542100000000001</v>
          </cell>
          <cell r="D24">
            <v>23.581799999999998</v>
          </cell>
          <cell r="E24">
            <v>168.99159999999998</v>
          </cell>
          <cell r="F24">
            <v>189.53970000000001</v>
          </cell>
          <cell r="G24">
            <v>41.445</v>
          </cell>
          <cell r="H24">
            <v>0.14520000000000002</v>
          </cell>
          <cell r="I24">
            <v>0</v>
          </cell>
          <cell r="J24">
            <v>394.56459999999998</v>
          </cell>
          <cell r="K24">
            <v>70.077900000000014</v>
          </cell>
        </row>
        <row r="25">
          <cell r="B25">
            <v>31.142900000000001</v>
          </cell>
          <cell r="C25">
            <v>0</v>
          </cell>
          <cell r="D25">
            <v>0</v>
          </cell>
          <cell r="E25">
            <v>57.245199999999997</v>
          </cell>
          <cell r="F25">
            <v>55.173700000000004</v>
          </cell>
          <cell r="G25">
            <v>94.579599999999999</v>
          </cell>
          <cell r="H25">
            <v>657.40719999999999</v>
          </cell>
          <cell r="I25">
            <v>0</v>
          </cell>
          <cell r="J25">
            <v>72.760999999999996</v>
          </cell>
          <cell r="K25">
            <v>13.921999999999999</v>
          </cell>
        </row>
        <row r="27">
          <cell r="B27">
            <v>3.3371225760141852</v>
          </cell>
          <cell r="C27">
            <v>6.1694486283816001</v>
          </cell>
          <cell r="D27">
            <v>4.3554551782940658</v>
          </cell>
          <cell r="E27">
            <v>4.3267022053594575</v>
          </cell>
          <cell r="F27">
            <v>1.7093259368389884</v>
          </cell>
          <cell r="G27">
            <v>1.5007986892532257</v>
          </cell>
          <cell r="H27">
            <v>2.2047842192789553E-2</v>
          </cell>
          <cell r="I27">
            <v>0</v>
          </cell>
          <cell r="J27">
            <v>0.54947299333044974</v>
          </cell>
          <cell r="K27">
            <v>6.53683912063671</v>
          </cell>
        </row>
        <row r="28">
          <cell r="B28">
            <v>0</v>
          </cell>
          <cell r="C28">
            <v>0</v>
          </cell>
          <cell r="D28">
            <v>0</v>
          </cell>
          <cell r="E28">
            <v>2.0094714460502487</v>
          </cell>
          <cell r="F28">
            <v>5.0323963564846936</v>
          </cell>
          <cell r="G28">
            <v>3.9750108039619256</v>
          </cell>
          <cell r="H28">
            <v>2.2336626472506516</v>
          </cell>
          <cell r="I28">
            <v>0</v>
          </cell>
          <cell r="J28">
            <v>3.9271071869932883</v>
          </cell>
          <cell r="K28">
            <v>0.53546844327608889</v>
          </cell>
        </row>
        <row r="30">
          <cell r="B30">
            <v>0.42828771529624654</v>
          </cell>
        </row>
        <row r="31">
          <cell r="B31">
            <v>1.3343263887046204</v>
          </cell>
        </row>
        <row r="33">
          <cell r="B33">
            <v>0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</row>
        <row r="34">
          <cell r="I34">
            <v>0</v>
          </cell>
        </row>
        <row r="38">
          <cell r="B38">
            <v>224.19865747446934</v>
          </cell>
          <cell r="C38">
            <v>159.27666307611551</v>
          </cell>
          <cell r="D38">
            <v>101.1625715227204</v>
          </cell>
          <cell r="E38">
            <v>638.46373839145849</v>
          </cell>
          <cell r="F38">
            <v>277.84955457054406</v>
          </cell>
          <cell r="G38">
            <v>61.352719230135776</v>
          </cell>
          <cell r="H38">
            <v>6.9847564066757309E-2</v>
          </cell>
          <cell r="I38">
            <v>0</v>
          </cell>
          <cell r="J38">
            <v>227.76614123967985</v>
          </cell>
          <cell r="K38">
            <v>455.41543013677489</v>
          </cell>
        </row>
        <row r="39">
          <cell r="B39">
            <v>0</v>
          </cell>
          <cell r="C39">
            <v>0</v>
          </cell>
          <cell r="D39">
            <v>0</v>
          </cell>
          <cell r="E39">
            <v>105.27604448374946</v>
          </cell>
          <cell r="F39">
            <v>356.75070321270164</v>
          </cell>
          <cell r="G39">
            <v>389.17053594065385</v>
          </cell>
          <cell r="H39">
            <v>1480.1615530131696</v>
          </cell>
          <cell r="I39">
            <v>0</v>
          </cell>
          <cell r="J39">
            <v>283.70155560006322</v>
          </cell>
          <cell r="K39">
            <v>7.2850027791754766</v>
          </cell>
        </row>
        <row r="41">
          <cell r="B41">
            <v>225.15941768554273</v>
          </cell>
          <cell r="C41">
            <v>264.13788265465422</v>
          </cell>
          <cell r="D41">
            <v>76.547863354898155</v>
          </cell>
          <cell r="E41">
            <v>250.51447871879574</v>
          </cell>
          <cell r="F41">
            <v>342.03485231273538</v>
          </cell>
          <cell r="G41">
            <v>99.110060196704424</v>
          </cell>
          <cell r="H41">
            <v>66.097643101669732</v>
          </cell>
          <cell r="I41">
            <v>111.35480597702409</v>
          </cell>
          <cell r="J41">
            <v>670.46300391050909</v>
          </cell>
          <cell r="K41">
            <v>108.0013131662545</v>
          </cell>
        </row>
        <row r="42">
          <cell r="B42">
            <v>29.876245284626936</v>
          </cell>
          <cell r="C42">
            <v>0</v>
          </cell>
          <cell r="D42">
            <v>5.7234227934785359E-2</v>
          </cell>
          <cell r="E42">
            <v>194.25630872990013</v>
          </cell>
          <cell r="F42">
            <v>438.50260680130782</v>
          </cell>
          <cell r="G42">
            <v>270.69343435831416</v>
          </cell>
          <cell r="H42">
            <v>1529.5438189019922</v>
          </cell>
          <cell r="I42">
            <v>3.2023833328910887</v>
          </cell>
          <cell r="J42">
            <v>164.84484921306293</v>
          </cell>
          <cell r="K42">
            <v>74.315844912933557</v>
          </cell>
        </row>
        <row r="44">
          <cell r="B44">
            <v>0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</row>
        <row r="45"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</row>
        <row r="46">
          <cell r="G46">
            <v>0</v>
          </cell>
        </row>
      </sheetData>
      <sheetData sheetId="11">
        <row r="13">
          <cell r="H13">
            <v>744</v>
          </cell>
          <cell r="I13">
            <v>8.4931506849315053E-2</v>
          </cell>
        </row>
        <row r="21">
          <cell r="B21">
            <v>174.13185483870967</v>
          </cell>
          <cell r="C21">
            <v>328.70658602150542</v>
          </cell>
          <cell r="D21">
            <v>140.03501344086021</v>
          </cell>
          <cell r="E21">
            <v>392.94946236559144</v>
          </cell>
          <cell r="F21">
            <v>51.023991935483856</v>
          </cell>
          <cell r="G21">
            <v>37.258064516129032</v>
          </cell>
          <cell r="H21">
            <v>0</v>
          </cell>
          <cell r="I21">
            <v>89.032258064516128</v>
          </cell>
          <cell r="J21">
            <v>28.487970430107527</v>
          </cell>
          <cell r="K21">
            <v>200.60665322580647</v>
          </cell>
        </row>
        <row r="22">
          <cell r="B22">
            <v>62.874126344086022</v>
          </cell>
          <cell r="C22">
            <v>0</v>
          </cell>
          <cell r="D22">
            <v>0</v>
          </cell>
          <cell r="E22">
            <v>69.025940860215044</v>
          </cell>
          <cell r="F22">
            <v>124.53870967741933</v>
          </cell>
          <cell r="G22">
            <v>138.86478494623654</v>
          </cell>
          <cell r="H22">
            <v>936.34731182795701</v>
          </cell>
          <cell r="I22">
            <v>0</v>
          </cell>
          <cell r="J22">
            <v>104.02708333333335</v>
          </cell>
          <cell r="K22">
            <v>6.7327284946236556</v>
          </cell>
        </row>
        <row r="24">
          <cell r="B24">
            <v>129.55410000000001</v>
          </cell>
          <cell r="C24">
            <v>244.55770000000001</v>
          </cell>
          <cell r="D24">
            <v>104.18605000000001</v>
          </cell>
          <cell r="E24">
            <v>292.3544</v>
          </cell>
          <cell r="F24">
            <v>37.961849999999991</v>
          </cell>
          <cell r="G24">
            <v>27.72</v>
          </cell>
          <cell r="H24">
            <v>0</v>
          </cell>
          <cell r="I24">
            <v>66.239999999999995</v>
          </cell>
          <cell r="J24">
            <v>21.195049999999998</v>
          </cell>
          <cell r="K24">
            <v>149.25135</v>
          </cell>
        </row>
        <row r="25">
          <cell r="B25">
            <v>46.778349999999996</v>
          </cell>
          <cell r="C25">
            <v>0</v>
          </cell>
          <cell r="D25">
            <v>0</v>
          </cell>
          <cell r="E25">
            <v>51.355299999999993</v>
          </cell>
          <cell r="F25">
            <v>92.65679999999999</v>
          </cell>
          <cell r="G25">
            <v>103.3154</v>
          </cell>
          <cell r="H25">
            <v>696.64240000000007</v>
          </cell>
          <cell r="I25">
            <v>0</v>
          </cell>
          <cell r="J25">
            <v>77.396150000000006</v>
          </cell>
          <cell r="K25">
            <v>5.00915</v>
          </cell>
        </row>
        <row r="27">
          <cell r="B27">
            <v>1.7487942797638962</v>
          </cell>
          <cell r="C27">
            <v>2.3863975708955145</v>
          </cell>
          <cell r="D27">
            <v>2.5108733357434359</v>
          </cell>
          <cell r="E27">
            <v>1.9617080700101124</v>
          </cell>
          <cell r="F27">
            <v>0.5525122822516495</v>
          </cell>
          <cell r="G27">
            <v>0.90979865188517783</v>
          </cell>
          <cell r="H27">
            <v>0</v>
          </cell>
          <cell r="I27">
            <v>0.41667329582619017</v>
          </cell>
          <cell r="J27">
            <v>0.1313916105668391</v>
          </cell>
          <cell r="K27">
            <v>3.2042014830375121</v>
          </cell>
        </row>
        <row r="28">
          <cell r="B28">
            <v>0</v>
          </cell>
          <cell r="C28">
            <v>0</v>
          </cell>
          <cell r="D28">
            <v>0</v>
          </cell>
          <cell r="E28">
            <v>0.63256152590648618</v>
          </cell>
          <cell r="F28">
            <v>1.7324595375792993</v>
          </cell>
          <cell r="G28">
            <v>2.4817344293720569</v>
          </cell>
          <cell r="H28">
            <v>2.8942445938529207</v>
          </cell>
          <cell r="I28">
            <v>0</v>
          </cell>
          <cell r="J28">
            <v>4.1237056043810227</v>
          </cell>
          <cell r="K28">
            <v>0.52872588891359051</v>
          </cell>
        </row>
        <row r="30">
          <cell r="B30">
            <v>0.44480955117123483</v>
          </cell>
        </row>
        <row r="31">
          <cell r="B31">
            <v>1.3858000145185079</v>
          </cell>
        </row>
        <row r="33">
          <cell r="B33">
            <v>0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</row>
        <row r="34">
          <cell r="I34">
            <v>0</v>
          </cell>
        </row>
        <row r="38">
          <cell r="B38">
            <v>227.48590706959143</v>
          </cell>
          <cell r="C38">
            <v>565.39132521677288</v>
          </cell>
          <cell r="D38">
            <v>255.76400858687774</v>
          </cell>
          <cell r="E38">
            <v>567.03752275159343</v>
          </cell>
          <cell r="F38">
            <v>31.896180217079007</v>
          </cell>
          <cell r="G38">
            <v>25.753879432873422</v>
          </cell>
          <cell r="H38">
            <v>0</v>
          </cell>
          <cell r="I38">
            <v>52.501306279297822</v>
          </cell>
          <cell r="J38">
            <v>14.897916599087392</v>
          </cell>
          <cell r="K38">
            <v>464.74047767666383</v>
          </cell>
        </row>
        <row r="39">
          <cell r="B39">
            <v>0</v>
          </cell>
          <cell r="C39">
            <v>0</v>
          </cell>
          <cell r="D39">
            <v>0</v>
          </cell>
          <cell r="E39">
            <v>29.804732695484088</v>
          </cell>
          <cell r="F39">
            <v>156.44972628317146</v>
          </cell>
          <cell r="G39">
            <v>252.94143094606059</v>
          </cell>
          <cell r="H39">
            <v>1942.8677359926282</v>
          </cell>
          <cell r="I39">
            <v>0</v>
          </cell>
          <cell r="J39">
            <v>311.44588536803496</v>
          </cell>
          <cell r="K39">
            <v>2.0631289510884274</v>
          </cell>
        </row>
        <row r="41">
          <cell r="B41">
            <v>233.8452772417416</v>
          </cell>
          <cell r="C41">
            <v>274.3273944938357</v>
          </cell>
          <cell r="D41">
            <v>79.500811080834822</v>
          </cell>
          <cell r="E41">
            <v>260.17844748062976</v>
          </cell>
          <cell r="F41">
            <v>355.22935566085977</v>
          </cell>
          <cell r="G41">
            <v>102.93337823653546</v>
          </cell>
          <cell r="H41">
            <v>68.647458032256679</v>
          </cell>
          <cell r="I41">
            <v>115.65048330452107</v>
          </cell>
          <cell r="J41">
            <v>696.32711188100961</v>
          </cell>
          <cell r="K41">
            <v>112.16762451885027</v>
          </cell>
        </row>
        <row r="42">
          <cell r="B42">
            <v>31.02876589991488</v>
          </cell>
          <cell r="C42">
            <v>0</v>
          </cell>
          <cell r="D42">
            <v>5.9442123437265765E-2</v>
          </cell>
          <cell r="E42">
            <v>201.75003487681164</v>
          </cell>
          <cell r="F42">
            <v>455.41849731503504</v>
          </cell>
          <cell r="G42">
            <v>281.13583635859442</v>
          </cell>
          <cell r="H42">
            <v>1588.5482475534693</v>
          </cell>
          <cell r="I42">
            <v>3.325920034844418</v>
          </cell>
          <cell r="J42">
            <v>171.20398454724253</v>
          </cell>
          <cell r="K42">
            <v>77.182689206408753</v>
          </cell>
        </row>
        <row r="44">
          <cell r="B44">
            <v>0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</row>
        <row r="45"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</row>
        <row r="46">
          <cell r="G46">
            <v>0</v>
          </cell>
        </row>
      </sheetData>
      <sheetData sheetId="12">
        <row r="13">
          <cell r="H13">
            <v>720</v>
          </cell>
          <cell r="I13">
            <v>8.2191780821917804E-2</v>
          </cell>
        </row>
        <row r="21">
          <cell r="B21">
            <v>173.56430555555556</v>
          </cell>
          <cell r="C21">
            <v>339.10027777777776</v>
          </cell>
          <cell r="D21">
            <v>142.21305555555554</v>
          </cell>
          <cell r="E21">
            <v>395.26583333333338</v>
          </cell>
          <cell r="F21">
            <v>51.438472222222217</v>
          </cell>
          <cell r="G21">
            <v>35.93333333333333</v>
          </cell>
          <cell r="H21">
            <v>0</v>
          </cell>
          <cell r="I21">
            <v>98.816666666666649</v>
          </cell>
          <cell r="J21">
            <v>31.46555555555555</v>
          </cell>
          <cell r="K21">
            <v>205.31430555555553</v>
          </cell>
        </row>
        <row r="22">
          <cell r="B22">
            <v>63.123750000000001</v>
          </cell>
          <cell r="C22">
            <v>0</v>
          </cell>
          <cell r="D22">
            <v>0</v>
          </cell>
          <cell r="E22">
            <v>70.910694444444445</v>
          </cell>
          <cell r="F22">
            <v>127.61750000000001</v>
          </cell>
          <cell r="G22">
            <v>141.99944444444444</v>
          </cell>
          <cell r="H22">
            <v>956.57513888888889</v>
          </cell>
          <cell r="I22">
            <v>0</v>
          </cell>
          <cell r="J22">
            <v>105.97083333333333</v>
          </cell>
          <cell r="K22">
            <v>7.0966666666666658</v>
          </cell>
        </row>
        <row r="24">
          <cell r="B24">
            <v>124.9663</v>
          </cell>
          <cell r="C24">
            <v>244.15219999999999</v>
          </cell>
          <cell r="D24">
            <v>102.3934</v>
          </cell>
          <cell r="E24">
            <v>284.59140000000002</v>
          </cell>
          <cell r="F24">
            <v>37.035699999999999</v>
          </cell>
          <cell r="G24">
            <v>25.872</v>
          </cell>
          <cell r="H24">
            <v>0</v>
          </cell>
          <cell r="I24">
            <v>71.147999999999982</v>
          </cell>
          <cell r="J24">
            <v>22.655199999999997</v>
          </cell>
          <cell r="K24">
            <v>147.82629999999997</v>
          </cell>
        </row>
        <row r="25">
          <cell r="B25">
            <v>45.449100000000001</v>
          </cell>
          <cell r="C25">
            <v>0</v>
          </cell>
          <cell r="D25">
            <v>0</v>
          </cell>
          <cell r="E25">
            <v>51.055699999999995</v>
          </cell>
          <cell r="F25">
            <v>91.884600000000006</v>
          </cell>
          <cell r="G25">
            <v>102.2396</v>
          </cell>
          <cell r="H25">
            <v>688.73410000000001</v>
          </cell>
          <cell r="I25">
            <v>0</v>
          </cell>
          <cell r="J25">
            <v>76.299000000000007</v>
          </cell>
          <cell r="K25">
            <v>5.1095999999999995</v>
          </cell>
        </row>
        <row r="27">
          <cell r="B27">
            <v>1.707059764172729</v>
          </cell>
          <cell r="C27">
            <v>2.3422726120479918</v>
          </cell>
          <cell r="D27">
            <v>2.4377758045738838</v>
          </cell>
          <cell r="E27">
            <v>1.9150962143390851</v>
          </cell>
          <cell r="F27">
            <v>0.54666082789108017</v>
          </cell>
          <cell r="G27">
            <v>0.89054878518925484</v>
          </cell>
          <cell r="H27">
            <v>0</v>
          </cell>
          <cell r="I27">
            <v>0.45050916985907541</v>
          </cell>
          <cell r="J27">
            <v>0.14934846401097376</v>
          </cell>
          <cell r="K27">
            <v>3.1215315387270897</v>
          </cell>
        </row>
        <row r="28">
          <cell r="B28">
            <v>0</v>
          </cell>
          <cell r="C28">
            <v>0</v>
          </cell>
          <cell r="D28">
            <v>0</v>
          </cell>
          <cell r="E28">
            <v>0.62796004920168569</v>
          </cell>
          <cell r="F28">
            <v>1.7022197474943583</v>
          </cell>
          <cell r="G28">
            <v>2.4445100872149146</v>
          </cell>
          <cell r="H28">
            <v>2.8157621943539346</v>
          </cell>
          <cell r="I28">
            <v>0</v>
          </cell>
          <cell r="J28">
            <v>4.054011517952353</v>
          </cell>
          <cell r="K28">
            <v>0.48403432480146574</v>
          </cell>
        </row>
        <row r="30">
          <cell r="B30">
            <v>0.42792783856156008</v>
          </cell>
        </row>
        <row r="31">
          <cell r="B31">
            <v>1.3409159073603485</v>
          </cell>
        </row>
        <row r="33">
          <cell r="B33">
            <v>0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</row>
        <row r="34">
          <cell r="I34">
            <v>0</v>
          </cell>
        </row>
        <row r="38">
          <cell r="B38">
            <v>214.10729938131283</v>
          </cell>
          <cell r="C38">
            <v>558.65623564316184</v>
          </cell>
          <cell r="D38">
            <v>245.32491489164855</v>
          </cell>
          <cell r="E38">
            <v>539.13581079632002</v>
          </cell>
          <cell r="F38">
            <v>30.041257549402317</v>
          </cell>
          <cell r="G38">
            <v>23.437107757289045</v>
          </cell>
          <cell r="H38">
            <v>0</v>
          </cell>
          <cell r="I38">
            <v>55.754778146553235</v>
          </cell>
          <cell r="J38">
            <v>16.387708258996131</v>
          </cell>
          <cell r="K38">
            <v>451.77931620278486</v>
          </cell>
        </row>
        <row r="39">
          <cell r="B39">
            <v>0</v>
          </cell>
          <cell r="C39">
            <v>0</v>
          </cell>
          <cell r="D39">
            <v>0</v>
          </cell>
          <cell r="E39">
            <v>29.42372596306534</v>
          </cell>
          <cell r="F39">
            <v>153.32629463088375</v>
          </cell>
          <cell r="G39">
            <v>247.30960043846184</v>
          </cell>
          <cell r="H39">
            <v>1874.2542177517644</v>
          </cell>
          <cell r="I39">
            <v>0</v>
          </cell>
          <cell r="J39">
            <v>302.64920519049701</v>
          </cell>
          <cell r="K39">
            <v>2.0223687922344435</v>
          </cell>
        </row>
        <row r="41">
          <cell r="B41">
            <v>233.48170799757276</v>
          </cell>
          <cell r="C41">
            <v>263.91593587607099</v>
          </cell>
          <cell r="D41">
            <v>76.48354258610766</v>
          </cell>
          <cell r="E41">
            <v>254.5832576448818</v>
          </cell>
          <cell r="F41">
            <v>341.74745115364743</v>
          </cell>
          <cell r="G41">
            <v>99.026781121530618</v>
          </cell>
          <cell r="H41">
            <v>66.042103325205574</v>
          </cell>
          <cell r="I41">
            <v>111.26123802600561</v>
          </cell>
          <cell r="J41">
            <v>669.89963487619411</v>
          </cell>
          <cell r="K41">
            <v>107.91056305006859</v>
          </cell>
        </row>
        <row r="42">
          <cell r="B42">
            <v>30.023787952847186</v>
          </cell>
          <cell r="C42">
            <v>0</v>
          </cell>
          <cell r="D42">
            <v>5.7516876929750257E-2</v>
          </cell>
          <cell r="E42">
            <v>195.21563590892066</v>
          </cell>
          <cell r="F42">
            <v>440.6681347655026</v>
          </cell>
          <cell r="G42">
            <v>272.03024329111133</v>
          </cell>
          <cell r="H42">
            <v>1537.0974111974981</v>
          </cell>
          <cell r="I42">
            <v>3.2181981776648376</v>
          </cell>
          <cell r="J42">
            <v>165.65892905018939</v>
          </cell>
          <cell r="K42">
            <v>74.68285080490682</v>
          </cell>
        </row>
        <row r="44">
          <cell r="B44">
            <v>0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</row>
        <row r="45"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</row>
        <row r="46">
          <cell r="G46">
            <v>0</v>
          </cell>
        </row>
      </sheetData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"/>
      <sheetName val="Nod"/>
      <sheetName val="Ram"/>
      <sheetName val="%USO"/>
      <sheetName val="Dias"/>
      <sheetName val="ENERGIA"/>
      <sheetName val="ENSA"/>
      <sheetName val="1. DatosFijos"/>
    </sheetNames>
    <sheetDataSet>
      <sheetData sheetId="0">
        <row r="1">
          <cell r="B1">
            <v>2</v>
          </cell>
          <cell r="C1" t="str">
            <v>2026-2027</v>
          </cell>
        </row>
        <row r="3">
          <cell r="B3">
            <v>113135.2823941994</v>
          </cell>
          <cell r="D3">
            <v>3473.2899999999995</v>
          </cell>
        </row>
        <row r="4">
          <cell r="B4">
            <v>96758.949551361264</v>
          </cell>
          <cell r="D4">
            <v>3198.5299999999993</v>
          </cell>
          <cell r="F4">
            <v>30.251068319309585</v>
          </cell>
        </row>
        <row r="5">
          <cell r="B5">
            <v>16376.332842838136</v>
          </cell>
          <cell r="D5">
            <v>274.76000000000005</v>
          </cell>
          <cell r="F5">
            <v>59.602317814958994</v>
          </cell>
        </row>
        <row r="7">
          <cell r="C7">
            <v>1</v>
          </cell>
          <cell r="D7">
            <v>0</v>
          </cell>
          <cell r="E7">
            <v>1</v>
          </cell>
          <cell r="F7">
            <v>0</v>
          </cell>
          <cell r="G7" t="str">
            <v>(230 kV)</v>
          </cell>
        </row>
        <row r="11">
          <cell r="B11">
            <v>792.31</v>
          </cell>
          <cell r="C11">
            <v>730.88000000000011</v>
          </cell>
          <cell r="D11">
            <v>178.73000000000005</v>
          </cell>
          <cell r="E11">
            <v>654.92099999999982</v>
          </cell>
          <cell r="F11">
            <v>992.00999999999988</v>
          </cell>
          <cell r="G11">
            <v>321.21000000000004</v>
          </cell>
          <cell r="H11">
            <v>154.33000000000001</v>
          </cell>
          <cell r="I11">
            <v>260</v>
          </cell>
          <cell r="J11">
            <v>1565.45</v>
          </cell>
          <cell r="K11">
            <v>252.17</v>
          </cell>
        </row>
        <row r="12">
          <cell r="B12">
            <v>23.22833208939743</v>
          </cell>
          <cell r="C12">
            <v>0</v>
          </cell>
          <cell r="D12">
            <v>4.4498752794533518E-2</v>
          </cell>
          <cell r="E12">
            <v>149.24856701236146</v>
          </cell>
          <cell r="F12">
            <v>335.29745997501783</v>
          </cell>
          <cell r="G12">
            <v>226.53232313925443</v>
          </cell>
          <cell r="H12">
            <v>1185.2618253598105</v>
          </cell>
          <cell r="I12">
            <v>1.31</v>
          </cell>
          <cell r="J12">
            <v>125.84747418222581</v>
          </cell>
          <cell r="K12">
            <v>57.779453498797743</v>
          </cell>
        </row>
      </sheetData>
      <sheetData sheetId="1"/>
      <sheetData sheetId="2"/>
      <sheetData sheetId="3"/>
      <sheetData sheetId="4"/>
      <sheetData sheetId="5"/>
      <sheetData sheetId="6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01-2008Contraloría Historico"/>
      <sheetName val="2001-08Contraloría Estruc. Hist"/>
      <sheetName val="PIB Estructural TRIM 2005-09"/>
      <sheetName val="Pronosticos Publicados 2009-10 "/>
      <sheetName val="PIB Mundial vs Panama"/>
      <sheetName val="PIB 2009 Estimado "/>
      <sheetName val="PIB 2009, tres metodologías (M)"/>
      <sheetName val="PIB Estructural 2009 Esti  (M)"/>
      <sheetName val="Variacion PIB por Act 2001-08"/>
      <sheetName val="Analisis IMAE 2008"/>
      <sheetName val="Analisis IMAE 2008 Anexo"/>
      <sheetName val="PIB Estructural II Trim 2009 "/>
      <sheetName val="Impuestos Netos"/>
      <sheetName val="PIB Estructural III Trim 2008 "/>
      <sheetName val="PIB Estructural III Trim2008Mod"/>
      <sheetName val="Var.  Estructural 2010  Mod"/>
      <sheetName val="PIB Estructural 2010 Estima 09 "/>
      <sheetName val="PIB Estructural 2010 Estima (2)"/>
      <sheetName val="Variacion PIB- Esc. Exp. Canal"/>
      <sheetName val="Tasas PIB INTRACORP"/>
      <sheetName val="Comp.Tasas PIB INTRACORP- Real "/>
      <sheetName val="Tasas PIB INTRACORP (2)"/>
      <sheetName val="Premisas Escenarios"/>
      <sheetName val="Estimacion PIB 2010-2024"/>
      <sheetName val="Pronosticos 2010-24 %"/>
      <sheetName val="Estimacion PIB 2010-2024 (2)"/>
      <sheetName val="Pronosticos 2010-24 % (2)"/>
      <sheetName val="Estimacion PIB 2010-2024 (3)"/>
      <sheetName val="Hoja5"/>
      <sheetName val="Hoja1"/>
      <sheetName val="Pronosticos 2010-24 % (3)"/>
      <sheetName val="Gráfico TASAS 2009-2024"/>
      <sheetName val="Tasas PIB INTRACORP (3)"/>
      <sheetName val="Empalme de Bases 96-82"/>
      <sheetName val="Empalme de Bases 96-82 (2)"/>
      <sheetName val="Hoja2"/>
      <sheetName val="Mat.  Cons.  2002-2006"/>
      <sheetName val="Produccion fisica Man 2002-06"/>
      <sheetName val="Carac.Consumo Sector Ind."/>
      <sheetName val="Evalua Estimado 2006"/>
      <sheetName val="industria-Algunos indicadores"/>
      <sheetName val="PIB MANUFACTURA"/>
      <sheetName val="Est. PIB MANUFACTURA ACP1996Mod"/>
      <sheetName val="Est. PIB MANUFACTURA ACP1996Mo2"/>
      <sheetName val="Est. PIB MANUFACTURA EMPALMEMod"/>
      <sheetName val="Hoja3"/>
    </sheetNames>
    <sheetDataSet>
      <sheetData sheetId="0">
        <row r="13">
          <cell r="D13">
            <v>588.29999999999995</v>
          </cell>
        </row>
      </sheetData>
      <sheetData sheetId="1"/>
      <sheetData sheetId="2">
        <row r="11">
          <cell r="AD11">
            <v>-0.12450884086444014</v>
          </cell>
        </row>
      </sheetData>
      <sheetData sheetId="3">
        <row r="41">
          <cell r="AH41">
            <v>6.5</v>
          </cell>
        </row>
      </sheetData>
      <sheetData sheetId="4"/>
      <sheetData sheetId="5"/>
      <sheetData sheetId="6">
        <row r="7">
          <cell r="AG7">
            <v>2.8234922146866938E-2</v>
          </cell>
        </row>
      </sheetData>
      <sheetData sheetId="7"/>
      <sheetData sheetId="8"/>
      <sheetData sheetId="9"/>
      <sheetData sheetId="10"/>
      <sheetData sheetId="11">
        <row r="12">
          <cell r="L12">
            <v>628.56387938206308</v>
          </cell>
        </row>
      </sheetData>
      <sheetData sheetId="12">
        <row r="27">
          <cell r="N27">
            <v>0.30833039181080124</v>
          </cell>
        </row>
      </sheetData>
      <sheetData sheetId="13">
        <row r="12">
          <cell r="L12">
            <v>3.9071116992456238E-2</v>
          </cell>
        </row>
      </sheetData>
      <sheetData sheetId="14"/>
      <sheetData sheetId="15"/>
      <sheetData sheetId="16">
        <row r="42">
          <cell r="K42">
            <v>20553.983233636332</v>
          </cell>
        </row>
      </sheetData>
      <sheetData sheetId="17">
        <row r="17">
          <cell r="K17">
            <v>1177.7581370070111</v>
          </cell>
        </row>
      </sheetData>
      <sheetData sheetId="18"/>
      <sheetData sheetId="19">
        <row r="19">
          <cell r="F19">
            <v>2.3443464982300322</v>
          </cell>
        </row>
      </sheetData>
      <sheetData sheetId="20"/>
      <sheetData sheetId="21"/>
      <sheetData sheetId="22"/>
      <sheetData sheetId="23">
        <row r="19">
          <cell r="L19">
            <v>1.7827949547141397E-2</v>
          </cell>
        </row>
      </sheetData>
      <sheetData sheetId="24"/>
      <sheetData sheetId="25"/>
      <sheetData sheetId="26"/>
      <sheetData sheetId="27">
        <row r="17">
          <cell r="L17">
            <v>19411.451970000002</v>
          </cell>
        </row>
      </sheetData>
      <sheetData sheetId="28"/>
      <sheetData sheetId="29"/>
      <sheetData sheetId="30"/>
      <sheetData sheetId="31" refreshError="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sumen"/>
      <sheetName val="M01"/>
      <sheetName val="M02"/>
      <sheetName val="M03"/>
      <sheetName val="M04"/>
      <sheetName val="M05"/>
      <sheetName val="M06"/>
      <sheetName val="M07"/>
      <sheetName val="M08"/>
      <sheetName val="M09"/>
      <sheetName val="M10"/>
      <sheetName val="M11"/>
      <sheetName val="M12"/>
    </sheetNames>
    <sheetDataSet>
      <sheetData sheetId="0" refreshError="1"/>
      <sheetData sheetId="1">
        <row r="13">
          <cell r="H13">
            <v>744</v>
          </cell>
          <cell r="I13">
            <v>8.4931506849315067E-2</v>
          </cell>
        </row>
        <row r="21">
          <cell r="B21">
            <v>201.73830645161289</v>
          </cell>
          <cell r="C21">
            <v>304.99737903225815</v>
          </cell>
          <cell r="D21">
            <v>137.76196236559139</v>
          </cell>
          <cell r="E21">
            <v>410.52150537634407</v>
          </cell>
          <cell r="F21">
            <v>86.875940860215053</v>
          </cell>
          <cell r="G21">
            <v>35.838709677419352</v>
          </cell>
          <cell r="H21">
            <v>0</v>
          </cell>
          <cell r="I21">
            <v>61.471774193548384</v>
          </cell>
          <cell r="J21">
            <v>38.312029569892474</v>
          </cell>
          <cell r="K21">
            <v>190.67809139784941</v>
          </cell>
        </row>
        <row r="22">
          <cell r="B22">
            <v>29.171236559139782</v>
          </cell>
          <cell r="C22">
            <v>0</v>
          </cell>
          <cell r="D22">
            <v>0</v>
          </cell>
          <cell r="E22">
            <v>77.266801075268816</v>
          </cell>
          <cell r="F22">
            <v>97.631922043010746</v>
          </cell>
          <cell r="G22">
            <v>145.55033602150536</v>
          </cell>
          <cell r="H22">
            <v>981.1554435483871</v>
          </cell>
          <cell r="I22">
            <v>0</v>
          </cell>
          <cell r="J22">
            <v>131.59623655913978</v>
          </cell>
          <cell r="K22">
            <v>6.0118951612903233</v>
          </cell>
        </row>
        <row r="24">
          <cell r="B24">
            <v>150.0933</v>
          </cell>
          <cell r="C24">
            <v>226.91805000000005</v>
          </cell>
          <cell r="D24">
            <v>102.4949</v>
          </cell>
          <cell r="E24">
            <v>305.428</v>
          </cell>
          <cell r="F24">
            <v>64.6357</v>
          </cell>
          <cell r="G24">
            <v>26.664000000000001</v>
          </cell>
          <cell r="H24">
            <v>0</v>
          </cell>
          <cell r="I24">
            <v>45.734999999999999</v>
          </cell>
          <cell r="J24">
            <v>28.504150000000003</v>
          </cell>
          <cell r="K24">
            <v>141.86449999999996</v>
          </cell>
        </row>
        <row r="25">
          <cell r="B25">
            <v>21.703399999999998</v>
          </cell>
          <cell r="C25">
            <v>0</v>
          </cell>
          <cell r="D25">
            <v>0</v>
          </cell>
          <cell r="E25">
            <v>57.486499999999999</v>
          </cell>
          <cell r="F25">
            <v>72.638149999999996</v>
          </cell>
          <cell r="G25">
            <v>108.28945</v>
          </cell>
          <cell r="H25">
            <v>729.97964999999999</v>
          </cell>
          <cell r="I25">
            <v>0</v>
          </cell>
          <cell r="J25">
            <v>97.907600000000002</v>
          </cell>
          <cell r="K25">
            <v>4.4728500000000002</v>
          </cell>
        </row>
        <row r="27">
          <cell r="B27">
            <v>1.802440877815594</v>
          </cell>
          <cell r="C27">
            <v>1.9129829883944647</v>
          </cell>
          <cell r="D27">
            <v>2.2380620791336328</v>
          </cell>
          <cell r="E27">
            <v>1.5517926030053832</v>
          </cell>
          <cell r="F27">
            <v>0.41242502365280598</v>
          </cell>
          <cell r="G27">
            <v>0.6286257276798678</v>
          </cell>
          <cell r="H27">
            <v>0</v>
          </cell>
          <cell r="I27">
            <v>0.51359697260848491</v>
          </cell>
          <cell r="J27">
            <v>0.59396866750629984</v>
          </cell>
          <cell r="K27">
            <v>2.8380865124093542</v>
          </cell>
        </row>
        <row r="28">
          <cell r="B28">
            <v>0</v>
          </cell>
          <cell r="C28">
            <v>0</v>
          </cell>
          <cell r="D28">
            <v>0</v>
          </cell>
          <cell r="E28">
            <v>0.55780759842517924</v>
          </cell>
          <cell r="F28">
            <v>1.5490996857887531</v>
          </cell>
          <cell r="G28">
            <v>2.1067348617827961</v>
          </cell>
          <cell r="H28">
            <v>2.3842790446022764</v>
          </cell>
          <cell r="I28">
            <v>0</v>
          </cell>
          <cell r="J28">
            <v>2.4645154206209647</v>
          </cell>
          <cell r="K28">
            <v>0.63793064627979623</v>
          </cell>
        </row>
        <row r="30">
          <cell r="B30">
            <v>0.45868714396450982</v>
          </cell>
        </row>
        <row r="31">
          <cell r="B31">
            <v>1.4224781177564414</v>
          </cell>
        </row>
        <row r="33">
          <cell r="B33">
            <v>0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</row>
        <row r="34">
          <cell r="I34">
            <v>0</v>
          </cell>
        </row>
        <row r="38">
          <cell r="B38">
            <v>267.90384617521994</v>
          </cell>
          <cell r="C38">
            <v>424.54713862809751</v>
          </cell>
          <cell r="D38">
            <v>222.26096756505197</v>
          </cell>
          <cell r="E38">
            <v>463.95605397032233</v>
          </cell>
          <cell r="F38">
            <v>40.661864960444682</v>
          </cell>
          <cell r="G38">
            <v>17.090442161117803</v>
          </cell>
          <cell r="H38">
            <v>0</v>
          </cell>
          <cell r="I38">
            <v>37.023962626160682</v>
          </cell>
          <cell r="J38">
            <v>15.226828877000816</v>
          </cell>
          <cell r="K38">
            <v>385.89494026768079</v>
          </cell>
        </row>
        <row r="39">
          <cell r="B39">
            <v>0</v>
          </cell>
          <cell r="C39">
            <v>0</v>
          </cell>
          <cell r="D39">
            <v>0</v>
          </cell>
          <cell r="E39">
            <v>28.936310091440763</v>
          </cell>
          <cell r="F39">
            <v>108.92944251263573</v>
          </cell>
          <cell r="G39">
            <v>224.92507640660173</v>
          </cell>
          <cell r="H39">
            <v>1691.7703018042089</v>
          </cell>
          <cell r="I39">
            <v>0</v>
          </cell>
          <cell r="J39">
            <v>234.67171017709563</v>
          </cell>
          <cell r="K39">
            <v>1.9034365126912913</v>
          </cell>
        </row>
        <row r="41">
          <cell r="B41">
            <v>251.18166690640521</v>
          </cell>
          <cell r="C41">
            <v>319.58109381439306</v>
          </cell>
          <cell r="D41">
            <v>81.981153240776848</v>
          </cell>
          <cell r="E41">
            <v>300.40384301238066</v>
          </cell>
          <cell r="F41">
            <v>366.31214004149717</v>
          </cell>
          <cell r="G41">
            <v>106.14479198482722</v>
          </cell>
          <cell r="H41">
            <v>70.78918692804281</v>
          </cell>
          <cell r="I41">
            <v>119.25865743077256</v>
          </cell>
          <cell r="J41">
            <v>718.05178951924177</v>
          </cell>
          <cell r="K41">
            <v>115.66713709353044</v>
          </cell>
        </row>
        <row r="42">
          <cell r="B42">
            <v>33.041794109147602</v>
          </cell>
          <cell r="C42">
            <v>0</v>
          </cell>
          <cell r="D42">
            <v>6.3298502117677222E-2</v>
          </cell>
          <cell r="E42">
            <v>212.30282068159005</v>
          </cell>
          <cell r="F42">
            <v>476.95329975377911</v>
          </cell>
          <cell r="G42">
            <v>322.23727263012063</v>
          </cell>
          <cell r="H42">
            <v>1686.0090103863868</v>
          </cell>
          <cell r="I42">
            <v>1.8634463342609384</v>
          </cell>
          <cell r="J42">
            <v>179.01527819913488</v>
          </cell>
          <cell r="K42">
            <v>82.190008257965658</v>
          </cell>
        </row>
        <row r="44">
          <cell r="B44">
            <v>0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</row>
        <row r="45"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</row>
        <row r="46">
          <cell r="G46">
            <v>0</v>
          </cell>
        </row>
      </sheetData>
      <sheetData sheetId="2">
        <row r="13">
          <cell r="H13">
            <v>744</v>
          </cell>
          <cell r="I13">
            <v>8.493150684931508E-2</v>
          </cell>
        </row>
        <row r="21">
          <cell r="B21">
            <v>199.94892473118279</v>
          </cell>
          <cell r="C21">
            <v>300.59516129032255</v>
          </cell>
          <cell r="D21">
            <v>135.22016129032258</v>
          </cell>
          <cell r="E21">
            <v>406.21646505376344</v>
          </cell>
          <cell r="F21">
            <v>87.731384408602139</v>
          </cell>
          <cell r="G21">
            <v>36.548387096774192</v>
          </cell>
          <cell r="H21">
            <v>0</v>
          </cell>
          <cell r="I21">
            <v>56.704301075268816</v>
          </cell>
          <cell r="J21">
            <v>37.597849462365588</v>
          </cell>
          <cell r="K21">
            <v>186.04448924731179</v>
          </cell>
        </row>
        <row r="22">
          <cell r="B22">
            <v>29.293212365591401</v>
          </cell>
          <cell r="C22">
            <v>0</v>
          </cell>
          <cell r="D22">
            <v>0</v>
          </cell>
          <cell r="E22">
            <v>75.869959677419359</v>
          </cell>
          <cell r="F22">
            <v>96.622715053763443</v>
          </cell>
          <cell r="G22">
            <v>143.06760752688172</v>
          </cell>
          <cell r="H22">
            <v>966.13857526881702</v>
          </cell>
          <cell r="I22">
            <v>0</v>
          </cell>
          <cell r="J22">
            <v>129.9307123655914</v>
          </cell>
          <cell r="K22">
            <v>5.8674731182795696</v>
          </cell>
        </row>
        <row r="24">
          <cell r="B24">
            <v>148.762</v>
          </cell>
          <cell r="C24">
            <v>223.64279999999999</v>
          </cell>
          <cell r="D24">
            <v>100.60380000000001</v>
          </cell>
          <cell r="E24">
            <v>302.22505000000001</v>
          </cell>
          <cell r="F24">
            <v>65.272149999999996</v>
          </cell>
          <cell r="G24">
            <v>27.192</v>
          </cell>
          <cell r="H24">
            <v>0</v>
          </cell>
          <cell r="I24">
            <v>42.188000000000002</v>
          </cell>
          <cell r="J24">
            <v>27.972799999999999</v>
          </cell>
          <cell r="K24">
            <v>138.41709999999998</v>
          </cell>
        </row>
        <row r="25">
          <cell r="B25">
            <v>21.794150000000002</v>
          </cell>
          <cell r="C25">
            <v>0</v>
          </cell>
          <cell r="D25">
            <v>0</v>
          </cell>
          <cell r="E25">
            <v>56.447249999999997</v>
          </cell>
          <cell r="F25">
            <v>71.887299999999996</v>
          </cell>
          <cell r="G25">
            <v>106.4423</v>
          </cell>
          <cell r="H25">
            <v>718.80709999999988</v>
          </cell>
          <cell r="I25">
            <v>0</v>
          </cell>
          <cell r="J25">
            <v>96.668449999999993</v>
          </cell>
          <cell r="K25">
            <v>4.3653999999999993</v>
          </cell>
        </row>
        <row r="27">
          <cell r="B27">
            <v>1.8311549543322705</v>
          </cell>
          <cell r="C27">
            <v>1.9471186829172302</v>
          </cell>
          <cell r="D27">
            <v>2.2913741429577983</v>
          </cell>
          <cell r="E27">
            <v>1.5821892992194244</v>
          </cell>
          <cell r="F27">
            <v>0.41923205638714051</v>
          </cell>
          <cell r="G27">
            <v>0.6398255754868355</v>
          </cell>
          <cell r="H27">
            <v>0</v>
          </cell>
          <cell r="I27">
            <v>0.4839040228646086</v>
          </cell>
          <cell r="J27">
            <v>0.60356747162633784</v>
          </cell>
          <cell r="K27">
            <v>2.9032121574514913</v>
          </cell>
        </row>
        <row r="28">
          <cell r="B28">
            <v>0</v>
          </cell>
          <cell r="C28">
            <v>0</v>
          </cell>
          <cell r="D28">
            <v>0</v>
          </cell>
          <cell r="E28">
            <v>0.56604802996175252</v>
          </cell>
          <cell r="F28">
            <v>1.5702992372386062</v>
          </cell>
          <cell r="G28">
            <v>2.1352502238691011</v>
          </cell>
          <cell r="H28">
            <v>2.4277849548000212</v>
          </cell>
          <cell r="I28">
            <v>0</v>
          </cell>
          <cell r="J28">
            <v>2.5039814208758213</v>
          </cell>
          <cell r="K28">
            <v>0.67025618441350354</v>
          </cell>
        </row>
        <row r="30">
          <cell r="B30">
            <v>0.45869156372885639</v>
          </cell>
        </row>
        <row r="31">
          <cell r="B31">
            <v>1.422491824305995</v>
          </cell>
        </row>
        <row r="33">
          <cell r="B33">
            <v>0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</row>
        <row r="34">
          <cell r="I34">
            <v>0</v>
          </cell>
        </row>
        <row r="38">
          <cell r="B38">
            <v>269.34369108820141</v>
          </cell>
          <cell r="C38">
            <v>423.5823638598095</v>
          </cell>
          <cell r="D38">
            <v>222.10287466674745</v>
          </cell>
          <cell r="E38">
            <v>467.41980092082179</v>
          </cell>
          <cell r="F38">
            <v>42.406938991148685</v>
          </cell>
          <cell r="G38">
            <v>17.779526648254897</v>
          </cell>
          <cell r="H38">
            <v>0</v>
          </cell>
          <cell r="I38">
            <v>34.450371931494729</v>
          </cell>
          <cell r="J38">
            <v>15.167955135464616</v>
          </cell>
          <cell r="K38">
            <v>382.28892061991417</v>
          </cell>
        </row>
        <row r="39">
          <cell r="B39">
            <v>0</v>
          </cell>
          <cell r="C39">
            <v>0</v>
          </cell>
          <cell r="D39">
            <v>0</v>
          </cell>
          <cell r="E39">
            <v>28.800891091122608</v>
          </cell>
          <cell r="F39">
            <v>108.9228738739469</v>
          </cell>
          <cell r="G39">
            <v>223.56880967406491</v>
          </cell>
          <cell r="H39">
            <v>1692.8199521375725</v>
          </cell>
          <cell r="I39">
            <v>0</v>
          </cell>
          <cell r="J39">
            <v>235.08237394956083</v>
          </cell>
          <cell r="K39">
            <v>1.9125306604469916</v>
          </cell>
        </row>
        <row r="41">
          <cell r="B41">
            <v>251.18408721355897</v>
          </cell>
          <cell r="C41">
            <v>319.58417319680615</v>
          </cell>
          <cell r="D41">
            <v>81.981943185258515</v>
          </cell>
          <cell r="E41">
            <v>300.40673760886619</v>
          </cell>
          <cell r="F41">
            <v>366.31566970950189</v>
          </cell>
          <cell r="G41">
            <v>106.14581476249464</v>
          </cell>
          <cell r="H41">
            <v>70.789869030274389</v>
          </cell>
          <cell r="I41">
            <v>119.25980656950264</v>
          </cell>
          <cell r="J41">
            <v>718.05870843933803</v>
          </cell>
          <cell r="K41">
            <v>115.66825162550568</v>
          </cell>
        </row>
        <row r="42">
          <cell r="B42">
            <v>33.042112489432434</v>
          </cell>
          <cell r="C42">
            <v>0</v>
          </cell>
          <cell r="D42">
            <v>6.3299112042037489E-2</v>
          </cell>
          <cell r="E42">
            <v>212.30486636446963</v>
          </cell>
          <cell r="F42">
            <v>476.95789552502958</v>
          </cell>
          <cell r="G42">
            <v>322.24037760663333</v>
          </cell>
          <cell r="H42">
            <v>1686.0252562363305</v>
          </cell>
          <cell r="I42">
            <v>1.8634642898408538</v>
          </cell>
          <cell r="J42">
            <v>179.01700313377603</v>
          </cell>
          <cell r="K42">
            <v>82.190800214908194</v>
          </cell>
        </row>
        <row r="44">
          <cell r="B44">
            <v>0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</row>
        <row r="45"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</row>
        <row r="46">
          <cell r="G46">
            <v>0</v>
          </cell>
        </row>
      </sheetData>
      <sheetData sheetId="3">
        <row r="13">
          <cell r="H13">
            <v>720</v>
          </cell>
          <cell r="I13">
            <v>8.2191780821917804E-2</v>
          </cell>
        </row>
        <row r="21">
          <cell r="B21">
            <v>201.4997222222222</v>
          </cell>
          <cell r="C21">
            <v>304.41041666666666</v>
          </cell>
          <cell r="D21">
            <v>137.42305555555555</v>
          </cell>
          <cell r="E21">
            <v>409.94749999999993</v>
          </cell>
          <cell r="F21">
            <v>86.99</v>
          </cell>
          <cell r="G21">
            <v>35.93333333333333</v>
          </cell>
          <cell r="H21">
            <v>0</v>
          </cell>
          <cell r="I21">
            <v>60.836111111111109</v>
          </cell>
          <cell r="J21">
            <v>38.216805555555545</v>
          </cell>
          <cell r="K21">
            <v>190.06027777777777</v>
          </cell>
        </row>
        <row r="22">
          <cell r="B22">
            <v>29.187499999999996</v>
          </cell>
          <cell r="C22">
            <v>0</v>
          </cell>
          <cell r="D22">
            <v>0</v>
          </cell>
          <cell r="E22">
            <v>77.080555555555549</v>
          </cell>
          <cell r="F22">
            <v>97.497361111111118</v>
          </cell>
          <cell r="G22">
            <v>145.21930555555556</v>
          </cell>
          <cell r="H22">
            <v>979.15319444444435</v>
          </cell>
          <cell r="I22">
            <v>0</v>
          </cell>
          <cell r="J22">
            <v>131.37416666666667</v>
          </cell>
          <cell r="K22">
            <v>5.99263888888889</v>
          </cell>
        </row>
        <row r="24">
          <cell r="B24">
            <v>145.07979999999998</v>
          </cell>
          <cell r="C24">
            <v>219.1755</v>
          </cell>
          <cell r="D24">
            <v>98.944600000000008</v>
          </cell>
          <cell r="E24">
            <v>295.16219999999993</v>
          </cell>
          <cell r="F24">
            <v>62.632799999999996</v>
          </cell>
          <cell r="G24">
            <v>25.872</v>
          </cell>
          <cell r="H24">
            <v>0</v>
          </cell>
          <cell r="I24">
            <v>43.802</v>
          </cell>
          <cell r="J24">
            <v>27.516099999999994</v>
          </cell>
          <cell r="K24">
            <v>136.8434</v>
          </cell>
        </row>
        <row r="25">
          <cell r="B25">
            <v>21.014999999999997</v>
          </cell>
          <cell r="C25">
            <v>0</v>
          </cell>
          <cell r="D25">
            <v>0</v>
          </cell>
          <cell r="E25">
            <v>55.497999999999998</v>
          </cell>
          <cell r="F25">
            <v>70.198100000000011</v>
          </cell>
          <cell r="G25">
            <v>104.5579</v>
          </cell>
          <cell r="H25">
            <v>704.99029999999993</v>
          </cell>
          <cell r="I25">
            <v>0</v>
          </cell>
          <cell r="J25">
            <v>94.589399999999998</v>
          </cell>
          <cell r="K25">
            <v>4.3147000000000011</v>
          </cell>
        </row>
        <row r="27">
          <cell r="B27">
            <v>1.8062694213511508</v>
          </cell>
          <cell r="C27">
            <v>1.9175344143308333</v>
          </cell>
          <cell r="D27">
            <v>2.2451703543101882</v>
          </cell>
          <cell r="E27">
            <v>1.5558454958339218</v>
          </cell>
          <cell r="F27">
            <v>0.41333262801738385</v>
          </cell>
          <cell r="G27">
            <v>0.63011904072079683</v>
          </cell>
          <cell r="H27">
            <v>0</v>
          </cell>
          <cell r="I27">
            <v>0.5096379126426348</v>
          </cell>
          <cell r="J27">
            <v>0.59524850805563823</v>
          </cell>
          <cell r="K27">
            <v>2.8467699317483057</v>
          </cell>
        </row>
        <row r="28">
          <cell r="B28">
            <v>0</v>
          </cell>
          <cell r="C28">
            <v>0</v>
          </cell>
          <cell r="D28">
            <v>0</v>
          </cell>
          <cell r="E28">
            <v>0.5589063226300558</v>
          </cell>
          <cell r="F28">
            <v>1.5519262926487338</v>
          </cell>
          <cell r="G28">
            <v>2.1105369100609703</v>
          </cell>
          <cell r="H28">
            <v>2.3900798326286421</v>
          </cell>
          <cell r="I28">
            <v>0</v>
          </cell>
          <cell r="J28">
            <v>2.4697775539882785</v>
          </cell>
          <cell r="K28">
            <v>0.64224071803095728</v>
          </cell>
        </row>
        <row r="30">
          <cell r="B30">
            <v>0.44389135477257619</v>
          </cell>
        </row>
        <row r="31">
          <cell r="B31">
            <v>1.3765934954438281</v>
          </cell>
        </row>
        <row r="33">
          <cell r="B33">
            <v>0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</row>
        <row r="34">
          <cell r="I34">
            <v>0</v>
          </cell>
        </row>
        <row r="38">
          <cell r="B38">
            <v>259.44757306156532</v>
          </cell>
          <cell r="C38">
            <v>410.72758257321846</v>
          </cell>
          <cell r="D38">
            <v>215.07085985026904</v>
          </cell>
          <cell r="E38">
            <v>449.4366647390861</v>
          </cell>
          <cell r="F38">
            <v>39.575362739876013</v>
          </cell>
          <cell r="G38">
            <v>16.628051702647824</v>
          </cell>
          <cell r="H38">
            <v>0</v>
          </cell>
          <cell r="I38">
            <v>35.497565032456663</v>
          </cell>
          <cell r="J38">
            <v>14.728044236899343</v>
          </cell>
          <cell r="K38">
            <v>372.98142353030187</v>
          </cell>
        </row>
        <row r="39">
          <cell r="B39">
            <v>0</v>
          </cell>
          <cell r="C39">
            <v>0</v>
          </cell>
          <cell r="D39">
            <v>0</v>
          </cell>
          <cell r="E39">
            <v>27.985407314256467</v>
          </cell>
          <cell r="F39">
            <v>105.41474196207476</v>
          </cell>
          <cell r="G39">
            <v>217.49442662154533</v>
          </cell>
          <cell r="H39">
            <v>1637.3325050148298</v>
          </cell>
          <cell r="I39">
            <v>0</v>
          </cell>
          <cell r="J39">
            <v>227.15464388395901</v>
          </cell>
          <cell r="K39">
            <v>1.8432087732826306</v>
          </cell>
        </row>
        <row r="41">
          <cell r="B41">
            <v>243.07934478701048</v>
          </cell>
          <cell r="C41">
            <v>309.2724236106971</v>
          </cell>
          <cell r="D41">
            <v>79.336701838502549</v>
          </cell>
          <cell r="E41">
            <v>290.71376995901028</v>
          </cell>
          <cell r="F41">
            <v>354.49607483492707</v>
          </cell>
          <cell r="G41">
            <v>102.72089840792188</v>
          </cell>
          <cell r="H41">
            <v>68.505752782051687</v>
          </cell>
          <cell r="I41">
            <v>115.41175224086982</v>
          </cell>
          <cell r="J41">
            <v>694.88972132872937</v>
          </cell>
          <cell r="K41">
            <v>111.93608293300052</v>
          </cell>
        </row>
        <row r="42">
          <cell r="B42">
            <v>31.975970864273656</v>
          </cell>
          <cell r="C42">
            <v>0</v>
          </cell>
          <cell r="D42">
            <v>6.1256693652317722E-2</v>
          </cell>
          <cell r="E42">
            <v>205.45460655352915</v>
          </cell>
          <cell r="F42">
            <v>461.56830244044693</v>
          </cell>
          <cell r="G42">
            <v>311.84292254127706</v>
          </cell>
          <cell r="H42">
            <v>1631.6237191881937</v>
          </cell>
          <cell r="I42">
            <v>1.8033374790314152</v>
          </cell>
          <cell r="J42">
            <v>173.24081437728714</v>
          </cell>
          <cell r="K42">
            <v>79.538819856744112</v>
          </cell>
        </row>
        <row r="44">
          <cell r="B44">
            <v>0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</row>
        <row r="45"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</row>
        <row r="46">
          <cell r="G46">
            <v>0</v>
          </cell>
        </row>
      </sheetData>
      <sheetData sheetId="4">
        <row r="13">
          <cell r="H13">
            <v>744</v>
          </cell>
          <cell r="I13">
            <v>8.4931506849315067E-2</v>
          </cell>
        </row>
        <row r="21">
          <cell r="B21">
            <v>201.14791666666665</v>
          </cell>
          <cell r="C21">
            <v>302.73931451612901</v>
          </cell>
          <cell r="D21">
            <v>136.60860215053765</v>
          </cell>
          <cell r="E21">
            <v>409.4878360215053</v>
          </cell>
          <cell r="F21">
            <v>87.308870967741925</v>
          </cell>
          <cell r="G21">
            <v>35.838709677419352</v>
          </cell>
          <cell r="H21">
            <v>0</v>
          </cell>
          <cell r="I21">
            <v>58.873655913978496</v>
          </cell>
          <cell r="J21">
            <v>37.773655913978494</v>
          </cell>
          <cell r="K21">
            <v>188.59321236559137</v>
          </cell>
        </row>
        <row r="22">
          <cell r="B22">
            <v>29.173857526881722</v>
          </cell>
          <cell r="C22">
            <v>0</v>
          </cell>
          <cell r="D22">
            <v>0</v>
          </cell>
          <cell r="E22">
            <v>76.655577956989248</v>
          </cell>
          <cell r="F22">
            <v>96.561626344086008</v>
          </cell>
          <cell r="G22">
            <v>144.38776881720429</v>
          </cell>
          <cell r="H22">
            <v>974.96727150537617</v>
          </cell>
          <cell r="I22">
            <v>0</v>
          </cell>
          <cell r="J22">
            <v>130.89637096774192</v>
          </cell>
          <cell r="K22">
            <v>5.9181451612903233</v>
          </cell>
        </row>
        <row r="24">
          <cell r="B24">
            <v>149.65404999999998</v>
          </cell>
          <cell r="C24">
            <v>225.23804999999999</v>
          </cell>
          <cell r="D24">
            <v>101.63680000000001</v>
          </cell>
          <cell r="E24">
            <v>304.65894999999995</v>
          </cell>
          <cell r="F24">
            <v>64.957799999999992</v>
          </cell>
          <cell r="G24">
            <v>26.664000000000001</v>
          </cell>
          <cell r="H24">
            <v>0</v>
          </cell>
          <cell r="I24">
            <v>43.802</v>
          </cell>
          <cell r="J24">
            <v>28.1036</v>
          </cell>
          <cell r="K24">
            <v>140.31334999999999</v>
          </cell>
        </row>
        <row r="25">
          <cell r="B25">
            <v>21.705350000000003</v>
          </cell>
          <cell r="C25">
            <v>0</v>
          </cell>
          <cell r="D25">
            <v>0</v>
          </cell>
          <cell r="E25">
            <v>57.031750000000002</v>
          </cell>
          <cell r="F25">
            <v>71.841849999999994</v>
          </cell>
          <cell r="G25">
            <v>107.42449999999999</v>
          </cell>
          <cell r="H25">
            <v>725.37564999999995</v>
          </cell>
          <cell r="I25">
            <v>0</v>
          </cell>
          <cell r="J25">
            <v>97.386899999999997</v>
          </cell>
          <cell r="K25">
            <v>4.4031000000000002</v>
          </cell>
        </row>
        <row r="27">
          <cell r="B27">
            <v>1.8131240593216045</v>
          </cell>
          <cell r="C27">
            <v>1.9250245938476709</v>
          </cell>
          <cell r="D27">
            <v>2.259916086419909</v>
          </cell>
          <cell r="E27">
            <v>1.5626542542912092</v>
          </cell>
          <cell r="F27">
            <v>0.41707209222067831</v>
          </cell>
          <cell r="G27">
            <v>0.63335896269762681</v>
          </cell>
          <cell r="H27">
            <v>0</v>
          </cell>
          <cell r="I27">
            <v>0.49319797997674342</v>
          </cell>
          <cell r="J27">
            <v>0.59940367333586808</v>
          </cell>
          <cell r="K27">
            <v>2.8682520981414439</v>
          </cell>
        </row>
        <row r="28">
          <cell r="B28">
            <v>0</v>
          </cell>
          <cell r="C28">
            <v>0</v>
          </cell>
          <cell r="D28">
            <v>0</v>
          </cell>
          <cell r="E28">
            <v>0.55903025347484947</v>
          </cell>
          <cell r="F28">
            <v>1.5570617473940964</v>
          </cell>
          <cell r="G28">
            <v>2.1173674125910709</v>
          </cell>
          <cell r="H28">
            <v>2.4021841561152963</v>
          </cell>
          <cell r="I28">
            <v>0</v>
          </cell>
          <cell r="J28">
            <v>2.4825320702284657</v>
          </cell>
          <cell r="K28">
            <v>0.65305086366764009</v>
          </cell>
        </row>
        <row r="30">
          <cell r="B30">
            <v>0.45869051439369629</v>
          </cell>
        </row>
        <row r="31">
          <cell r="B31">
            <v>1.4224885701134091</v>
          </cell>
        </row>
        <row r="33">
          <cell r="B33">
            <v>0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</row>
        <row r="34">
          <cell r="I34">
            <v>0</v>
          </cell>
        </row>
        <row r="38">
          <cell r="B38">
            <v>268.65451539297578</v>
          </cell>
          <cell r="C38">
            <v>423.75382948561571</v>
          </cell>
          <cell r="D38">
            <v>222.28155435389075</v>
          </cell>
          <cell r="E38">
            <v>466.00447625783761</v>
          </cell>
          <cell r="F38">
            <v>41.306815850566004</v>
          </cell>
          <cell r="G38">
            <v>17.206652547273826</v>
          </cell>
          <cell r="H38">
            <v>0</v>
          </cell>
          <cell r="I38">
            <v>35.497565032456663</v>
          </cell>
          <cell r="J38">
            <v>15.148621639258209</v>
          </cell>
          <cell r="K38">
            <v>384.69401671081266</v>
          </cell>
        </row>
        <row r="39">
          <cell r="B39">
            <v>0</v>
          </cell>
          <cell r="C39">
            <v>0</v>
          </cell>
          <cell r="D39">
            <v>0</v>
          </cell>
          <cell r="E39">
            <v>28.745434438357755</v>
          </cell>
          <cell r="F39">
            <v>108.26021218900257</v>
          </cell>
          <cell r="G39">
            <v>224.14699126085785</v>
          </cell>
          <cell r="H39">
            <v>1692.9722543076759</v>
          </cell>
          <cell r="I39">
            <v>0</v>
          </cell>
          <cell r="J39">
            <v>235.08580736242476</v>
          </cell>
          <cell r="K39">
            <v>1.9035804391883531</v>
          </cell>
        </row>
        <row r="41">
          <cell r="B41">
            <v>251.18351258713199</v>
          </cell>
          <cell r="C41">
            <v>319.58344209352009</v>
          </cell>
          <cell r="D41">
            <v>81.981755637585366</v>
          </cell>
          <cell r="E41">
            <v>300.40605037723384</v>
          </cell>
          <cell r="F41">
            <v>366.31483169994988</v>
          </cell>
          <cell r="G41">
            <v>106.14557193584528</v>
          </cell>
          <cell r="H41">
            <v>70.789707086379153</v>
          </cell>
          <cell r="I41">
            <v>119.25953374236104</v>
          </cell>
          <cell r="J41">
            <v>718.05706575761178</v>
          </cell>
          <cell r="K41">
            <v>115.66798701465839</v>
          </cell>
        </row>
        <row r="42">
          <cell r="B42">
            <v>33.042036899966362</v>
          </cell>
          <cell r="C42">
            <v>0</v>
          </cell>
          <cell r="D42">
            <v>6.3298967234526049E-2</v>
          </cell>
          <cell r="E42">
            <v>212.30438068088935</v>
          </cell>
          <cell r="F42">
            <v>476.95680440252113</v>
          </cell>
          <cell r="G42">
            <v>322.23964042682678</v>
          </cell>
          <cell r="H42">
            <v>1686.0213991660855</v>
          </cell>
          <cell r="I42">
            <v>1.8634600268485659</v>
          </cell>
          <cell r="J42">
            <v>179.01659360185855</v>
          </cell>
          <cell r="K42">
            <v>82.190612189439008</v>
          </cell>
        </row>
        <row r="44">
          <cell r="B44">
            <v>0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</row>
        <row r="45"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</row>
        <row r="46">
          <cell r="G46">
            <v>0</v>
          </cell>
        </row>
      </sheetData>
      <sheetData sheetId="5">
        <row r="13">
          <cell r="H13">
            <v>720</v>
          </cell>
          <cell r="I13">
            <v>8.2191780821917818E-2</v>
          </cell>
        </row>
        <row r="21">
          <cell r="B21">
            <v>195.30493055555553</v>
          </cell>
          <cell r="C21">
            <v>293.33229166666672</v>
          </cell>
          <cell r="D21">
            <v>130.24944444444444</v>
          </cell>
          <cell r="E21">
            <v>393.04541666666671</v>
          </cell>
          <cell r="F21">
            <v>89.172986111111101</v>
          </cell>
          <cell r="G21">
            <v>39.6</v>
          </cell>
          <cell r="H21">
            <v>0</v>
          </cell>
          <cell r="I21">
            <v>49.62777777777778</v>
          </cell>
          <cell r="J21">
            <v>37.308472222222221</v>
          </cell>
          <cell r="K21">
            <v>176.89187499999997</v>
          </cell>
        </row>
        <row r="22">
          <cell r="B22">
            <v>29.804166666666667</v>
          </cell>
          <cell r="C22">
            <v>0</v>
          </cell>
          <cell r="D22">
            <v>0</v>
          </cell>
          <cell r="E22">
            <v>73.021527777777777</v>
          </cell>
          <cell r="F22">
            <v>97.812986111111115</v>
          </cell>
          <cell r="G22">
            <v>138.39847222222221</v>
          </cell>
          <cell r="H22">
            <v>933.53826388888876</v>
          </cell>
          <cell r="I22">
            <v>0</v>
          </cell>
          <cell r="J22">
            <v>126.38493055555554</v>
          </cell>
          <cell r="K22">
            <v>5.7308333333333348</v>
          </cell>
        </row>
        <row r="24">
          <cell r="B24">
            <v>140.61954999999998</v>
          </cell>
          <cell r="C24">
            <v>211.19925000000006</v>
          </cell>
          <cell r="D24">
            <v>93.779599999999988</v>
          </cell>
          <cell r="E24">
            <v>282.99270000000001</v>
          </cell>
          <cell r="F24">
            <v>64.204549999999998</v>
          </cell>
          <cell r="G24">
            <v>28.512</v>
          </cell>
          <cell r="H24">
            <v>0</v>
          </cell>
          <cell r="I24">
            <v>35.731999999999999</v>
          </cell>
          <cell r="J24">
            <v>26.862099999999998</v>
          </cell>
          <cell r="K24">
            <v>127.36214999999999</v>
          </cell>
        </row>
        <row r="25">
          <cell r="B25">
            <v>21.459</v>
          </cell>
          <cell r="C25">
            <v>0</v>
          </cell>
          <cell r="D25">
            <v>0</v>
          </cell>
          <cell r="E25">
            <v>52.575499999999998</v>
          </cell>
          <cell r="F25">
            <v>70.425350000000009</v>
          </cell>
          <cell r="G25">
            <v>99.646899999999988</v>
          </cell>
          <cell r="H25">
            <v>672.14754999999991</v>
          </cell>
          <cell r="I25">
            <v>0</v>
          </cell>
          <cell r="J25">
            <v>90.997149999999991</v>
          </cell>
          <cell r="K25">
            <v>4.1262000000000008</v>
          </cell>
        </row>
        <row r="27">
          <cell r="B27">
            <v>1.8994290455729259</v>
          </cell>
          <cell r="C27">
            <v>2.0316872078568879</v>
          </cell>
          <cell r="D27">
            <v>2.4077036464226156</v>
          </cell>
          <cell r="E27">
            <v>1.6567765612963667</v>
          </cell>
          <cell r="F27">
            <v>0.42449244287743848</v>
          </cell>
          <cell r="G27">
            <v>0.66352987346504178</v>
          </cell>
          <cell r="H27">
            <v>0</v>
          </cell>
          <cell r="I27">
            <v>0.46161913422993828</v>
          </cell>
          <cell r="J27">
            <v>0.61676146588973157</v>
          </cell>
          <cell r="K27">
            <v>3.0273969048502201</v>
          </cell>
        </row>
        <row r="28">
          <cell r="B28">
            <v>0</v>
          </cell>
          <cell r="C28">
            <v>0</v>
          </cell>
          <cell r="D28">
            <v>0</v>
          </cell>
          <cell r="E28">
            <v>0.5951648344790551</v>
          </cell>
          <cell r="F28">
            <v>1.6203199901787002</v>
          </cell>
          <cell r="G28">
            <v>2.2029314349974625</v>
          </cell>
          <cell r="H28">
            <v>2.522350625833051</v>
          </cell>
          <cell r="I28">
            <v>0</v>
          </cell>
          <cell r="J28">
            <v>2.5805991989996127</v>
          </cell>
          <cell r="K28">
            <v>0.73113487521791842</v>
          </cell>
        </row>
        <row r="30">
          <cell r="B30">
            <v>0.4337433587859541</v>
          </cell>
        </row>
        <row r="31">
          <cell r="B31">
            <v>1.3766097664110419</v>
          </cell>
        </row>
        <row r="33">
          <cell r="B33">
            <v>0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</row>
        <row r="34">
          <cell r="I34">
            <v>0</v>
          </cell>
        </row>
        <row r="38">
          <cell r="B38">
            <v>262.89345153769335</v>
          </cell>
          <cell r="C38">
            <v>409.87025444418737</v>
          </cell>
          <cell r="D38">
            <v>214.17746141455228</v>
          </cell>
          <cell r="E38">
            <v>456.51328805400692</v>
          </cell>
          <cell r="F38">
            <v>45.075978442789406</v>
          </cell>
          <cell r="G38">
            <v>19.49242220755319</v>
          </cell>
          <cell r="H38">
            <v>0</v>
          </cell>
          <cell r="I38">
            <v>30.26159952764695</v>
          </cell>
          <cell r="J38">
            <v>14.824711717931368</v>
          </cell>
          <cell r="K38">
            <v>360.95594307580956</v>
          </cell>
        </row>
        <row r="39">
          <cell r="B39">
            <v>0</v>
          </cell>
          <cell r="C39">
            <v>0</v>
          </cell>
          <cell r="D39">
            <v>0</v>
          </cell>
          <cell r="E39">
            <v>28.26269057808069</v>
          </cell>
          <cell r="F39">
            <v>108.72805038679635</v>
          </cell>
          <cell r="G39">
            <v>214.60351868758056</v>
          </cell>
          <cell r="H39">
            <v>1636.570994164314</v>
          </cell>
          <cell r="I39">
            <v>0</v>
          </cell>
          <cell r="J39">
            <v>227.13747681963937</v>
          </cell>
          <cell r="K39">
            <v>1.8879598795758239</v>
          </cell>
        </row>
        <row r="41">
          <cell r="B41">
            <v>237.52220070477628</v>
          </cell>
          <cell r="C41">
            <v>302.20201036693783</v>
          </cell>
          <cell r="D41">
            <v>77.522950515813591</v>
          </cell>
          <cell r="E41">
            <v>284.06763427945572</v>
          </cell>
          <cell r="F41">
            <v>400.60970360829504</v>
          </cell>
          <cell r="G41">
            <v>100.37255065665765</v>
          </cell>
          <cell r="H41">
            <v>66.939612561436292</v>
          </cell>
          <cell r="I41">
            <v>112.77327328434808</v>
          </cell>
          <cell r="J41">
            <v>679.00354101147184</v>
          </cell>
          <cell r="K41">
            <v>109.37706278505404</v>
          </cell>
        </row>
        <row r="42">
          <cell r="B42">
            <v>31.976348811703502</v>
          </cell>
          <cell r="C42">
            <v>0</v>
          </cell>
          <cell r="D42">
            <v>6.1257417690065485E-2</v>
          </cell>
          <cell r="E42">
            <v>205.45703497206964</v>
          </cell>
          <cell r="F42">
            <v>461.5737580544249</v>
          </cell>
          <cell r="G42">
            <v>311.84660844127967</v>
          </cell>
          <cell r="H42">
            <v>1631.6430045444936</v>
          </cell>
          <cell r="I42">
            <v>1.8033587939984652</v>
          </cell>
          <cell r="J42">
            <v>173.24286203741352</v>
          </cell>
          <cell r="K42">
            <v>79.539759984337621</v>
          </cell>
        </row>
        <row r="44">
          <cell r="B44">
            <v>0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</row>
        <row r="45"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</row>
        <row r="46">
          <cell r="G46">
            <v>0</v>
          </cell>
        </row>
      </sheetData>
      <sheetData sheetId="6">
        <row r="13">
          <cell r="H13">
            <v>744</v>
          </cell>
          <cell r="I13">
            <v>8.4931506849315039E-2</v>
          </cell>
        </row>
        <row r="21">
          <cell r="B21">
            <v>198.15954301075271</v>
          </cell>
          <cell r="C21">
            <v>296.19294354838706</v>
          </cell>
          <cell r="D21">
            <v>132.67836021505377</v>
          </cell>
          <cell r="E21">
            <v>401.91142473118282</v>
          </cell>
          <cell r="F21">
            <v>88.586827956989254</v>
          </cell>
          <cell r="G21">
            <v>37.258064516129039</v>
          </cell>
          <cell r="H21">
            <v>0</v>
          </cell>
          <cell r="I21">
            <v>51.936827956989248</v>
          </cell>
          <cell r="J21">
            <v>36.883669354838709</v>
          </cell>
          <cell r="K21">
            <v>181.41088709677422</v>
          </cell>
        </row>
        <row r="22">
          <cell r="B22">
            <v>29.415188172043013</v>
          </cell>
          <cell r="C22">
            <v>0</v>
          </cell>
          <cell r="D22">
            <v>0</v>
          </cell>
          <cell r="E22">
            <v>74.473118279569889</v>
          </cell>
          <cell r="F22">
            <v>95.613508064516125</v>
          </cell>
          <cell r="G22">
            <v>140.58487903225804</v>
          </cell>
          <cell r="H22">
            <v>951.1217069892474</v>
          </cell>
          <cell r="I22">
            <v>0</v>
          </cell>
          <cell r="J22">
            <v>128.26518817204303</v>
          </cell>
          <cell r="K22">
            <v>5.7230510752688168</v>
          </cell>
        </row>
        <row r="24">
          <cell r="B24">
            <v>147.4307</v>
          </cell>
          <cell r="C24">
            <v>220.36754999999999</v>
          </cell>
          <cell r="D24">
            <v>98.712699999999998</v>
          </cell>
          <cell r="E24">
            <v>299.02210000000002</v>
          </cell>
          <cell r="F24">
            <v>65.908600000000007</v>
          </cell>
          <cell r="G24">
            <v>27.720000000000002</v>
          </cell>
          <cell r="H24">
            <v>0</v>
          </cell>
          <cell r="I24">
            <v>38.640999999999998</v>
          </cell>
          <cell r="J24">
            <v>27.44145</v>
          </cell>
          <cell r="K24">
            <v>134.96970000000002</v>
          </cell>
        </row>
        <row r="25">
          <cell r="B25">
            <v>21.884900000000002</v>
          </cell>
          <cell r="C25">
            <v>0</v>
          </cell>
          <cell r="D25">
            <v>0</v>
          </cell>
          <cell r="E25">
            <v>55.408000000000001</v>
          </cell>
          <cell r="F25">
            <v>71.136449999999996</v>
          </cell>
          <cell r="G25">
            <v>104.59514999999999</v>
          </cell>
          <cell r="H25">
            <v>707.63454999999999</v>
          </cell>
          <cell r="I25">
            <v>0</v>
          </cell>
          <cell r="J25">
            <v>95.429299999999998</v>
          </cell>
          <cell r="K25">
            <v>4.2579500000000001</v>
          </cell>
        </row>
        <row r="27">
          <cell r="B27">
            <v>1.8598690308489472</v>
          </cell>
          <cell r="C27">
            <v>1.9812543774399958</v>
          </cell>
          <cell r="D27">
            <v>2.3446862067819647</v>
          </cell>
          <cell r="E27">
            <v>1.6125859954334665</v>
          </cell>
          <cell r="F27">
            <v>0.42603908912147509</v>
          </cell>
          <cell r="G27">
            <v>0.65102542329380331</v>
          </cell>
          <cell r="H27">
            <v>0</v>
          </cell>
          <cell r="I27">
            <v>0.45421107312073217</v>
          </cell>
          <cell r="J27">
            <v>0.61316627574637594</v>
          </cell>
          <cell r="K27">
            <v>2.9683378024936293</v>
          </cell>
        </row>
        <row r="28">
          <cell r="B28">
            <v>0</v>
          </cell>
          <cell r="C28">
            <v>0</v>
          </cell>
          <cell r="D28">
            <v>0</v>
          </cell>
          <cell r="E28">
            <v>0.57428846149832569</v>
          </cell>
          <cell r="F28">
            <v>1.5914987886884588</v>
          </cell>
          <cell r="G28">
            <v>2.163765585955407</v>
          </cell>
          <cell r="H28">
            <v>2.4712908649977647</v>
          </cell>
          <cell r="I28">
            <v>0</v>
          </cell>
          <cell r="J28">
            <v>2.5434474211306788</v>
          </cell>
          <cell r="K28">
            <v>0.70258172254721107</v>
          </cell>
        </row>
        <row r="30">
          <cell r="B30">
            <v>0.43356678853263086</v>
          </cell>
        </row>
        <row r="31">
          <cell r="B31">
            <v>1.422505530855549</v>
          </cell>
        </row>
        <row r="33">
          <cell r="B33">
            <v>0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</row>
        <row r="34">
          <cell r="I34">
            <v>0</v>
          </cell>
        </row>
        <row r="38">
          <cell r="B38">
            <v>270.78353600118282</v>
          </cell>
          <cell r="C38">
            <v>422.61758909152149</v>
          </cell>
          <cell r="D38">
            <v>221.94478176844291</v>
          </cell>
          <cell r="E38">
            <v>470.88354787132135</v>
          </cell>
          <cell r="F38">
            <v>44.152013021852689</v>
          </cell>
          <cell r="G38">
            <v>18.468611135391992</v>
          </cell>
          <cell r="H38">
            <v>0</v>
          </cell>
          <cell r="I38">
            <v>31.876781236828762</v>
          </cell>
          <cell r="J38">
            <v>15.109081393928417</v>
          </cell>
          <cell r="K38">
            <v>378.68290097214765</v>
          </cell>
        </row>
        <row r="39">
          <cell r="B39">
            <v>0</v>
          </cell>
          <cell r="C39">
            <v>0</v>
          </cell>
          <cell r="D39">
            <v>0</v>
          </cell>
          <cell r="E39">
            <v>28.665472090804442</v>
          </cell>
          <cell r="F39">
            <v>108.91630523525809</v>
          </cell>
          <cell r="G39">
            <v>222.21254294152803</v>
          </cell>
          <cell r="H39">
            <v>1693.8696024709368</v>
          </cell>
          <cell r="I39">
            <v>0</v>
          </cell>
          <cell r="J39">
            <v>235.49303772202603</v>
          </cell>
          <cell r="K39">
            <v>1.9216248082026925</v>
          </cell>
        </row>
        <row r="41">
          <cell r="B41">
            <v>295.82695548369941</v>
          </cell>
          <cell r="C41">
            <v>306.41465645966633</v>
          </cell>
          <cell r="D41">
            <v>77.491392114437176</v>
          </cell>
          <cell r="E41">
            <v>283.95199471257911</v>
          </cell>
          <cell r="F41">
            <v>400.44662155662331</v>
          </cell>
          <cell r="G41">
            <v>117.58764871793485</v>
          </cell>
          <cell r="H41">
            <v>66.91236247424095</v>
          </cell>
          <cell r="I41">
            <v>112.72736501848404</v>
          </cell>
          <cell r="J41">
            <v>678.7271291084071</v>
          </cell>
          <cell r="K41">
            <v>109.33253706427352</v>
          </cell>
        </row>
        <row r="42">
          <cell r="B42">
            <v>33.042430869717272</v>
          </cell>
          <cell r="C42">
            <v>0</v>
          </cell>
          <cell r="D42">
            <v>6.3299721966397743E-2</v>
          </cell>
          <cell r="E42">
            <v>212.30691204734921</v>
          </cell>
          <cell r="F42">
            <v>476.96249129627989</v>
          </cell>
          <cell r="G42">
            <v>322.24348258314586</v>
          </cell>
          <cell r="H42">
            <v>1686.041502086274</v>
          </cell>
          <cell r="I42">
            <v>1.8634822454207693</v>
          </cell>
          <cell r="J42">
            <v>179.01872806841715</v>
          </cell>
          <cell r="K42">
            <v>82.191592171850786</v>
          </cell>
        </row>
        <row r="44">
          <cell r="B44">
            <v>0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</row>
        <row r="45"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</row>
        <row r="46">
          <cell r="G46">
            <v>0</v>
          </cell>
        </row>
      </sheetData>
      <sheetData sheetId="7">
        <row r="13">
          <cell r="H13">
            <v>744</v>
          </cell>
          <cell r="I13">
            <v>8.4931506849315067E-2</v>
          </cell>
        </row>
        <row r="21">
          <cell r="B21">
            <v>198.14133064516128</v>
          </cell>
          <cell r="C21">
            <v>298.56491935483871</v>
          </cell>
          <cell r="D21">
            <v>133.59663978494626</v>
          </cell>
          <cell r="E21">
            <v>400.70739247311826</v>
          </cell>
          <cell r="F21">
            <v>88.143481182795696</v>
          </cell>
          <cell r="G21">
            <v>37.967741935483872</v>
          </cell>
          <cell r="H21">
            <v>0</v>
          </cell>
          <cell r="I21">
            <v>54.963709677419352</v>
          </cell>
          <cell r="J21">
            <v>37.784610215053767</v>
          </cell>
          <cell r="K21">
            <v>183.03192204301075</v>
          </cell>
        </row>
        <row r="22">
          <cell r="B22">
            <v>29.529301075268812</v>
          </cell>
          <cell r="C22">
            <v>0</v>
          </cell>
          <cell r="D22">
            <v>0</v>
          </cell>
          <cell r="E22">
            <v>74.909946236559136</v>
          </cell>
          <cell r="F22">
            <v>97.815188172043008</v>
          </cell>
          <cell r="G22">
            <v>141.58985215053764</v>
          </cell>
          <cell r="H22">
            <v>954.66935483870964</v>
          </cell>
          <cell r="I22">
            <v>0</v>
          </cell>
          <cell r="J22">
            <v>128.69926075268816</v>
          </cell>
          <cell r="K22">
            <v>5.8598790322580649</v>
          </cell>
        </row>
        <row r="24">
          <cell r="B24">
            <v>147.41714999999999</v>
          </cell>
          <cell r="C24">
            <v>222.13230000000001</v>
          </cell>
          <cell r="D24">
            <v>99.395900000000012</v>
          </cell>
          <cell r="E24">
            <v>298.12630000000001</v>
          </cell>
          <cell r="F24">
            <v>65.578749999999999</v>
          </cell>
          <cell r="G24">
            <v>28.248000000000001</v>
          </cell>
          <cell r="H24">
            <v>0</v>
          </cell>
          <cell r="I24">
            <v>40.893000000000001</v>
          </cell>
          <cell r="J24">
            <v>28.111750000000004</v>
          </cell>
          <cell r="K24">
            <v>136.17574999999999</v>
          </cell>
        </row>
        <row r="25">
          <cell r="B25">
            <v>21.969799999999996</v>
          </cell>
          <cell r="C25">
            <v>0</v>
          </cell>
          <cell r="D25">
            <v>0</v>
          </cell>
          <cell r="E25">
            <v>55.732999999999997</v>
          </cell>
          <cell r="F25">
            <v>72.774500000000003</v>
          </cell>
          <cell r="G25">
            <v>105.34285000000001</v>
          </cell>
          <cell r="H25">
            <v>710.274</v>
          </cell>
          <cell r="I25">
            <v>0</v>
          </cell>
          <cell r="J25">
            <v>95.752250000000004</v>
          </cell>
          <cell r="K25">
            <v>4.35975</v>
          </cell>
        </row>
        <row r="27">
          <cell r="B27">
            <v>1.8565335628475925</v>
          </cell>
          <cell r="C27">
            <v>1.9792652556031411</v>
          </cell>
          <cell r="D27">
            <v>2.3324362487473</v>
          </cell>
          <cell r="E27">
            <v>1.6103977377900283</v>
          </cell>
          <cell r="F27">
            <v>0.41890491615219244</v>
          </cell>
          <cell r="G27">
            <v>0.64802556604749395</v>
          </cell>
          <cell r="H27">
            <v>0</v>
          </cell>
          <cell r="I27">
            <v>0.48571510127208056</v>
          </cell>
          <cell r="J27">
            <v>0.60639411595592907</v>
          </cell>
          <cell r="K27">
            <v>2.9429666903394978</v>
          </cell>
        </row>
        <row r="28">
          <cell r="B28">
            <v>0</v>
          </cell>
          <cell r="C28">
            <v>0</v>
          </cell>
          <cell r="D28">
            <v>0</v>
          </cell>
          <cell r="E28">
            <v>0.57886092788588861</v>
          </cell>
          <cell r="F28">
            <v>1.588812155322282</v>
          </cell>
          <cell r="G28">
            <v>2.1603832956168882</v>
          </cell>
          <cell r="H28">
            <v>2.4610809472860042</v>
          </cell>
          <cell r="I28">
            <v>0</v>
          </cell>
          <cell r="J28">
            <v>2.5288261543742672</v>
          </cell>
          <cell r="K28">
            <v>0.68954660851738658</v>
          </cell>
        </row>
        <row r="30">
          <cell r="B30">
            <v>0.41500974525332934</v>
          </cell>
        </row>
        <row r="31">
          <cell r="B31">
            <v>1.4224900938100389</v>
          </cell>
        </row>
        <row r="33">
          <cell r="B33">
            <v>0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</row>
        <row r="34">
          <cell r="I34">
            <v>0</v>
          </cell>
        </row>
        <row r="38">
          <cell r="B38">
            <v>269.97137326089677</v>
          </cell>
          <cell r="C38">
            <v>424.03274175067878</v>
          </cell>
          <cell r="D38">
            <v>221.7249285036219</v>
          </cell>
          <cell r="E38">
            <v>468.20202795927491</v>
          </cell>
          <cell r="F38">
            <v>43.962234382192719</v>
          </cell>
          <cell r="G38">
            <v>18.809064464061024</v>
          </cell>
          <cell r="H38">
            <v>0</v>
          </cell>
          <cell r="I38">
            <v>33.882383323274858</v>
          </cell>
          <cell r="J38">
            <v>15.281017971630105</v>
          </cell>
          <cell r="K38">
            <v>378.67965199498542</v>
          </cell>
        </row>
        <row r="39">
          <cell r="B39">
            <v>0</v>
          </cell>
          <cell r="C39">
            <v>0</v>
          </cell>
          <cell r="D39">
            <v>0</v>
          </cell>
          <cell r="E39">
            <v>29.102680049735302</v>
          </cell>
          <cell r="F39">
            <v>110.91742756746871</v>
          </cell>
          <cell r="G39">
            <v>223.19053164622287</v>
          </cell>
          <cell r="H39">
            <v>1691.3129802210719</v>
          </cell>
          <cell r="I39">
            <v>0</v>
          </cell>
          <cell r="J39">
            <v>234.65716664089942</v>
          </cell>
          <cell r="K39">
            <v>1.9302871764672074</v>
          </cell>
        </row>
        <row r="41">
          <cell r="B41">
            <v>328.81637126166538</v>
          </cell>
          <cell r="C41">
            <v>303.3223226107533</v>
          </cell>
          <cell r="D41">
            <v>74.174691769127563</v>
          </cell>
          <cell r="E41">
            <v>271.79859737105562</v>
          </cell>
          <cell r="F41">
            <v>411.69381738875518</v>
          </cell>
          <cell r="G41">
            <v>133.30528027282193</v>
          </cell>
          <cell r="H41">
            <v>64.04845398494632</v>
          </cell>
          <cell r="I41">
            <v>107.90253376586564</v>
          </cell>
          <cell r="J41">
            <v>649.67700570682439</v>
          </cell>
          <cell r="K41">
            <v>104.65300746053207</v>
          </cell>
        </row>
        <row r="42">
          <cell r="B42">
            <v>33.042072292897693</v>
          </cell>
          <cell r="C42">
            <v>0</v>
          </cell>
          <cell r="D42">
            <v>6.3299035037125723E-2</v>
          </cell>
          <cell r="E42">
            <v>212.30460809042796</v>
          </cell>
          <cell r="F42">
            <v>476.95731529413098</v>
          </cell>
          <cell r="G42">
            <v>322.23998559336411</v>
          </cell>
          <cell r="H42">
            <v>1686.0232051455348</v>
          </cell>
          <cell r="I42">
            <v>1.8634620228911514</v>
          </cell>
          <cell r="J42">
            <v>179.01678535523087</v>
          </cell>
          <cell r="K42">
            <v>82.190700227797592</v>
          </cell>
        </row>
        <row r="44">
          <cell r="B44">
            <v>0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</row>
        <row r="45"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</row>
        <row r="46">
          <cell r="G46">
            <v>0</v>
          </cell>
        </row>
      </sheetData>
      <sheetData sheetId="8">
        <row r="13">
          <cell r="H13">
            <v>672</v>
          </cell>
          <cell r="I13">
            <v>7.6712328767123306E-2</v>
          </cell>
        </row>
        <row r="21">
          <cell r="B21">
            <v>198.33668154761904</v>
          </cell>
          <cell r="C21">
            <v>295.73683035714282</v>
          </cell>
          <cell r="D21">
            <v>132.58154761904763</v>
          </cell>
          <cell r="E21">
            <v>402.76577380952375</v>
          </cell>
          <cell r="F21">
            <v>88.668973214285714</v>
          </cell>
          <cell r="G21">
            <v>36.928571428571431</v>
          </cell>
          <cell r="H21">
            <v>0</v>
          </cell>
          <cell r="I21">
            <v>51.273809523809526</v>
          </cell>
          <cell r="J21">
            <v>36.619196428571428</v>
          </cell>
          <cell r="K21">
            <v>181.25394345238095</v>
          </cell>
        </row>
        <row r="22">
          <cell r="B22">
            <v>29.361458333333335</v>
          </cell>
          <cell r="C22">
            <v>0</v>
          </cell>
          <cell r="D22">
            <v>0</v>
          </cell>
          <cell r="E22">
            <v>74.444940476190482</v>
          </cell>
          <cell r="F22">
            <v>94.897098214285705</v>
          </cell>
          <cell r="G22">
            <v>140.45044642857141</v>
          </cell>
          <cell r="H22">
            <v>951.24263392857154</v>
          </cell>
          <cell r="I22">
            <v>0</v>
          </cell>
          <cell r="J22">
            <v>128.26361607142857</v>
          </cell>
          <cell r="K22">
            <v>5.6863095238095234</v>
          </cell>
        </row>
        <row r="24">
          <cell r="B24">
            <v>133.28225</v>
          </cell>
          <cell r="C24">
            <v>198.73515</v>
          </cell>
          <cell r="D24">
            <v>89.094800000000006</v>
          </cell>
          <cell r="E24">
            <v>270.65859999999998</v>
          </cell>
          <cell r="F24">
            <v>59.585549999999998</v>
          </cell>
          <cell r="G24">
            <v>24.815999999999999</v>
          </cell>
          <cell r="H24">
            <v>0</v>
          </cell>
          <cell r="I24">
            <v>34.456000000000003</v>
          </cell>
          <cell r="J24">
            <v>24.6081</v>
          </cell>
          <cell r="K24">
            <v>121.80265000000001</v>
          </cell>
        </row>
        <row r="25">
          <cell r="B25">
            <v>19.730900000000002</v>
          </cell>
          <cell r="C25">
            <v>0</v>
          </cell>
          <cell r="D25">
            <v>0</v>
          </cell>
          <cell r="E25">
            <v>50.027000000000001</v>
          </cell>
          <cell r="F25">
            <v>63.770849999999996</v>
          </cell>
          <cell r="G25">
            <v>94.382699999999986</v>
          </cell>
          <cell r="H25">
            <v>639.23505</v>
          </cell>
          <cell r="I25">
            <v>0</v>
          </cell>
          <cell r="J25">
            <v>86.193149999999989</v>
          </cell>
          <cell r="K25">
            <v>3.8211999999999997</v>
          </cell>
        </row>
        <row r="27">
          <cell r="B27">
            <v>1.8583653034192866</v>
          </cell>
          <cell r="C27">
            <v>1.9787374395919048</v>
          </cell>
          <cell r="D27">
            <v>2.3441296852162652</v>
          </cell>
          <cell r="E27">
            <v>1.6104986432576831</v>
          </cell>
          <cell r="F27">
            <v>0.42802364983782132</v>
          </cell>
          <cell r="G27">
            <v>0.65106586129594424</v>
          </cell>
          <cell r="H27">
            <v>0</v>
          </cell>
          <cell r="I27">
            <v>0.44541248651667498</v>
          </cell>
          <cell r="J27">
            <v>0.61466763797233037</v>
          </cell>
          <cell r="K27">
            <v>2.9714985086417363</v>
          </cell>
        </row>
        <row r="28">
          <cell r="B28">
            <v>0</v>
          </cell>
          <cell r="C28">
            <v>0</v>
          </cell>
          <cell r="D28">
            <v>0</v>
          </cell>
          <cell r="E28">
            <v>0.5718162006613372</v>
          </cell>
          <cell r="F28">
            <v>1.5904712794355138</v>
          </cell>
          <cell r="G28">
            <v>2.1622980633816402</v>
          </cell>
          <cell r="H28">
            <v>2.4709147666089568</v>
          </cell>
          <cell r="I28">
            <v>0</v>
          </cell>
          <cell r="J28">
            <v>2.5450375322077043</v>
          </cell>
          <cell r="K28">
            <v>0.70431367766453123</v>
          </cell>
        </row>
        <row r="30">
          <cell r="B30">
            <v>0.37485347844260031</v>
          </cell>
        </row>
        <row r="31">
          <cell r="B31">
            <v>1.2848502133108797</v>
          </cell>
        </row>
        <row r="33">
          <cell r="B33">
            <v>0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</row>
        <row r="34">
          <cell r="I34">
            <v>0</v>
          </cell>
        </row>
        <row r="38">
          <cell r="B38">
            <v>244.72554096499329</v>
          </cell>
          <cell r="C38">
            <v>381.33038655269081</v>
          </cell>
          <cell r="D38">
            <v>200.55313831123752</v>
          </cell>
          <cell r="E38">
            <v>425.91005551462831</v>
          </cell>
          <cell r="F38">
            <v>39.792383219564009</v>
          </cell>
          <cell r="G38">
            <v>16.508565659000972</v>
          </cell>
          <cell r="H38">
            <v>0</v>
          </cell>
          <cell r="I38">
            <v>28.344781556678651</v>
          </cell>
          <cell r="J38">
            <v>13.590288397129513</v>
          </cell>
          <cell r="K38">
            <v>342.34744685090919</v>
          </cell>
        </row>
        <row r="39">
          <cell r="B39">
            <v>0</v>
          </cell>
          <cell r="C39">
            <v>0</v>
          </cell>
          <cell r="D39">
            <v>0</v>
          </cell>
          <cell r="E39">
            <v>25.757307106486678</v>
          </cell>
          <cell r="F39">
            <v>97.709541898630732</v>
          </cell>
          <cell r="G39">
            <v>200.49877517315173</v>
          </cell>
          <cell r="H39">
            <v>1530.7081752194213</v>
          </cell>
          <cell r="I39">
            <v>0</v>
          </cell>
          <cell r="J39">
            <v>212.94181559972029</v>
          </cell>
          <cell r="K39">
            <v>1.7319913687180708</v>
          </cell>
        </row>
        <row r="41">
          <cell r="B41">
            <v>297.00015950485664</v>
          </cell>
          <cell r="C41">
            <v>273.97291032412772</v>
          </cell>
          <cell r="D41">
            <v>66.99756220204597</v>
          </cell>
          <cell r="E41">
            <v>245.49941495510615</v>
          </cell>
          <cell r="F41">
            <v>371.85839914984382</v>
          </cell>
          <cell r="G41">
            <v>120.40668581054766</v>
          </cell>
          <cell r="H41">
            <v>57.851137328046512</v>
          </cell>
          <cell r="I41">
            <v>97.461904395076076</v>
          </cell>
          <cell r="J41">
            <v>586.81437782796866</v>
          </cell>
          <cell r="K41">
            <v>94.526801658870511</v>
          </cell>
        </row>
        <row r="42">
          <cell r="B42">
            <v>29.844927439918237</v>
          </cell>
          <cell r="C42">
            <v>0</v>
          </cell>
          <cell r="D42">
            <v>5.7174232020124491E-2</v>
          </cell>
          <cell r="E42">
            <v>191.76205316217573</v>
          </cell>
          <cell r="F42">
            <v>430.80701297149778</v>
          </cell>
          <cell r="G42">
            <v>291.06010370728018</v>
          </cell>
          <cell r="H42">
            <v>1522.8839091427951</v>
          </cell>
          <cell r="I42">
            <v>1.6831537794372524</v>
          </cell>
          <cell r="J42">
            <v>161.69515404766821</v>
          </cell>
          <cell r="K42">
            <v>74.23794315291633</v>
          </cell>
        </row>
        <row r="44">
          <cell r="B44">
            <v>0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</row>
        <row r="45"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</row>
        <row r="46">
          <cell r="G46">
            <v>0</v>
          </cell>
        </row>
      </sheetData>
      <sheetData sheetId="9">
        <row r="13">
          <cell r="H13">
            <v>744</v>
          </cell>
          <cell r="I13">
            <v>8.493150684931508E-2</v>
          </cell>
        </row>
        <row r="21">
          <cell r="B21">
            <v>199.94892473118279</v>
          </cell>
          <cell r="C21">
            <v>300.59516129032255</v>
          </cell>
          <cell r="D21">
            <v>135.22016129032258</v>
          </cell>
          <cell r="E21">
            <v>406.21646505376344</v>
          </cell>
          <cell r="F21">
            <v>87.731384408602139</v>
          </cell>
          <cell r="G21">
            <v>36.548387096774192</v>
          </cell>
          <cell r="H21">
            <v>0</v>
          </cell>
          <cell r="I21">
            <v>56.704301075268816</v>
          </cell>
          <cell r="J21">
            <v>37.597849462365588</v>
          </cell>
          <cell r="K21">
            <v>186.04448924731179</v>
          </cell>
        </row>
        <row r="22">
          <cell r="B22">
            <v>29.293212365591401</v>
          </cell>
          <cell r="C22">
            <v>0</v>
          </cell>
          <cell r="D22">
            <v>0</v>
          </cell>
          <cell r="E22">
            <v>75.869959677419359</v>
          </cell>
          <cell r="F22">
            <v>96.622715053763443</v>
          </cell>
          <cell r="G22">
            <v>143.06760752688172</v>
          </cell>
          <cell r="H22">
            <v>966.13857526881702</v>
          </cell>
          <cell r="I22">
            <v>0</v>
          </cell>
          <cell r="J22">
            <v>129.9307123655914</v>
          </cell>
          <cell r="K22">
            <v>5.8674731182795696</v>
          </cell>
        </row>
        <row r="24">
          <cell r="B24">
            <v>148.762</v>
          </cell>
          <cell r="C24">
            <v>223.64279999999999</v>
          </cell>
          <cell r="D24">
            <v>100.60380000000001</v>
          </cell>
          <cell r="E24">
            <v>302.22505000000001</v>
          </cell>
          <cell r="F24">
            <v>65.272149999999996</v>
          </cell>
          <cell r="G24">
            <v>27.192</v>
          </cell>
          <cell r="H24">
            <v>0</v>
          </cell>
          <cell r="I24">
            <v>42.188000000000002</v>
          </cell>
          <cell r="J24">
            <v>27.972799999999999</v>
          </cell>
          <cell r="K24">
            <v>138.41709999999998</v>
          </cell>
        </row>
        <row r="25">
          <cell r="B25">
            <v>21.794150000000002</v>
          </cell>
          <cell r="C25">
            <v>0</v>
          </cell>
          <cell r="D25">
            <v>0</v>
          </cell>
          <cell r="E25">
            <v>56.447249999999997</v>
          </cell>
          <cell r="F25">
            <v>71.887299999999996</v>
          </cell>
          <cell r="G25">
            <v>106.4423</v>
          </cell>
          <cell r="H25">
            <v>718.80709999999988</v>
          </cell>
          <cell r="I25">
            <v>0</v>
          </cell>
          <cell r="J25">
            <v>96.668449999999993</v>
          </cell>
          <cell r="K25">
            <v>4.3653999999999993</v>
          </cell>
        </row>
        <row r="27">
          <cell r="B27">
            <v>1.8311549543322705</v>
          </cell>
          <cell r="C27">
            <v>1.9471186829172302</v>
          </cell>
          <cell r="D27">
            <v>2.2913741429577983</v>
          </cell>
          <cell r="E27">
            <v>1.5821892992194244</v>
          </cell>
          <cell r="F27">
            <v>0.41923205638714051</v>
          </cell>
          <cell r="G27">
            <v>0.6398255754868355</v>
          </cell>
          <cell r="H27">
            <v>0</v>
          </cell>
          <cell r="I27">
            <v>0.4839040228646086</v>
          </cell>
          <cell r="J27">
            <v>0.60350422085302968</v>
          </cell>
          <cell r="K27">
            <v>2.9032121574514913</v>
          </cell>
        </row>
        <row r="28">
          <cell r="B28">
            <v>0</v>
          </cell>
          <cell r="C28">
            <v>0</v>
          </cell>
          <cell r="D28">
            <v>0</v>
          </cell>
          <cell r="E28">
            <v>0.56604802996175252</v>
          </cell>
          <cell r="F28">
            <v>1.5702992372386062</v>
          </cell>
          <cell r="G28">
            <v>2.1352502238691011</v>
          </cell>
          <cell r="H28">
            <v>2.4277844863218481</v>
          </cell>
          <cell r="I28">
            <v>0</v>
          </cell>
          <cell r="J28">
            <v>2.5039460917280882</v>
          </cell>
          <cell r="K28">
            <v>0.67025618441350354</v>
          </cell>
        </row>
        <row r="30">
          <cell r="B30">
            <v>0.41501087198454167</v>
          </cell>
        </row>
        <row r="31">
          <cell r="B31">
            <v>1.4224939558012482</v>
          </cell>
        </row>
        <row r="33">
          <cell r="B33">
            <v>0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</row>
        <row r="34">
          <cell r="I34">
            <v>0</v>
          </cell>
        </row>
        <row r="38">
          <cell r="B38">
            <v>269.34369108820141</v>
          </cell>
          <cell r="C38">
            <v>423.5823638598095</v>
          </cell>
          <cell r="D38">
            <v>222.10287466674745</v>
          </cell>
          <cell r="E38">
            <v>467.41980092082179</v>
          </cell>
          <cell r="F38">
            <v>42.406938991148685</v>
          </cell>
          <cell r="G38">
            <v>17.779526648254897</v>
          </cell>
          <cell r="H38">
            <v>0</v>
          </cell>
          <cell r="I38">
            <v>34.450371931494729</v>
          </cell>
          <cell r="J38">
            <v>15.164284904215059</v>
          </cell>
          <cell r="K38">
            <v>382.28892061991417</v>
          </cell>
        </row>
        <row r="39">
          <cell r="B39">
            <v>0</v>
          </cell>
          <cell r="C39">
            <v>0</v>
          </cell>
          <cell r="D39">
            <v>0</v>
          </cell>
          <cell r="E39">
            <v>28.800891091122608</v>
          </cell>
          <cell r="F39">
            <v>108.9228738739469</v>
          </cell>
          <cell r="G39">
            <v>223.56880967406491</v>
          </cell>
          <cell r="H39">
            <v>1692.8195503450956</v>
          </cell>
          <cell r="I39">
            <v>0</v>
          </cell>
          <cell r="J39">
            <v>235.07828990384382</v>
          </cell>
          <cell r="K39">
            <v>1.9125306604469916</v>
          </cell>
        </row>
        <row r="41">
          <cell r="B41">
            <v>328.81726398207212</v>
          </cell>
          <cell r="C41">
            <v>303.32314611606176</v>
          </cell>
          <cell r="D41">
            <v>74.174893149797143</v>
          </cell>
          <cell r="E41">
            <v>271.79933529098793</v>
          </cell>
          <cell r="F41">
            <v>411.69493511738494</v>
          </cell>
          <cell r="G41">
            <v>133.30564219015463</v>
          </cell>
          <cell r="H41">
            <v>64.048627873374315</v>
          </cell>
          <cell r="I41">
            <v>107.90282671598081</v>
          </cell>
          <cell r="J41">
            <v>649.67876954820076</v>
          </cell>
          <cell r="K41">
            <v>104.65329158834186</v>
          </cell>
        </row>
        <row r="42">
          <cell r="B42">
            <v>33.042162000512022</v>
          </cell>
          <cell r="C42">
            <v>0</v>
          </cell>
          <cell r="D42">
            <v>6.3299206890917836E-2</v>
          </cell>
          <cell r="E42">
            <v>212.30518448708176</v>
          </cell>
          <cell r="F42">
            <v>476.95861020997381</v>
          </cell>
          <cell r="G42">
            <v>322.24086045920473</v>
          </cell>
          <cell r="H42">
            <v>1686.0277826162849</v>
          </cell>
          <cell r="I42">
            <v>1.8634670820996353</v>
          </cell>
          <cell r="J42">
            <v>179.01727137706985</v>
          </cell>
          <cell r="K42">
            <v>82.190923371539043</v>
          </cell>
        </row>
        <row r="44">
          <cell r="B44">
            <v>0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</row>
        <row r="45"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</row>
        <row r="46">
          <cell r="G46">
            <v>0</v>
          </cell>
        </row>
      </sheetData>
      <sheetData sheetId="10">
        <row r="13">
          <cell r="H13">
            <v>720</v>
          </cell>
          <cell r="I13">
            <v>8.2191780821917804E-2</v>
          </cell>
        </row>
        <row r="21">
          <cell r="B21">
            <v>201.4997222222222</v>
          </cell>
          <cell r="C21">
            <v>304.41041666666666</v>
          </cell>
          <cell r="D21">
            <v>137.42305555555555</v>
          </cell>
          <cell r="E21">
            <v>409.94749999999993</v>
          </cell>
          <cell r="F21">
            <v>86.99</v>
          </cell>
          <cell r="G21">
            <v>35.93333333333333</v>
          </cell>
          <cell r="H21">
            <v>0</v>
          </cell>
          <cell r="I21">
            <v>60.836111111111109</v>
          </cell>
          <cell r="J21">
            <v>38.216805555555545</v>
          </cell>
          <cell r="K21">
            <v>190.06027777777777</v>
          </cell>
        </row>
        <row r="22">
          <cell r="B22">
            <v>29.187499999999996</v>
          </cell>
          <cell r="C22">
            <v>0</v>
          </cell>
          <cell r="D22">
            <v>0</v>
          </cell>
          <cell r="E22">
            <v>77.080555555555549</v>
          </cell>
          <cell r="F22">
            <v>97.497361111111118</v>
          </cell>
          <cell r="G22">
            <v>145.21930555555556</v>
          </cell>
          <cell r="H22">
            <v>979.15319444444435</v>
          </cell>
          <cell r="I22">
            <v>0</v>
          </cell>
          <cell r="J22">
            <v>131.37416666666667</v>
          </cell>
          <cell r="K22">
            <v>5.99263888888889</v>
          </cell>
        </row>
        <row r="24">
          <cell r="B24">
            <v>145.07979999999998</v>
          </cell>
          <cell r="C24">
            <v>219.1755</v>
          </cell>
          <cell r="D24">
            <v>98.944600000000008</v>
          </cell>
          <cell r="E24">
            <v>295.16219999999993</v>
          </cell>
          <cell r="F24">
            <v>62.632799999999996</v>
          </cell>
          <cell r="G24">
            <v>25.872</v>
          </cell>
          <cell r="H24">
            <v>0</v>
          </cell>
          <cell r="I24">
            <v>43.802</v>
          </cell>
          <cell r="J24">
            <v>27.516099999999994</v>
          </cell>
          <cell r="K24">
            <v>136.8434</v>
          </cell>
        </row>
        <row r="25">
          <cell r="B25">
            <v>21.014999999999997</v>
          </cell>
          <cell r="C25">
            <v>0</v>
          </cell>
          <cell r="D25">
            <v>0</v>
          </cell>
          <cell r="E25">
            <v>55.497999999999998</v>
          </cell>
          <cell r="F25">
            <v>70.198100000000011</v>
          </cell>
          <cell r="G25">
            <v>104.5579</v>
          </cell>
          <cell r="H25">
            <v>704.99029999999993</v>
          </cell>
          <cell r="I25">
            <v>0</v>
          </cell>
          <cell r="J25">
            <v>94.589399999999998</v>
          </cell>
          <cell r="K25">
            <v>4.3147000000000011</v>
          </cell>
        </row>
        <row r="27">
          <cell r="B27">
            <v>1.8062694213511508</v>
          </cell>
          <cell r="C27">
            <v>1.9175344143308333</v>
          </cell>
          <cell r="D27">
            <v>2.2451703543101882</v>
          </cell>
          <cell r="E27">
            <v>1.5558454958339218</v>
          </cell>
          <cell r="F27">
            <v>0.41333262801738385</v>
          </cell>
          <cell r="G27">
            <v>0.63011904072079683</v>
          </cell>
          <cell r="H27">
            <v>0</v>
          </cell>
          <cell r="I27">
            <v>0.5096379126426348</v>
          </cell>
          <cell r="J27">
            <v>0.59518329922016688</v>
          </cell>
          <cell r="K27">
            <v>2.8467699317483057</v>
          </cell>
        </row>
        <row r="28">
          <cell r="B28">
            <v>0</v>
          </cell>
          <cell r="C28">
            <v>0</v>
          </cell>
          <cell r="D28">
            <v>0</v>
          </cell>
          <cell r="E28">
            <v>0.5589063226300558</v>
          </cell>
          <cell r="F28">
            <v>1.5519262926487338</v>
          </cell>
          <cell r="G28">
            <v>2.1105369100609703</v>
          </cell>
          <cell r="H28">
            <v>2.3900793524638555</v>
          </cell>
          <cell r="I28">
            <v>0</v>
          </cell>
          <cell r="J28">
            <v>2.469741407460083</v>
          </cell>
          <cell r="K28">
            <v>0.64224071803095728</v>
          </cell>
        </row>
        <row r="30">
          <cell r="B30">
            <v>0.40162009067101812</v>
          </cell>
        </row>
        <row r="31">
          <cell r="B31">
            <v>1.3765956269433646</v>
          </cell>
        </row>
        <row r="33">
          <cell r="B33">
            <v>0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</row>
        <row r="34">
          <cell r="I34">
            <v>0</v>
          </cell>
        </row>
        <row r="38">
          <cell r="B38">
            <v>259.44757306156532</v>
          </cell>
          <cell r="C38">
            <v>410.72758257321846</v>
          </cell>
          <cell r="D38">
            <v>215.07085985026904</v>
          </cell>
          <cell r="E38">
            <v>449.4366647390861</v>
          </cell>
          <cell r="F38">
            <v>39.575362739876013</v>
          </cell>
          <cell r="G38">
            <v>16.628051702647824</v>
          </cell>
          <cell r="H38">
            <v>0</v>
          </cell>
          <cell r="I38">
            <v>35.497565032456663</v>
          </cell>
          <cell r="J38">
            <v>14.724374005649786</v>
          </cell>
          <cell r="K38">
            <v>372.98142353030187</v>
          </cell>
        </row>
        <row r="39">
          <cell r="B39">
            <v>0</v>
          </cell>
          <cell r="C39">
            <v>0</v>
          </cell>
          <cell r="D39">
            <v>0</v>
          </cell>
          <cell r="E39">
            <v>27.985407314256467</v>
          </cell>
          <cell r="F39">
            <v>105.41474196207476</v>
          </cell>
          <cell r="G39">
            <v>217.49442662154533</v>
          </cell>
          <cell r="H39">
            <v>1637.3321020201538</v>
          </cell>
          <cell r="I39">
            <v>0</v>
          </cell>
          <cell r="J39">
            <v>227.15056104044103</v>
          </cell>
          <cell r="K39">
            <v>1.8432087732826301</v>
          </cell>
        </row>
        <row r="41">
          <cell r="B41">
            <v>318.20761403955424</v>
          </cell>
          <cell r="C41">
            <v>293.53609186963365</v>
          </cell>
          <cell r="D41">
            <v>71.781558805631079</v>
          </cell>
          <cell r="E41">
            <v>263.02943140235379</v>
          </cell>
          <cell r="F41">
            <v>398.41114614655658</v>
          </cell>
          <cell r="G41">
            <v>129.00438932443771</v>
          </cell>
          <cell r="H41">
            <v>61.982028593258221</v>
          </cell>
          <cell r="I41">
            <v>104.42122357446472</v>
          </cell>
          <cell r="J41">
            <v>628.71617094094506</v>
          </cell>
          <cell r="K41">
            <v>101.27653826451062</v>
          </cell>
        </row>
        <row r="42">
          <cell r="B42">
            <v>31.97602037545272</v>
          </cell>
          <cell r="C42">
            <v>0</v>
          </cell>
          <cell r="D42">
            <v>6.1256788501388659E-2</v>
          </cell>
          <cell r="E42">
            <v>205.45492467678045</v>
          </cell>
          <cell r="F42">
            <v>461.5690171268273</v>
          </cell>
          <cell r="G42">
            <v>311.84340539481877</v>
          </cell>
          <cell r="H42">
            <v>1631.6262455732244</v>
          </cell>
          <cell r="I42">
            <v>1.8033402712958078</v>
          </cell>
          <cell r="J42">
            <v>173.24108262112</v>
          </cell>
          <cell r="K42">
            <v>79.538943013622458</v>
          </cell>
        </row>
        <row r="44">
          <cell r="B44">
            <v>0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</row>
        <row r="45"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</row>
        <row r="46">
          <cell r="G46">
            <v>0</v>
          </cell>
        </row>
      </sheetData>
      <sheetData sheetId="11">
        <row r="13">
          <cell r="H13">
            <v>744</v>
          </cell>
          <cell r="I13">
            <v>8.4931506849315067E-2</v>
          </cell>
        </row>
        <row r="21">
          <cell r="B21">
            <v>199.34032258064516</v>
          </cell>
          <cell r="C21">
            <v>300.70907258064517</v>
          </cell>
          <cell r="D21">
            <v>134.9850806451613</v>
          </cell>
          <cell r="E21">
            <v>403.97876344086023</v>
          </cell>
          <cell r="F21">
            <v>87.720967741935482</v>
          </cell>
          <cell r="G21">
            <v>37.258064516129032</v>
          </cell>
          <cell r="H21">
            <v>0</v>
          </cell>
          <cell r="I21">
            <v>57.133064516129032</v>
          </cell>
          <cell r="J21">
            <v>37.960416666666667</v>
          </cell>
          <cell r="K21">
            <v>185.58064516129028</v>
          </cell>
        </row>
        <row r="22">
          <cell r="B22">
            <v>29.40994623655914</v>
          </cell>
          <cell r="C22">
            <v>0</v>
          </cell>
          <cell r="D22">
            <v>0</v>
          </cell>
          <cell r="E22">
            <v>75.695564516129039</v>
          </cell>
          <cell r="F22">
            <v>97.754099462365602</v>
          </cell>
          <cell r="G22">
            <v>142.91001344086024</v>
          </cell>
          <cell r="H22">
            <v>963.49805107526868</v>
          </cell>
          <cell r="I22">
            <v>0</v>
          </cell>
          <cell r="J22">
            <v>129.6649193548387</v>
          </cell>
          <cell r="K22">
            <v>5.9105510752688168</v>
          </cell>
        </row>
        <row r="24">
          <cell r="B24">
            <v>148.3092</v>
          </cell>
          <cell r="C24">
            <v>223.72754999999998</v>
          </cell>
          <cell r="D24">
            <v>100.42890000000001</v>
          </cell>
          <cell r="E24">
            <v>300.56020000000001</v>
          </cell>
          <cell r="F24">
            <v>65.264399999999995</v>
          </cell>
          <cell r="G24">
            <v>27.72</v>
          </cell>
          <cell r="H24">
            <v>0</v>
          </cell>
          <cell r="I24">
            <v>42.506999999999998</v>
          </cell>
          <cell r="J24">
            <v>28.242549999999998</v>
          </cell>
          <cell r="K24">
            <v>138.07199999999997</v>
          </cell>
        </row>
        <row r="25">
          <cell r="B25">
            <v>21.881</v>
          </cell>
          <cell r="C25">
            <v>0</v>
          </cell>
          <cell r="D25">
            <v>0</v>
          </cell>
          <cell r="E25">
            <v>56.317500000000003</v>
          </cell>
          <cell r="F25">
            <v>72.729050000000001</v>
          </cell>
          <cell r="G25">
            <v>106.32505000000002</v>
          </cell>
          <cell r="H25">
            <v>716.84254999999996</v>
          </cell>
          <cell r="I25">
            <v>0</v>
          </cell>
          <cell r="J25">
            <v>96.470699999999994</v>
          </cell>
          <cell r="K25">
            <v>4.3974500000000001</v>
          </cell>
        </row>
        <row r="27">
          <cell r="B27">
            <v>1.8385026678369267</v>
          </cell>
          <cell r="C27">
            <v>1.9571711665335827</v>
          </cell>
          <cell r="D27">
            <v>2.3009781922094112</v>
          </cell>
          <cell r="E27">
            <v>1.5908626928618135</v>
          </cell>
          <cell r="F27">
            <v>0.41674495198573025</v>
          </cell>
          <cell r="G27">
            <v>0.64155895325828516</v>
          </cell>
          <cell r="H27">
            <v>0</v>
          </cell>
          <cell r="I27">
            <v>0.49500905838421544</v>
          </cell>
          <cell r="J27">
            <v>0.60223046311411799</v>
          </cell>
          <cell r="K27">
            <v>2.9080066310294499</v>
          </cell>
        </row>
        <row r="28">
          <cell r="B28">
            <v>0</v>
          </cell>
          <cell r="C28">
            <v>0</v>
          </cell>
          <cell r="D28">
            <v>0</v>
          </cell>
          <cell r="E28">
            <v>0.57184315139898545</v>
          </cell>
          <cell r="F28">
            <v>1.5755746654777723</v>
          </cell>
          <cell r="G28">
            <v>2.1425004843388575</v>
          </cell>
          <cell r="H28">
            <v>2.4354801524038527</v>
          </cell>
          <cell r="I28">
            <v>0</v>
          </cell>
          <cell r="J28">
            <v>2.5073771523634876</v>
          </cell>
          <cell r="K28">
            <v>0.67234128777152324</v>
          </cell>
        </row>
        <row r="30">
          <cell r="B30">
            <v>0.41500879584662204</v>
          </cell>
        </row>
        <row r="31">
          <cell r="B31">
            <v>1.4224868396174533</v>
          </cell>
        </row>
        <row r="33">
          <cell r="B33">
            <v>0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</row>
        <row r="34">
          <cell r="I34">
            <v>0</v>
          </cell>
        </row>
        <row r="38">
          <cell r="B38">
            <v>269.2821975656712</v>
          </cell>
          <cell r="C38">
            <v>424.20420737648499</v>
          </cell>
          <cell r="D38">
            <v>221.90360819076528</v>
          </cell>
          <cell r="E38">
            <v>466.7867032962908</v>
          </cell>
          <cell r="F38">
            <v>42.862111241610037</v>
          </cell>
          <cell r="G38">
            <v>18.236190363079952</v>
          </cell>
          <cell r="H38">
            <v>0</v>
          </cell>
          <cell r="I38">
            <v>34.929576424236799</v>
          </cell>
          <cell r="J38">
            <v>15.261684475423699</v>
          </cell>
          <cell r="K38">
            <v>381.08474808588392</v>
          </cell>
        </row>
        <row r="39">
          <cell r="B39">
            <v>0</v>
          </cell>
          <cell r="C39">
            <v>0</v>
          </cell>
          <cell r="D39">
            <v>0</v>
          </cell>
          <cell r="E39">
            <v>29.047223396970466</v>
          </cell>
          <cell r="F39">
            <v>110.2547658825244</v>
          </cell>
          <cell r="G39">
            <v>223.76871323301583</v>
          </cell>
          <cell r="H39">
            <v>1691.4652811889757</v>
          </cell>
          <cell r="I39">
            <v>0</v>
          </cell>
          <cell r="J39">
            <v>234.66060125596243</v>
          </cell>
          <cell r="K39">
            <v>1.9213369552085688</v>
          </cell>
        </row>
        <row r="41">
          <cell r="B41">
            <v>328.81561903723707</v>
          </cell>
          <cell r="C41">
            <v>303.32162870837914</v>
          </cell>
          <cell r="D41">
            <v>74.17452208166678</v>
          </cell>
          <cell r="E41">
            <v>271.79797558466549</v>
          </cell>
          <cell r="F41">
            <v>411.6928755678075</v>
          </cell>
          <cell r="G41">
            <v>133.30497531389346</v>
          </cell>
          <cell r="H41">
            <v>64.048307463009181</v>
          </cell>
          <cell r="I41">
            <v>107.90228692012174</v>
          </cell>
          <cell r="J41">
            <v>649.67551945809441</v>
          </cell>
          <cell r="K41">
            <v>104.65276804864267</v>
          </cell>
        </row>
        <row r="42">
          <cell r="B42">
            <v>33.041996703431622</v>
          </cell>
          <cell r="C42">
            <v>0</v>
          </cell>
          <cell r="D42">
            <v>6.3298890229614296E-2</v>
          </cell>
          <cell r="E42">
            <v>212.30412240684777</v>
          </cell>
          <cell r="F42">
            <v>476.95622417162264</v>
          </cell>
          <cell r="G42">
            <v>322.23924841355773</v>
          </cell>
          <cell r="H42">
            <v>1686.0193480752905</v>
          </cell>
          <cell r="I42">
            <v>1.8634577598988642</v>
          </cell>
          <cell r="J42">
            <v>179.01637582331347</v>
          </cell>
          <cell r="K42">
            <v>82.190512202328392</v>
          </cell>
        </row>
        <row r="44">
          <cell r="B44">
            <v>0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</row>
        <row r="45"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</row>
        <row r="46">
          <cell r="G46">
            <v>0</v>
          </cell>
        </row>
      </sheetData>
      <sheetData sheetId="12">
        <row r="13">
          <cell r="H13">
            <v>720</v>
          </cell>
          <cell r="I13">
            <v>8.2191780821917804E-2</v>
          </cell>
        </row>
        <row r="21">
          <cell r="B21">
            <v>201.4997222222222</v>
          </cell>
          <cell r="C21">
            <v>304.41041666666666</v>
          </cell>
          <cell r="D21">
            <v>137.42305555555555</v>
          </cell>
          <cell r="E21">
            <v>409.94749999999993</v>
          </cell>
          <cell r="F21">
            <v>86.99</v>
          </cell>
          <cell r="G21">
            <v>35.93333333333333</v>
          </cell>
          <cell r="H21">
            <v>0</v>
          </cell>
          <cell r="I21">
            <v>60.836111111111109</v>
          </cell>
          <cell r="J21">
            <v>38.216805555555545</v>
          </cell>
          <cell r="K21">
            <v>190.06027777777777</v>
          </cell>
        </row>
        <row r="22">
          <cell r="B22">
            <v>29.187499999999996</v>
          </cell>
          <cell r="C22">
            <v>0</v>
          </cell>
          <cell r="D22">
            <v>0</v>
          </cell>
          <cell r="E22">
            <v>77.080555555555549</v>
          </cell>
          <cell r="F22">
            <v>97.497361111111118</v>
          </cell>
          <cell r="G22">
            <v>145.21930555555556</v>
          </cell>
          <cell r="H22">
            <v>979.15319444444435</v>
          </cell>
          <cell r="I22">
            <v>0</v>
          </cell>
          <cell r="J22">
            <v>131.37416666666667</v>
          </cell>
          <cell r="K22">
            <v>5.99263888888889</v>
          </cell>
        </row>
        <row r="24">
          <cell r="B24">
            <v>145.07979999999998</v>
          </cell>
          <cell r="C24">
            <v>219.1755</v>
          </cell>
          <cell r="D24">
            <v>98.944600000000008</v>
          </cell>
          <cell r="E24">
            <v>295.16219999999993</v>
          </cell>
          <cell r="F24">
            <v>62.632799999999996</v>
          </cell>
          <cell r="G24">
            <v>25.872</v>
          </cell>
          <cell r="H24">
            <v>0</v>
          </cell>
          <cell r="I24">
            <v>43.802</v>
          </cell>
          <cell r="J24">
            <v>27.516099999999994</v>
          </cell>
          <cell r="K24">
            <v>136.8434</v>
          </cell>
        </row>
        <row r="25">
          <cell r="B25">
            <v>21.014999999999997</v>
          </cell>
          <cell r="C25">
            <v>0</v>
          </cell>
          <cell r="D25">
            <v>0</v>
          </cell>
          <cell r="E25">
            <v>55.497999999999998</v>
          </cell>
          <cell r="F25">
            <v>70.198100000000011</v>
          </cell>
          <cell r="G25">
            <v>104.5579</v>
          </cell>
          <cell r="H25">
            <v>704.99029999999993</v>
          </cell>
          <cell r="I25">
            <v>0</v>
          </cell>
          <cell r="J25">
            <v>94.589399999999998</v>
          </cell>
          <cell r="K25">
            <v>4.3147000000000011</v>
          </cell>
        </row>
        <row r="27">
          <cell r="B27">
            <v>1.8062694213511508</v>
          </cell>
          <cell r="C27">
            <v>1.9175344143308333</v>
          </cell>
          <cell r="D27">
            <v>2.2451703543101882</v>
          </cell>
          <cell r="E27">
            <v>1.5558454958339218</v>
          </cell>
          <cell r="F27">
            <v>0.41333262801738385</v>
          </cell>
          <cell r="G27">
            <v>0.63011904072079683</v>
          </cell>
          <cell r="H27">
            <v>0</v>
          </cell>
          <cell r="I27">
            <v>0.5096379126426348</v>
          </cell>
          <cell r="J27">
            <v>0.59518329922016688</v>
          </cell>
          <cell r="K27">
            <v>2.8467699317483057</v>
          </cell>
        </row>
        <row r="28">
          <cell r="B28">
            <v>0</v>
          </cell>
          <cell r="C28">
            <v>0</v>
          </cell>
          <cell r="D28">
            <v>0</v>
          </cell>
          <cell r="E28">
            <v>0.5589063226300558</v>
          </cell>
          <cell r="F28">
            <v>1.5519262926487338</v>
          </cell>
          <cell r="G28">
            <v>2.1105369100609703</v>
          </cell>
          <cell r="H28">
            <v>2.3900793524638555</v>
          </cell>
          <cell r="I28">
            <v>0</v>
          </cell>
          <cell r="J28">
            <v>2.469741407460083</v>
          </cell>
          <cell r="K28">
            <v>0.64224071803095728</v>
          </cell>
        </row>
        <row r="30">
          <cell r="B30">
            <v>0.40162009067101812</v>
          </cell>
        </row>
        <row r="31">
          <cell r="B31">
            <v>1.3765956269433646</v>
          </cell>
        </row>
        <row r="33">
          <cell r="B33">
            <v>0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</row>
        <row r="34">
          <cell r="I34">
            <v>0</v>
          </cell>
        </row>
        <row r="38">
          <cell r="B38">
            <v>259.44757306156532</v>
          </cell>
          <cell r="C38">
            <v>410.72758257321846</v>
          </cell>
          <cell r="D38">
            <v>215.07085985026904</v>
          </cell>
          <cell r="E38">
            <v>449.4366647390861</v>
          </cell>
          <cell r="F38">
            <v>39.575362739876013</v>
          </cell>
          <cell r="G38">
            <v>16.628051702647824</v>
          </cell>
          <cell r="H38">
            <v>0</v>
          </cell>
          <cell r="I38">
            <v>35.497565032456663</v>
          </cell>
          <cell r="J38">
            <v>14.724374005649786</v>
          </cell>
          <cell r="K38">
            <v>372.98142353030187</v>
          </cell>
        </row>
        <row r="39">
          <cell r="B39">
            <v>0</v>
          </cell>
          <cell r="C39">
            <v>0</v>
          </cell>
          <cell r="D39">
            <v>0</v>
          </cell>
          <cell r="E39">
            <v>27.985407314256467</v>
          </cell>
          <cell r="F39">
            <v>105.41474196207476</v>
          </cell>
          <cell r="G39">
            <v>217.49442662154533</v>
          </cell>
          <cell r="H39">
            <v>1637.3321020201538</v>
          </cell>
          <cell r="I39">
            <v>0</v>
          </cell>
          <cell r="J39">
            <v>227.15056104044103</v>
          </cell>
          <cell r="K39">
            <v>1.8432087732826301</v>
          </cell>
        </row>
        <row r="41">
          <cell r="B41">
            <v>318.20761403955424</v>
          </cell>
          <cell r="C41">
            <v>293.53609186963365</v>
          </cell>
          <cell r="D41">
            <v>71.781558805631079</v>
          </cell>
          <cell r="E41">
            <v>263.02943140235379</v>
          </cell>
          <cell r="F41">
            <v>398.41114614655658</v>
          </cell>
          <cell r="G41">
            <v>129.00438932443771</v>
          </cell>
          <cell r="H41">
            <v>61.982028593258221</v>
          </cell>
          <cell r="I41">
            <v>104.42122357446472</v>
          </cell>
          <cell r="J41">
            <v>628.71617094094506</v>
          </cell>
          <cell r="K41">
            <v>101.27653826451062</v>
          </cell>
        </row>
        <row r="42">
          <cell r="B42">
            <v>31.97602037545272</v>
          </cell>
          <cell r="C42">
            <v>0</v>
          </cell>
          <cell r="D42">
            <v>6.1256788501388659E-2</v>
          </cell>
          <cell r="E42">
            <v>205.45492467678045</v>
          </cell>
          <cell r="F42">
            <v>461.5690171268273</v>
          </cell>
          <cell r="G42">
            <v>311.84340539481877</v>
          </cell>
          <cell r="H42">
            <v>1631.6262455732244</v>
          </cell>
          <cell r="I42">
            <v>1.8033402712958078</v>
          </cell>
          <cell r="J42">
            <v>173.24108262112</v>
          </cell>
          <cell r="K42">
            <v>79.538943013622458</v>
          </cell>
        </row>
        <row r="44">
          <cell r="B44">
            <v>0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</row>
        <row r="45"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</row>
        <row r="46">
          <cell r="G46">
            <v>0</v>
          </cell>
        </row>
      </sheetData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"/>
      <sheetName val="Nod"/>
      <sheetName val="Ram"/>
      <sheetName val="%USO"/>
      <sheetName val="Dias"/>
      <sheetName val="ENERGIA"/>
      <sheetName val="ENSA"/>
    </sheetNames>
    <sheetDataSet>
      <sheetData sheetId="0">
        <row r="1">
          <cell r="B1">
            <v>3</v>
          </cell>
          <cell r="C1" t="str">
            <v>2027-2028</v>
          </cell>
        </row>
        <row r="3">
          <cell r="B3">
            <v>109937.69127504321</v>
          </cell>
          <cell r="D3">
            <v>3865.329999999999</v>
          </cell>
        </row>
        <row r="4">
          <cell r="B4">
            <v>94024.209766947402</v>
          </cell>
          <cell r="D4">
            <v>3590.5699999999988</v>
          </cell>
          <cell r="F4">
            <v>26.18642994481306</v>
          </cell>
        </row>
        <row r="5">
          <cell r="B5">
            <v>15913.481508095811</v>
          </cell>
          <cell r="D5">
            <v>274.76000000000005</v>
          </cell>
          <cell r="F5">
            <v>57.917751885630395</v>
          </cell>
        </row>
        <row r="7">
          <cell r="C7">
            <v>1</v>
          </cell>
          <cell r="D7">
            <v>0</v>
          </cell>
          <cell r="E7">
            <v>1</v>
          </cell>
          <cell r="F7">
            <v>0</v>
          </cell>
          <cell r="G7" t="str">
            <v>(230 kV)</v>
          </cell>
        </row>
        <row r="11">
          <cell r="B11">
            <v>792.31</v>
          </cell>
          <cell r="C11">
            <v>730.88000000000011</v>
          </cell>
          <cell r="D11">
            <v>178.73000000000005</v>
          </cell>
          <cell r="E11">
            <v>654.92099999999982</v>
          </cell>
          <cell r="F11">
            <v>1521.0099999999998</v>
          </cell>
          <cell r="G11">
            <v>321.21000000000004</v>
          </cell>
          <cell r="H11">
            <v>154.33000000000001</v>
          </cell>
          <cell r="I11">
            <v>260</v>
          </cell>
          <cell r="J11">
            <v>1565.45</v>
          </cell>
          <cell r="K11">
            <v>252.17</v>
          </cell>
        </row>
        <row r="12">
          <cell r="B12">
            <v>23.818168817194277</v>
          </cell>
          <cell r="C12">
            <v>0</v>
          </cell>
          <cell r="D12">
            <v>4.5628709032387936E-2</v>
          </cell>
          <cell r="E12">
            <v>155.06627029726724</v>
          </cell>
          <cell r="F12">
            <v>343.2742066542113</v>
          </cell>
          <cell r="G12">
            <v>233.21737299498511</v>
          </cell>
          <cell r="H12">
            <v>1224.6824787760868</v>
          </cell>
          <cell r="I12">
            <v>1.33</v>
          </cell>
          <cell r="J12">
            <v>127.87605038516638</v>
          </cell>
          <cell r="K12">
            <v>59.246646392995132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sumen"/>
      <sheetName val="M01"/>
      <sheetName val="M02"/>
      <sheetName val="M03"/>
      <sheetName val="M04"/>
      <sheetName val="M05"/>
      <sheetName val="M06"/>
      <sheetName val="M07"/>
      <sheetName val="M08"/>
      <sheetName val="M09"/>
      <sheetName val="M10"/>
      <sheetName val="M11"/>
      <sheetName val="M12"/>
    </sheetNames>
    <sheetDataSet>
      <sheetData sheetId="0" refreshError="1"/>
      <sheetData sheetId="1">
        <row r="13">
          <cell r="H13">
            <v>744</v>
          </cell>
          <cell r="I13">
            <v>8.4699453551912565E-2</v>
          </cell>
        </row>
        <row r="21">
          <cell r="B21">
            <v>156.47869623655913</v>
          </cell>
          <cell r="C21">
            <v>233.66290322580647</v>
          </cell>
          <cell r="D21">
            <v>127.84623655913977</v>
          </cell>
          <cell r="E21">
            <v>477.73655913978496</v>
          </cell>
          <cell r="F21">
            <v>220.91848118279572</v>
          </cell>
          <cell r="G21">
            <v>70.748387096774195</v>
          </cell>
          <cell r="H21">
            <v>0</v>
          </cell>
          <cell r="I21">
            <v>50.321908602150536</v>
          </cell>
          <cell r="J21">
            <v>27.80141129032258</v>
          </cell>
          <cell r="K21">
            <v>143.03051075268814</v>
          </cell>
        </row>
        <row r="22">
          <cell r="B22">
            <v>5.637096774193548</v>
          </cell>
          <cell r="C22">
            <v>0</v>
          </cell>
          <cell r="D22">
            <v>7.0967741935483886E-2</v>
          </cell>
          <cell r="E22">
            <v>139.44475806451615</v>
          </cell>
          <cell r="F22">
            <v>66.359206989247298</v>
          </cell>
          <cell r="G22">
            <v>152.77096774193546</v>
          </cell>
          <cell r="H22">
            <v>1008.2976478494625</v>
          </cell>
          <cell r="I22">
            <v>0</v>
          </cell>
          <cell r="J22">
            <v>132.70880376344084</v>
          </cell>
          <cell r="K22">
            <v>3.5575268817204302</v>
          </cell>
        </row>
        <row r="24">
          <cell r="B24">
            <v>116.42014999999999</v>
          </cell>
          <cell r="C24">
            <v>173.84520000000001</v>
          </cell>
          <cell r="D24">
            <v>95.117599999999996</v>
          </cell>
          <cell r="E24">
            <v>355.43599999999998</v>
          </cell>
          <cell r="F24">
            <v>164.36335</v>
          </cell>
          <cell r="G24">
            <v>52.636800000000001</v>
          </cell>
          <cell r="H24">
            <v>0</v>
          </cell>
          <cell r="I24">
            <v>37.439500000000002</v>
          </cell>
          <cell r="J24">
            <v>20.684249999999999</v>
          </cell>
          <cell r="K24">
            <v>106.41469999999998</v>
          </cell>
        </row>
        <row r="25">
          <cell r="B25">
            <v>4.194</v>
          </cell>
          <cell r="C25">
            <v>0</v>
          </cell>
          <cell r="D25">
            <v>5.2800000000000014E-2</v>
          </cell>
          <cell r="E25">
            <v>103.74690000000001</v>
          </cell>
          <cell r="F25">
            <v>49.371249999999989</v>
          </cell>
          <cell r="G25">
            <v>113.66159999999999</v>
          </cell>
          <cell r="H25">
            <v>750.17345000000012</v>
          </cell>
          <cell r="I25">
            <v>0</v>
          </cell>
          <cell r="J25">
            <v>98.735349999999997</v>
          </cell>
          <cell r="K25">
            <v>2.6468000000000003</v>
          </cell>
        </row>
        <row r="27">
          <cell r="B27">
            <v>1.9324359814664893</v>
          </cell>
          <cell r="C27">
            <v>1.7641704817653856</v>
          </cell>
          <cell r="D27">
            <v>2.09347453743983</v>
          </cell>
          <cell r="E27">
            <v>1.4207409622186284</v>
          </cell>
          <cell r="F27">
            <v>0.45744590166897087</v>
          </cell>
          <cell r="G27">
            <v>0.61454539801478036</v>
          </cell>
          <cell r="H27">
            <v>0</v>
          </cell>
          <cell r="I27">
            <v>0.26225401015064431</v>
          </cell>
          <cell r="J27">
            <v>0.97194669930332311</v>
          </cell>
          <cell r="K27">
            <v>2.7355793243431856</v>
          </cell>
        </row>
        <row r="28">
          <cell r="B28">
            <v>0</v>
          </cell>
          <cell r="C28">
            <v>0</v>
          </cell>
          <cell r="D28">
            <v>0</v>
          </cell>
          <cell r="E28">
            <v>0.75223748315170236</v>
          </cell>
          <cell r="F28">
            <v>1.4115277440445568</v>
          </cell>
          <cell r="G28">
            <v>1.7067712293282462</v>
          </cell>
          <cell r="H28">
            <v>1.9895013596311912</v>
          </cell>
          <cell r="I28">
            <v>0</v>
          </cell>
          <cell r="J28">
            <v>2.4474452302630811</v>
          </cell>
          <cell r="K28">
            <v>0.82225880206494051</v>
          </cell>
        </row>
        <row r="30">
          <cell r="B30">
            <v>0.46964883779429994</v>
          </cell>
        </row>
        <row r="31">
          <cell r="B31">
            <v>1.4301594293744877</v>
          </cell>
        </row>
        <row r="33">
          <cell r="B33">
            <v>0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</row>
        <row r="34">
          <cell r="I34">
            <v>0</v>
          </cell>
        </row>
        <row r="38">
          <cell r="B38">
            <v>219.16272305940032</v>
          </cell>
          <cell r="C38">
            <v>292.58494319716755</v>
          </cell>
          <cell r="D38">
            <v>192.72799102895624</v>
          </cell>
          <cell r="E38">
            <v>495.23856178691904</v>
          </cell>
          <cell r="F38">
            <v>110.41604383782527</v>
          </cell>
          <cell r="G38">
            <v>32.68165469844768</v>
          </cell>
          <cell r="H38">
            <v>0</v>
          </cell>
          <cell r="I38">
            <v>12.474224770132338</v>
          </cell>
          <cell r="J38">
            <v>19.955636071120825</v>
          </cell>
          <cell r="K38">
            <v>277.51193634186404</v>
          </cell>
        </row>
        <row r="39">
          <cell r="B39">
            <v>0</v>
          </cell>
          <cell r="C39">
            <v>0</v>
          </cell>
          <cell r="D39">
            <v>0</v>
          </cell>
          <cell r="E39">
            <v>76.03144720464519</v>
          </cell>
          <cell r="F39">
            <v>66.327436357671218</v>
          </cell>
          <cell r="G39">
            <v>190.95074476688626</v>
          </cell>
          <cell r="H39">
            <v>1448.4394646117998</v>
          </cell>
          <cell r="I39">
            <v>0</v>
          </cell>
          <cell r="J39">
            <v>236.39773868956439</v>
          </cell>
          <cell r="K39">
            <v>1.8854864483402294</v>
          </cell>
        </row>
        <row r="41">
          <cell r="B41">
            <v>257.18440006453665</v>
          </cell>
          <cell r="C41">
            <v>327.21843475642271</v>
          </cell>
          <cell r="D41">
            <v>83.940336778975251</v>
          </cell>
          <cell r="E41">
            <v>307.58288649708066</v>
          </cell>
          <cell r="F41">
            <v>404.6541351319467</v>
          </cell>
          <cell r="G41">
            <v>108.68143755397897</v>
          </cell>
          <cell r="H41">
            <v>72.48090513679432</v>
          </cell>
          <cell r="I41">
            <v>122.108697826518</v>
          </cell>
          <cell r="J41">
            <v>735.21177312508689</v>
          </cell>
          <cell r="K41">
            <v>118.43134742658862</v>
          </cell>
        </row>
        <row r="42">
          <cell r="B42">
            <v>34.063778724343777</v>
          </cell>
          <cell r="C42">
            <v>0</v>
          </cell>
          <cell r="D42">
            <v>6.5256328472854452E-2</v>
          </cell>
          <cell r="E42">
            <v>221.76948864356979</v>
          </cell>
          <cell r="F42">
            <v>490.93684350756678</v>
          </cell>
          <cell r="G42">
            <v>333.53802508272491</v>
          </cell>
          <cell r="H42">
            <v>1751.4911950113415</v>
          </cell>
          <cell r="I42">
            <v>1.9021120410680683</v>
          </cell>
          <cell r="J42">
            <v>182.88313924951274</v>
          </cell>
          <cell r="K42">
            <v>84.732149997757944</v>
          </cell>
        </row>
        <row r="44">
          <cell r="B44">
            <v>0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</row>
        <row r="45"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</row>
        <row r="46">
          <cell r="G46">
            <v>0</v>
          </cell>
        </row>
      </sheetData>
      <sheetData sheetId="2">
        <row r="13">
          <cell r="H13">
            <v>744</v>
          </cell>
          <cell r="I13">
            <v>8.4699453551912565E-2</v>
          </cell>
        </row>
        <row r="21">
          <cell r="B21">
            <v>156.47869623655913</v>
          </cell>
          <cell r="C21">
            <v>233.66290322580647</v>
          </cell>
          <cell r="D21">
            <v>127.84623655913977</v>
          </cell>
          <cell r="E21">
            <v>477.73655913978496</v>
          </cell>
          <cell r="F21">
            <v>220.91848118279572</v>
          </cell>
          <cell r="G21">
            <v>70.748387096774195</v>
          </cell>
          <cell r="H21">
            <v>0</v>
          </cell>
          <cell r="I21">
            <v>50.321908602150536</v>
          </cell>
          <cell r="J21">
            <v>27.80141129032258</v>
          </cell>
          <cell r="K21">
            <v>143.03051075268814</v>
          </cell>
        </row>
        <row r="22">
          <cell r="B22">
            <v>5.637096774193548</v>
          </cell>
          <cell r="C22">
            <v>0</v>
          </cell>
          <cell r="D22">
            <v>7.0967741935483886E-2</v>
          </cell>
          <cell r="E22">
            <v>139.44475806451615</v>
          </cell>
          <cell r="F22">
            <v>66.359206989247298</v>
          </cell>
          <cell r="G22">
            <v>152.77096774193546</v>
          </cell>
          <cell r="H22">
            <v>1008.2976478494625</v>
          </cell>
          <cell r="I22">
            <v>0</v>
          </cell>
          <cell r="J22">
            <v>132.70880376344084</v>
          </cell>
          <cell r="K22">
            <v>3.5575268817204302</v>
          </cell>
        </row>
        <row r="24">
          <cell r="B24">
            <v>116.42014999999999</v>
          </cell>
          <cell r="C24">
            <v>173.84520000000001</v>
          </cell>
          <cell r="D24">
            <v>95.117599999999996</v>
          </cell>
          <cell r="E24">
            <v>355.43599999999998</v>
          </cell>
          <cell r="F24">
            <v>164.36335</v>
          </cell>
          <cell r="G24">
            <v>52.636800000000001</v>
          </cell>
          <cell r="H24">
            <v>0</v>
          </cell>
          <cell r="I24">
            <v>37.439500000000002</v>
          </cell>
          <cell r="J24">
            <v>20.684249999999999</v>
          </cell>
          <cell r="K24">
            <v>106.41469999999998</v>
          </cell>
        </row>
        <row r="25">
          <cell r="B25">
            <v>4.194</v>
          </cell>
          <cell r="C25">
            <v>0</v>
          </cell>
          <cell r="D25">
            <v>5.2800000000000014E-2</v>
          </cell>
          <cell r="E25">
            <v>103.74690000000001</v>
          </cell>
          <cell r="F25">
            <v>49.371249999999989</v>
          </cell>
          <cell r="G25">
            <v>113.66159999999999</v>
          </cell>
          <cell r="H25">
            <v>750.17345000000012</v>
          </cell>
          <cell r="I25">
            <v>0</v>
          </cell>
          <cell r="J25">
            <v>98.735349999999997</v>
          </cell>
          <cell r="K25">
            <v>2.6468000000000003</v>
          </cell>
        </row>
        <row r="27">
          <cell r="B27">
            <v>1.9324359814664893</v>
          </cell>
          <cell r="C27">
            <v>1.7641704817653856</v>
          </cell>
          <cell r="D27">
            <v>2.09347453743983</v>
          </cell>
          <cell r="E27">
            <v>1.4207409622186284</v>
          </cell>
          <cell r="F27">
            <v>0.45744590166897087</v>
          </cell>
          <cell r="G27">
            <v>0.61454539801478036</v>
          </cell>
          <cell r="H27">
            <v>0</v>
          </cell>
          <cell r="I27">
            <v>0.26225401015064431</v>
          </cell>
          <cell r="J27">
            <v>0.97194669930332311</v>
          </cell>
          <cell r="K27">
            <v>2.7355793243431856</v>
          </cell>
        </row>
        <row r="28">
          <cell r="B28">
            <v>0</v>
          </cell>
          <cell r="C28">
            <v>0</v>
          </cell>
          <cell r="D28">
            <v>0</v>
          </cell>
          <cell r="E28">
            <v>0.75223748315170236</v>
          </cell>
          <cell r="F28">
            <v>1.4115277440445568</v>
          </cell>
          <cell r="G28">
            <v>1.7067712293282462</v>
          </cell>
          <cell r="H28">
            <v>1.9895013596311912</v>
          </cell>
          <cell r="I28">
            <v>0</v>
          </cell>
          <cell r="J28">
            <v>2.4474452302630811</v>
          </cell>
          <cell r="K28">
            <v>0.82225880206494051</v>
          </cell>
        </row>
        <row r="30">
          <cell r="B30">
            <v>0.46964883779429994</v>
          </cell>
        </row>
        <row r="31">
          <cell r="B31">
            <v>1.4301594293744877</v>
          </cell>
        </row>
        <row r="33">
          <cell r="B33">
            <v>0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</row>
        <row r="34">
          <cell r="I34">
            <v>0</v>
          </cell>
        </row>
        <row r="38">
          <cell r="B38">
            <v>219.16272305940032</v>
          </cell>
          <cell r="C38">
            <v>292.58494319716755</v>
          </cell>
          <cell r="D38">
            <v>192.72799102895624</v>
          </cell>
          <cell r="E38">
            <v>495.23856178691904</v>
          </cell>
          <cell r="F38">
            <v>110.41604383782527</v>
          </cell>
          <cell r="G38">
            <v>32.68165469844768</v>
          </cell>
          <cell r="H38">
            <v>0</v>
          </cell>
          <cell r="I38">
            <v>12.474224770132338</v>
          </cell>
          <cell r="J38">
            <v>19.955636071120825</v>
          </cell>
          <cell r="K38">
            <v>277.51193634186404</v>
          </cell>
        </row>
        <row r="39">
          <cell r="B39">
            <v>0</v>
          </cell>
          <cell r="C39">
            <v>0</v>
          </cell>
          <cell r="D39">
            <v>0</v>
          </cell>
          <cell r="E39">
            <v>76.03144720464519</v>
          </cell>
          <cell r="F39">
            <v>66.327436357671218</v>
          </cell>
          <cell r="G39">
            <v>190.95074476688626</v>
          </cell>
          <cell r="H39">
            <v>1448.4394646117998</v>
          </cell>
          <cell r="I39">
            <v>0</v>
          </cell>
          <cell r="J39">
            <v>236.39773868956439</v>
          </cell>
          <cell r="K39">
            <v>1.8854864483402294</v>
          </cell>
        </row>
        <row r="41">
          <cell r="B41">
            <v>257.18440006453665</v>
          </cell>
          <cell r="C41">
            <v>327.21843475642271</v>
          </cell>
          <cell r="D41">
            <v>83.940336778975251</v>
          </cell>
          <cell r="E41">
            <v>307.58288649708066</v>
          </cell>
          <cell r="F41">
            <v>404.6541351319467</v>
          </cell>
          <cell r="G41">
            <v>108.68143755397897</v>
          </cell>
          <cell r="H41">
            <v>72.48090513679432</v>
          </cell>
          <cell r="I41">
            <v>122.108697826518</v>
          </cell>
          <cell r="J41">
            <v>735.21177312508689</v>
          </cell>
          <cell r="K41">
            <v>118.43134742658862</v>
          </cell>
        </row>
        <row r="42">
          <cell r="B42">
            <v>34.063778724343777</v>
          </cell>
          <cell r="C42">
            <v>0</v>
          </cell>
          <cell r="D42">
            <v>6.5256328472854452E-2</v>
          </cell>
          <cell r="E42">
            <v>221.76948864356979</v>
          </cell>
          <cell r="F42">
            <v>490.93684350756678</v>
          </cell>
          <cell r="G42">
            <v>333.53802508272491</v>
          </cell>
          <cell r="H42">
            <v>1751.4911950113415</v>
          </cell>
          <cell r="I42">
            <v>1.9021120410680683</v>
          </cell>
          <cell r="J42">
            <v>182.88313924951274</v>
          </cell>
          <cell r="K42">
            <v>84.732149997757944</v>
          </cell>
        </row>
        <row r="44">
          <cell r="B44">
            <v>0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</row>
        <row r="45"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</row>
        <row r="46">
          <cell r="G46">
            <v>0</v>
          </cell>
        </row>
      </sheetData>
      <sheetData sheetId="3">
        <row r="13">
          <cell r="H13">
            <v>720</v>
          </cell>
          <cell r="I13">
            <v>8.1967213114754106E-2</v>
          </cell>
        </row>
        <row r="21">
          <cell r="B21">
            <v>156.31243055555555</v>
          </cell>
          <cell r="C21">
            <v>232.96930555555559</v>
          </cell>
          <cell r="D21">
            <v>127.596875</v>
          </cell>
          <cell r="E21">
            <v>476.580625</v>
          </cell>
          <cell r="F21">
            <v>220.20118055555557</v>
          </cell>
          <cell r="G21">
            <v>70.86666666666666</v>
          </cell>
          <cell r="H21">
            <v>0</v>
          </cell>
          <cell r="I21">
            <v>50.054930555555551</v>
          </cell>
          <cell r="J21">
            <v>27.755416666666665</v>
          </cell>
          <cell r="K21">
            <v>142.99347222222221</v>
          </cell>
        </row>
        <row r="22">
          <cell r="B22">
            <v>5.6587500000000004</v>
          </cell>
          <cell r="C22">
            <v>0</v>
          </cell>
          <cell r="D22">
            <v>7.0000000000000007E-2</v>
          </cell>
          <cell r="E22">
            <v>139.11104166666669</v>
          </cell>
          <cell r="F22">
            <v>66.388749999999987</v>
          </cell>
          <cell r="G22">
            <v>152.44159722222221</v>
          </cell>
          <cell r="H22">
            <v>1005.9302777777776</v>
          </cell>
          <cell r="I22">
            <v>0</v>
          </cell>
          <cell r="J22">
            <v>132.45444444444445</v>
          </cell>
          <cell r="K22">
            <v>3.5734722222222222</v>
          </cell>
        </row>
        <row r="24">
          <cell r="B24">
            <v>112.54495</v>
          </cell>
          <cell r="C24">
            <v>167.73790000000002</v>
          </cell>
          <cell r="D24">
            <v>91.869749999999996</v>
          </cell>
          <cell r="E24">
            <v>343.13804999999996</v>
          </cell>
          <cell r="F24">
            <v>158.54485</v>
          </cell>
          <cell r="G24">
            <v>51.024000000000001</v>
          </cell>
          <cell r="H24">
            <v>0</v>
          </cell>
          <cell r="I24">
            <v>36.039549999999998</v>
          </cell>
          <cell r="J24">
            <v>19.983899999999998</v>
          </cell>
          <cell r="K24">
            <v>102.95529999999999</v>
          </cell>
        </row>
        <row r="25">
          <cell r="B25">
            <v>4.0743</v>
          </cell>
          <cell r="C25">
            <v>0</v>
          </cell>
          <cell r="D25">
            <v>5.0400000000000007E-2</v>
          </cell>
          <cell r="E25">
            <v>100.15995000000001</v>
          </cell>
          <cell r="F25">
            <v>47.799899999999994</v>
          </cell>
          <cell r="G25">
            <v>109.75794999999999</v>
          </cell>
          <cell r="H25">
            <v>724.26979999999992</v>
          </cell>
          <cell r="I25">
            <v>0</v>
          </cell>
          <cell r="J25">
            <v>95.367199999999997</v>
          </cell>
          <cell r="K25">
            <v>2.5729000000000002</v>
          </cell>
        </row>
        <row r="27">
          <cell r="B27">
            <v>1.936619934779338</v>
          </cell>
          <cell r="C27">
            <v>1.7682530971083699</v>
          </cell>
          <cell r="D27">
            <v>2.0991147380076716</v>
          </cell>
          <cell r="E27">
            <v>1.4242238982256374</v>
          </cell>
          <cell r="F27">
            <v>0.45767898721399225</v>
          </cell>
          <cell r="G27">
            <v>0.61593549000687098</v>
          </cell>
          <cell r="H27">
            <v>0</v>
          </cell>
          <cell r="I27">
            <v>0.26292277345534926</v>
          </cell>
          <cell r="J27">
            <v>0.97375580947578111</v>
          </cell>
          <cell r="K27">
            <v>2.7399226378590931</v>
          </cell>
        </row>
        <row r="28">
          <cell r="B28">
            <v>0</v>
          </cell>
          <cell r="C28">
            <v>0</v>
          </cell>
          <cell r="D28">
            <v>0</v>
          </cell>
          <cell r="E28">
            <v>0.7541641118727066</v>
          </cell>
          <cell r="F28">
            <v>1.4145515243420186</v>
          </cell>
          <cell r="G28">
            <v>1.7108555953582032</v>
          </cell>
          <cell r="H28">
            <v>1.9944630532871641</v>
          </cell>
          <cell r="I28">
            <v>0</v>
          </cell>
          <cell r="J28">
            <v>2.4532104236165861</v>
          </cell>
          <cell r="K28">
            <v>0.82013671182455894</v>
          </cell>
        </row>
        <row r="30">
          <cell r="B30">
            <v>0.45083400963616366</v>
          </cell>
        </row>
        <row r="31">
          <cell r="B31">
            <v>1.3840453020156567</v>
          </cell>
        </row>
        <row r="33">
          <cell r="B33">
            <v>0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</row>
        <row r="34">
          <cell r="I34">
            <v>0</v>
          </cell>
        </row>
        <row r="38">
          <cell r="B38">
            <v>212.25005507496746</v>
          </cell>
          <cell r="C38">
            <v>282.75020036664489</v>
          </cell>
          <cell r="D38">
            <v>186.54582891061779</v>
          </cell>
          <cell r="E38">
            <v>479.14373924978509</v>
          </cell>
          <cell r="F38">
            <v>106.73395623492812</v>
          </cell>
          <cell r="G38">
            <v>31.757774091474744</v>
          </cell>
          <cell r="H38">
            <v>0</v>
          </cell>
          <cell r="I38">
            <v>12.015980774933542</v>
          </cell>
          <cell r="J38">
            <v>19.31296639721138</v>
          </cell>
          <cell r="K38">
            <v>268.89300747451529</v>
          </cell>
        </row>
        <row r="39">
          <cell r="B39">
            <v>0</v>
          </cell>
          <cell r="C39">
            <v>0</v>
          </cell>
          <cell r="D39">
            <v>0</v>
          </cell>
          <cell r="E39">
            <v>73.567016627753503</v>
          </cell>
          <cell r="F39">
            <v>64.336548226728027</v>
          </cell>
          <cell r="G39">
            <v>184.78191462563586</v>
          </cell>
          <cell r="H39">
            <v>1401.4935627915795</v>
          </cell>
          <cell r="I39">
            <v>0</v>
          </cell>
          <cell r="J39">
            <v>228.8211692890365</v>
          </cell>
          <cell r="K39">
            <v>1.8262989199176825</v>
          </cell>
        </row>
        <row r="41">
          <cell r="B41">
            <v>246.88121201685962</v>
          </cell>
          <cell r="C41">
            <v>314.10957953380444</v>
          </cell>
          <cell r="D41">
            <v>80.577562542271565</v>
          </cell>
          <cell r="E41">
            <v>295.2606604249259</v>
          </cell>
          <cell r="F41">
            <v>408.27978746660614</v>
          </cell>
          <cell r="G41">
            <v>104.32749816990466</v>
          </cell>
          <cell r="H41">
            <v>69.577212707149144</v>
          </cell>
          <cell r="I41">
            <v>117.21684250540255</v>
          </cell>
          <cell r="J41">
            <v>705.75810038493239</v>
          </cell>
          <cell r="K41">
            <v>113.6868122099514</v>
          </cell>
        </row>
        <row r="42">
          <cell r="B42">
            <v>32.965424654053557</v>
          </cell>
          <cell r="C42">
            <v>0</v>
          </cell>
          <cell r="D42">
            <v>6.3152200373315884E-2</v>
          </cell>
          <cell r="E42">
            <v>214.6187429060227</v>
          </cell>
          <cell r="F42">
            <v>475.10705302291285</v>
          </cell>
          <cell r="G42">
            <v>322.78340944214216</v>
          </cell>
          <cell r="H42">
            <v>1695.0160312109319</v>
          </cell>
          <cell r="I42">
            <v>1.8407802516808236</v>
          </cell>
          <cell r="J42">
            <v>176.98624677590692</v>
          </cell>
          <cell r="K42">
            <v>82.000042600407753</v>
          </cell>
        </row>
        <row r="44">
          <cell r="B44">
            <v>0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</row>
        <row r="45"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</row>
        <row r="46">
          <cell r="G46">
            <v>0</v>
          </cell>
        </row>
      </sheetData>
      <sheetData sheetId="4">
        <row r="13">
          <cell r="H13">
            <v>744</v>
          </cell>
          <cell r="I13">
            <v>8.4699453551912565E-2</v>
          </cell>
        </row>
        <row r="21">
          <cell r="B21">
            <v>157.20564516129033</v>
          </cell>
          <cell r="C21">
            <v>234.92217741935488</v>
          </cell>
          <cell r="D21">
            <v>128.60262096774193</v>
          </cell>
          <cell r="E21">
            <v>482.61969086021497</v>
          </cell>
          <cell r="F21">
            <v>224.54556451612902</v>
          </cell>
          <cell r="G21">
            <v>70.038709677419362</v>
          </cell>
          <cell r="H21">
            <v>0</v>
          </cell>
          <cell r="I21">
            <v>50.880981182795693</v>
          </cell>
          <cell r="J21">
            <v>27.975336021505374</v>
          </cell>
          <cell r="K21">
            <v>143.32231182795698</v>
          </cell>
        </row>
        <row r="22">
          <cell r="B22">
            <v>5.4815860215053771</v>
          </cell>
          <cell r="C22">
            <v>0</v>
          </cell>
          <cell r="D22">
            <v>7.4193548387096783E-2</v>
          </cell>
          <cell r="E22">
            <v>140.60759408602152</v>
          </cell>
          <cell r="F22">
            <v>65.89979838709678</v>
          </cell>
          <cell r="G22">
            <v>153.8985887096774</v>
          </cell>
          <cell r="H22">
            <v>1017.3335349462365</v>
          </cell>
          <cell r="I22">
            <v>0</v>
          </cell>
          <cell r="J22">
            <v>133.67668010752689</v>
          </cell>
          <cell r="K22">
            <v>3.4649193548387105</v>
          </cell>
        </row>
        <row r="24">
          <cell r="B24">
            <v>116.961</v>
          </cell>
          <cell r="C24">
            <v>174.78210000000004</v>
          </cell>
          <cell r="D24">
            <v>95.68034999999999</v>
          </cell>
          <cell r="E24">
            <v>359.06904999999995</v>
          </cell>
          <cell r="F24">
            <v>167.06189999999998</v>
          </cell>
          <cell r="G24">
            <v>52.108800000000009</v>
          </cell>
          <cell r="H24">
            <v>0</v>
          </cell>
          <cell r="I24">
            <v>37.855449999999998</v>
          </cell>
          <cell r="J24">
            <v>20.813649999999999</v>
          </cell>
          <cell r="K24">
            <v>106.63179999999998</v>
          </cell>
        </row>
        <row r="25">
          <cell r="B25">
            <v>4.0783000000000005</v>
          </cell>
          <cell r="C25">
            <v>0</v>
          </cell>
          <cell r="D25">
            <v>5.5200000000000006E-2</v>
          </cell>
          <cell r="E25">
            <v>104.61205</v>
          </cell>
          <cell r="F25">
            <v>49.029450000000004</v>
          </cell>
          <cell r="G25">
            <v>114.50054999999998</v>
          </cell>
          <cell r="H25">
            <v>756.89614999999992</v>
          </cell>
          <cell r="I25">
            <v>0</v>
          </cell>
          <cell r="J25">
            <v>99.455449999999999</v>
          </cell>
          <cell r="K25">
            <v>2.5779000000000005</v>
          </cell>
        </row>
        <row r="27">
          <cell r="B27">
            <v>1.9170742159064795</v>
          </cell>
          <cell r="C27">
            <v>1.7483731025246942</v>
          </cell>
          <cell r="D27">
            <v>2.07399910549255</v>
          </cell>
          <cell r="E27">
            <v>1.4067632507088905</v>
          </cell>
          <cell r="F27">
            <v>0.45844588624513344</v>
          </cell>
          <cell r="G27">
            <v>0.60911960649477981</v>
          </cell>
          <cell r="H27">
            <v>0</v>
          </cell>
          <cell r="I27">
            <v>0.25999035062764186</v>
          </cell>
          <cell r="J27">
            <v>0.96494032304082</v>
          </cell>
          <cell r="K27">
            <v>2.7196032711214428</v>
          </cell>
        </row>
        <row r="28">
          <cell r="B28">
            <v>0</v>
          </cell>
          <cell r="C28">
            <v>0</v>
          </cell>
          <cell r="D28">
            <v>0</v>
          </cell>
          <cell r="E28">
            <v>0.74396486439191067</v>
          </cell>
          <cell r="F28">
            <v>1.3998145600498506</v>
          </cell>
          <cell r="G28">
            <v>1.6904457752953357</v>
          </cell>
          <cell r="H28">
            <v>1.9706406575134552</v>
          </cell>
          <cell r="I28">
            <v>0</v>
          </cell>
          <cell r="J28">
            <v>2.42464365683399</v>
          </cell>
          <cell r="K28">
            <v>0.83272482776104739</v>
          </cell>
        </row>
        <row r="30">
          <cell r="B30">
            <v>0.46583651179022473</v>
          </cell>
        </row>
        <row r="31">
          <cell r="B31">
            <v>1.4301024808907936</v>
          </cell>
        </row>
        <row r="33">
          <cell r="B33">
            <v>0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</row>
        <row r="34">
          <cell r="I34">
            <v>0</v>
          </cell>
        </row>
        <row r="38">
          <cell r="B38">
            <v>218.86037566023384</v>
          </cell>
          <cell r="C38">
            <v>292.53191432246717</v>
          </cell>
          <cell r="D38">
            <v>192.60467326848578</v>
          </cell>
          <cell r="E38">
            <v>496.19170556309899</v>
          </cell>
          <cell r="F38">
            <v>111.36698377053932</v>
          </cell>
          <cell r="G38">
            <v>32.019112216384045</v>
          </cell>
          <cell r="H38">
            <v>0</v>
          </cell>
          <cell r="I38">
            <v>12.602487875033921</v>
          </cell>
          <cell r="J38">
            <v>19.950719415193717</v>
          </cell>
          <cell r="K38">
            <v>276.72678490093091</v>
          </cell>
        </row>
        <row r="39">
          <cell r="B39">
            <v>0</v>
          </cell>
          <cell r="C39">
            <v>0</v>
          </cell>
          <cell r="D39">
            <v>0</v>
          </cell>
          <cell r="E39">
            <v>75.960660700694959</v>
          </cell>
          <cell r="F39">
            <v>65.427462427544114</v>
          </cell>
          <cell r="G39">
            <v>190.80557998685649</v>
          </cell>
          <cell r="H39">
            <v>1449.9037026439255</v>
          </cell>
          <cell r="I39">
            <v>0</v>
          </cell>
          <cell r="J39">
            <v>236.18753043650631</v>
          </cell>
          <cell r="K39">
            <v>1.8708779062548915</v>
          </cell>
        </row>
        <row r="41">
          <cell r="B41">
            <v>255.09673222144491</v>
          </cell>
          <cell r="C41">
            <v>324.56227285960335</v>
          </cell>
          <cell r="D41">
            <v>83.258959752266904</v>
          </cell>
          <cell r="E41">
            <v>305.08611413816567</v>
          </cell>
          <cell r="F41">
            <v>421.86620344234535</v>
          </cell>
          <cell r="G41">
            <v>107.79922719337591</v>
          </cell>
          <cell r="H41">
            <v>71.892548864585393</v>
          </cell>
          <cell r="I41">
            <v>121.11749306545843</v>
          </cell>
          <cell r="J41">
            <v>729.24376738200749</v>
          </cell>
          <cell r="K41">
            <v>117.46999317814095</v>
          </cell>
        </row>
        <row r="42">
          <cell r="B42">
            <v>34.06242231574528</v>
          </cell>
          <cell r="C42">
            <v>0</v>
          </cell>
          <cell r="D42">
            <v>6.5253729987062151E-2</v>
          </cell>
          <cell r="E42">
            <v>221.76065785460429</v>
          </cell>
          <cell r="F42">
            <v>490.9172945620067</v>
          </cell>
          <cell r="G42">
            <v>333.52474370696183</v>
          </cell>
          <cell r="H42">
            <v>1751.4214512011688</v>
          </cell>
          <cell r="I42">
            <v>1.9020362995847557</v>
          </cell>
          <cell r="J42">
            <v>182.87585690234255</v>
          </cell>
          <cell r="K42">
            <v>84.728775991081932</v>
          </cell>
        </row>
        <row r="44">
          <cell r="B44">
            <v>0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</row>
        <row r="45"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</row>
        <row r="46">
          <cell r="G46">
            <v>0</v>
          </cell>
        </row>
      </sheetData>
      <sheetData sheetId="5">
        <row r="13">
          <cell r="H13">
            <v>720</v>
          </cell>
          <cell r="I13">
            <v>8.1967213114754092E-2</v>
          </cell>
        </row>
        <row r="21">
          <cell r="B21">
            <v>154.81006944444442</v>
          </cell>
          <cell r="C21">
            <v>230.36680555555552</v>
          </cell>
          <cell r="D21">
            <v>126.03368055555558</v>
          </cell>
          <cell r="E21">
            <v>466.4888194444444</v>
          </cell>
          <cell r="F21">
            <v>212.70520833333333</v>
          </cell>
          <cell r="G21">
            <v>72.333333333333329</v>
          </cell>
          <cell r="H21">
            <v>0</v>
          </cell>
          <cell r="I21">
            <v>48.899513888888904</v>
          </cell>
          <cell r="J21">
            <v>27.395972222222227</v>
          </cell>
          <cell r="K21">
            <v>142.39041666666665</v>
          </cell>
        </row>
        <row r="22">
          <cell r="B22">
            <v>5.9801388888888889</v>
          </cell>
          <cell r="C22">
            <v>0</v>
          </cell>
          <cell r="D22">
            <v>6.3333333333333339E-2</v>
          </cell>
          <cell r="E22">
            <v>136.70784722222223</v>
          </cell>
          <cell r="F22">
            <v>67.338194444444454</v>
          </cell>
          <cell r="G22">
            <v>150.11118055555556</v>
          </cell>
          <cell r="H22">
            <v>987.25611111111118</v>
          </cell>
          <cell r="I22">
            <v>0</v>
          </cell>
          <cell r="J22">
            <v>130.45416666666665</v>
          </cell>
          <cell r="K22">
            <v>3.7648611111111117</v>
          </cell>
        </row>
        <row r="24">
          <cell r="B24">
            <v>111.46324999999999</v>
          </cell>
          <cell r="C24">
            <v>165.86409999999998</v>
          </cell>
          <cell r="D24">
            <v>90.744250000000008</v>
          </cell>
          <cell r="E24">
            <v>335.87194999999997</v>
          </cell>
          <cell r="F24">
            <v>153.14775</v>
          </cell>
          <cell r="G24">
            <v>52.08</v>
          </cell>
          <cell r="H24">
            <v>0</v>
          </cell>
          <cell r="I24">
            <v>35.207650000000008</v>
          </cell>
          <cell r="J24">
            <v>19.725100000000001</v>
          </cell>
          <cell r="K24">
            <v>102.52109999999999</v>
          </cell>
        </row>
        <row r="25">
          <cell r="B25">
            <v>4.3056999999999999</v>
          </cell>
          <cell r="C25">
            <v>0</v>
          </cell>
          <cell r="D25">
            <v>4.5600000000000009E-2</v>
          </cell>
          <cell r="E25">
            <v>98.429650000000009</v>
          </cell>
          <cell r="F25">
            <v>48.483500000000006</v>
          </cell>
          <cell r="G25">
            <v>108.08005</v>
          </cell>
          <cell r="H25">
            <v>710.82439999999997</v>
          </cell>
          <cell r="I25">
            <v>0</v>
          </cell>
          <cell r="J25">
            <v>93.926999999999992</v>
          </cell>
          <cell r="K25">
            <v>2.7107000000000001</v>
          </cell>
        </row>
        <row r="27">
          <cell r="B27">
            <v>1.9683675836033565</v>
          </cell>
          <cell r="C27">
            <v>1.8009010142057991</v>
          </cell>
          <cell r="D27">
            <v>2.1393639640320501</v>
          </cell>
          <cell r="E27">
            <v>1.4531111686790961</v>
          </cell>
          <cell r="F27">
            <v>0.45561235242325593</v>
          </cell>
          <cell r="G27">
            <v>0.62714879248153887</v>
          </cell>
          <cell r="H27">
            <v>0</v>
          </cell>
          <cell r="I27">
            <v>0.26760100313622093</v>
          </cell>
          <cell r="J27">
            <v>0.98823565375162103</v>
          </cell>
          <cell r="K27">
            <v>2.7729398145173625</v>
          </cell>
        </row>
        <row r="28">
          <cell r="B28">
            <v>0</v>
          </cell>
          <cell r="C28">
            <v>0</v>
          </cell>
          <cell r="D28">
            <v>0</v>
          </cell>
          <cell r="E28">
            <v>0.77126085730960958</v>
          </cell>
          <cell r="F28">
            <v>1.4387587712644103</v>
          </cell>
          <cell r="G28">
            <v>1.7445948670262181</v>
          </cell>
          <cell r="H28">
            <v>2.0334418376638181</v>
          </cell>
          <cell r="I28">
            <v>0</v>
          </cell>
          <cell r="J28">
            <v>2.5003336753700411</v>
          </cell>
          <cell r="K28">
            <v>0.7985069253859387</v>
          </cell>
        </row>
        <row r="30">
          <cell r="B30">
            <v>0.44075637865456524</v>
          </cell>
        </row>
        <row r="31">
          <cell r="B31">
            <v>1.3841591989839424</v>
          </cell>
        </row>
        <row r="33">
          <cell r="B33">
            <v>0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</row>
        <row r="34">
          <cell r="I34">
            <v>0</v>
          </cell>
        </row>
        <row r="38">
          <cell r="B38">
            <v>212.85474987330036</v>
          </cell>
          <cell r="C38">
            <v>282.85625811604552</v>
          </cell>
          <cell r="D38">
            <v>186.79246443155876</v>
          </cell>
          <cell r="E38">
            <v>477.23745169742523</v>
          </cell>
          <cell r="F38">
            <v>104.83207636949997</v>
          </cell>
          <cell r="G38">
            <v>33.082859055602</v>
          </cell>
          <cell r="H38">
            <v>0</v>
          </cell>
          <cell r="I38">
            <v>11.75945456513038</v>
          </cell>
          <cell r="J38">
            <v>19.322799709065606</v>
          </cell>
          <cell r="K38">
            <v>270.4633103563815</v>
          </cell>
        </row>
        <row r="39">
          <cell r="B39">
            <v>0</v>
          </cell>
          <cell r="C39">
            <v>0</v>
          </cell>
          <cell r="D39">
            <v>0</v>
          </cell>
          <cell r="E39">
            <v>73.708589635653965</v>
          </cell>
          <cell r="F39">
            <v>66.136496086982234</v>
          </cell>
          <cell r="G39">
            <v>185.07224418569535</v>
          </cell>
          <cell r="H39">
            <v>1398.5650867273273</v>
          </cell>
          <cell r="I39">
            <v>0</v>
          </cell>
          <cell r="J39">
            <v>229.24158579515264</v>
          </cell>
          <cell r="K39">
            <v>1.8555160040883583</v>
          </cell>
        </row>
        <row r="41">
          <cell r="B41">
            <v>241.36260051502649</v>
          </cell>
          <cell r="C41">
            <v>307.08819169999538</v>
          </cell>
          <cell r="D41">
            <v>78.776387556930473</v>
          </cell>
          <cell r="E41">
            <v>288.66060826482646</v>
          </cell>
          <cell r="F41">
            <v>454.24793140518142</v>
          </cell>
          <cell r="G41">
            <v>101.99543358445297</v>
          </cell>
          <cell r="H41">
            <v>68.021931917759076</v>
          </cell>
          <cell r="I41">
            <v>114.59665845018698</v>
          </cell>
          <cell r="J41">
            <v>689.98207296478927</v>
          </cell>
          <cell r="K41">
            <v>111.14553600532173</v>
          </cell>
        </row>
        <row r="42">
          <cell r="B42">
            <v>32.968137471271945</v>
          </cell>
          <cell r="C42">
            <v>0</v>
          </cell>
          <cell r="D42">
            <v>6.3157397344941468E-2</v>
          </cell>
          <cell r="E42">
            <v>214.63640448409296</v>
          </cell>
          <cell r="F42">
            <v>475.14615091434143</v>
          </cell>
          <cell r="G42">
            <v>322.80997219387791</v>
          </cell>
          <cell r="H42">
            <v>1695.1555188323775</v>
          </cell>
          <cell r="I42">
            <v>1.8409317346486438</v>
          </cell>
          <cell r="J42">
            <v>177.00081147036218</v>
          </cell>
          <cell r="K42">
            <v>82.006790613813024</v>
          </cell>
        </row>
        <row r="44">
          <cell r="B44">
            <v>0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</row>
        <row r="45"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</row>
        <row r="46">
          <cell r="G46">
            <v>0</v>
          </cell>
        </row>
      </sheetData>
      <sheetData sheetId="6">
        <row r="13">
          <cell r="H13">
            <v>744</v>
          </cell>
          <cell r="I13">
            <v>8.4699453551912579E-2</v>
          </cell>
        </row>
        <row r="21">
          <cell r="B21">
            <v>155.75174731182796</v>
          </cell>
          <cell r="C21">
            <v>232.4036290322581</v>
          </cell>
          <cell r="D21">
            <v>127.08985215053764</v>
          </cell>
          <cell r="E21">
            <v>472.85342741935483</v>
          </cell>
          <cell r="F21">
            <v>217.29139784946236</v>
          </cell>
          <cell r="G21">
            <v>71.458064516129042</v>
          </cell>
          <cell r="H21">
            <v>0</v>
          </cell>
          <cell r="I21">
            <v>49.762836021505372</v>
          </cell>
          <cell r="J21">
            <v>27.627486559139783</v>
          </cell>
          <cell r="K21">
            <v>142.73870967741934</v>
          </cell>
        </row>
        <row r="22">
          <cell r="B22">
            <v>5.7926075268817199</v>
          </cell>
          <cell r="C22">
            <v>0</v>
          </cell>
          <cell r="D22">
            <v>6.7741935483870974E-2</v>
          </cell>
          <cell r="E22">
            <v>138.28192204301075</v>
          </cell>
          <cell r="F22">
            <v>66.81861559139783</v>
          </cell>
          <cell r="G22">
            <v>151.64334677419356</v>
          </cell>
          <cell r="H22">
            <v>999.26176075268813</v>
          </cell>
          <cell r="I22">
            <v>0</v>
          </cell>
          <cell r="J22">
            <v>131.74092741935485</v>
          </cell>
          <cell r="K22">
            <v>3.6501344086021503</v>
          </cell>
        </row>
        <row r="24">
          <cell r="B24">
            <v>115.8793</v>
          </cell>
          <cell r="C24">
            <v>172.90830000000003</v>
          </cell>
          <cell r="D24">
            <v>94.554850000000002</v>
          </cell>
          <cell r="E24">
            <v>351.80295000000001</v>
          </cell>
          <cell r="F24">
            <v>161.66479999999999</v>
          </cell>
          <cell r="G24">
            <v>53.1648</v>
          </cell>
          <cell r="H24">
            <v>0</v>
          </cell>
          <cell r="I24">
            <v>37.023549999999993</v>
          </cell>
          <cell r="J24">
            <v>20.554849999999998</v>
          </cell>
          <cell r="K24">
            <v>106.19759999999999</v>
          </cell>
        </row>
        <row r="25">
          <cell r="B25">
            <v>4.3096999999999994</v>
          </cell>
          <cell r="C25">
            <v>0</v>
          </cell>
          <cell r="D25">
            <v>5.0400000000000007E-2</v>
          </cell>
          <cell r="E25">
            <v>102.88175</v>
          </cell>
          <cell r="F25">
            <v>49.713049999999988</v>
          </cell>
          <cell r="G25">
            <v>112.82265000000001</v>
          </cell>
          <cell r="H25">
            <v>743.45074999999997</v>
          </cell>
          <cell r="I25">
            <v>0</v>
          </cell>
          <cell r="J25">
            <v>98.015249999999995</v>
          </cell>
          <cell r="K25">
            <v>2.7157</v>
          </cell>
        </row>
        <row r="27">
          <cell r="B27">
            <v>2.0107006965797654</v>
          </cell>
          <cell r="C27">
            <v>1.8425319905423709</v>
          </cell>
          <cell r="D27">
            <v>2.15740912745281</v>
          </cell>
          <cell r="E27">
            <v>1.4889655625416698</v>
          </cell>
          <cell r="F27">
            <v>0.47100649320315469</v>
          </cell>
          <cell r="G27">
            <v>0.63681209166091202</v>
          </cell>
          <cell r="H27">
            <v>0</v>
          </cell>
          <cell r="I27">
            <v>0.40083507831652782</v>
          </cell>
          <cell r="J27">
            <v>5.0184520500264371</v>
          </cell>
          <cell r="K27">
            <v>3.2694139492103362</v>
          </cell>
        </row>
        <row r="28">
          <cell r="B28">
            <v>0</v>
          </cell>
          <cell r="C28">
            <v>0</v>
          </cell>
          <cell r="D28">
            <v>0</v>
          </cell>
          <cell r="E28">
            <v>0.80097592063841672</v>
          </cell>
          <cell r="F28">
            <v>1.5259555719269422</v>
          </cell>
          <cell r="G28">
            <v>1.8071139629855175</v>
          </cell>
          <cell r="H28">
            <v>2.2938143955406201</v>
          </cell>
          <cell r="I28">
            <v>0</v>
          </cell>
          <cell r="J28">
            <v>2.520809249889322</v>
          </cell>
          <cell r="K28">
            <v>0.81179277636883374</v>
          </cell>
        </row>
        <row r="30">
          <cell r="B30">
            <v>0.40834988644643461</v>
          </cell>
        </row>
        <row r="31">
          <cell r="B31">
            <v>1.3248520284679173</v>
          </cell>
        </row>
        <row r="33">
          <cell r="B33">
            <v>0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</row>
        <row r="34">
          <cell r="I34">
            <v>0</v>
          </cell>
        </row>
        <row r="38">
          <cell r="B38">
            <v>226.77236415064428</v>
          </cell>
          <cell r="C38">
            <v>303.87460177384463</v>
          </cell>
          <cell r="D38">
            <v>197.0511860682669</v>
          </cell>
          <cell r="E38">
            <v>512.33895276812507</v>
          </cell>
          <cell r="F38">
            <v>113.15878372299224</v>
          </cell>
          <cell r="G38">
            <v>34.254197266775137</v>
          </cell>
          <cell r="H38">
            <v>0</v>
          </cell>
          <cell r="I38">
            <v>20.009881098899395</v>
          </cell>
          <cell r="J38">
            <v>102.77045151639409</v>
          </cell>
          <cell r="K38">
            <v>329.36745504049077</v>
          </cell>
        </row>
        <row r="39">
          <cell r="B39">
            <v>0</v>
          </cell>
          <cell r="C39">
            <v>0</v>
          </cell>
          <cell r="D39">
            <v>0</v>
          </cell>
          <cell r="E39">
            <v>80.133125663657893</v>
          </cell>
          <cell r="F39">
            <v>72.126903727807388</v>
          </cell>
          <cell r="G39">
            <v>200.41250959626043</v>
          </cell>
          <cell r="H39">
            <v>1652.0908866772038</v>
          </cell>
          <cell r="I39">
            <v>0</v>
          </cell>
          <cell r="J39">
            <v>241.73388017472868</v>
          </cell>
          <cell r="K39">
            <v>1.9000949904255673</v>
          </cell>
        </row>
        <row r="41">
          <cell r="B41">
            <v>278.62121102126684</v>
          </cell>
          <cell r="C41">
            <v>288.59311524828883</v>
          </cell>
          <cell r="D41">
            <v>72.984375204571293</v>
          </cell>
          <cell r="E41">
            <v>267.43691598138537</v>
          </cell>
          <cell r="F41">
            <v>420.84947647055998</v>
          </cell>
          <cell r="G41">
            <v>110.74857270313755</v>
          </cell>
          <cell r="H41">
            <v>63.020637975278269</v>
          </cell>
          <cell r="I41">
            <v>106.17097047607302</v>
          </cell>
          <cell r="J41">
            <v>639.25132973757115</v>
          </cell>
          <cell r="K41">
            <v>102.97359086519741</v>
          </cell>
        </row>
        <row r="42">
          <cell r="B42">
            <v>31.555549271851127</v>
          </cell>
          <cell r="C42">
            <v>0</v>
          </cell>
          <cell r="D42">
            <v>6.0451287717931519E-2</v>
          </cell>
          <cell r="E42">
            <v>205.4398627502888</v>
          </cell>
          <cell r="F42">
            <v>454.78752900654678</v>
          </cell>
          <cell r="G42">
            <v>308.97850968636482</v>
          </cell>
          <cell r="H42">
            <v>1622.5230662356157</v>
          </cell>
          <cell r="I42">
            <v>1.7620531978623302</v>
          </cell>
          <cell r="J42">
            <v>169.41684474525323</v>
          </cell>
          <cell r="K42">
            <v>78.493039653681009</v>
          </cell>
        </row>
        <row r="44">
          <cell r="B44">
            <v>0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</row>
        <row r="45"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</row>
        <row r="46">
          <cell r="G46">
            <v>0</v>
          </cell>
        </row>
      </sheetData>
      <sheetData sheetId="7">
        <row r="13">
          <cell r="H13">
            <v>744</v>
          </cell>
          <cell r="I13">
            <v>8.4699453551912579E-2</v>
          </cell>
        </row>
        <row r="21">
          <cell r="B21">
            <v>97.915658602150543</v>
          </cell>
          <cell r="C21">
            <v>92.138709677419357</v>
          </cell>
          <cell r="D21">
            <v>33.252688172043008</v>
          </cell>
          <cell r="E21">
            <v>280.02291666666673</v>
          </cell>
          <cell r="F21">
            <v>428.20174731182783</v>
          </cell>
          <cell r="G21">
            <v>206.48897849462364</v>
          </cell>
          <cell r="H21">
            <v>3.4592741935483868</v>
          </cell>
          <cell r="I21">
            <v>16.368346774193547</v>
          </cell>
          <cell r="J21">
            <v>299.93084677419358</v>
          </cell>
          <cell r="K21">
            <v>93.591465053763443</v>
          </cell>
        </row>
        <row r="22">
          <cell r="B22">
            <v>26.251276881720436</v>
          </cell>
          <cell r="C22">
            <v>0</v>
          </cell>
          <cell r="D22">
            <v>6.7741935483870974E-2</v>
          </cell>
          <cell r="E22">
            <v>143.89146505376345</v>
          </cell>
          <cell r="F22">
            <v>74.01303763440859</v>
          </cell>
          <cell r="G22">
            <v>157.49495967741936</v>
          </cell>
          <cell r="H22">
            <v>983.08508064516138</v>
          </cell>
          <cell r="I22">
            <v>0</v>
          </cell>
          <cell r="J22">
            <v>145.15745967741935</v>
          </cell>
          <cell r="K22">
            <v>21.519018817204302</v>
          </cell>
        </row>
        <row r="24">
          <cell r="B24">
            <v>72.849249999999998</v>
          </cell>
          <cell r="C24">
            <v>68.551199999999994</v>
          </cell>
          <cell r="D24">
            <v>24.74</v>
          </cell>
          <cell r="E24">
            <v>208.33705000000003</v>
          </cell>
          <cell r="F24">
            <v>318.58209999999991</v>
          </cell>
          <cell r="G24">
            <v>153.62779999999998</v>
          </cell>
          <cell r="H24">
            <v>2.5736999999999997</v>
          </cell>
          <cell r="I24">
            <v>12.178049999999999</v>
          </cell>
          <cell r="J24">
            <v>223.14855000000003</v>
          </cell>
          <cell r="K24">
            <v>69.632050000000007</v>
          </cell>
        </row>
        <row r="25">
          <cell r="B25">
            <v>19.530950000000004</v>
          </cell>
          <cell r="C25">
            <v>0</v>
          </cell>
          <cell r="D25">
            <v>5.0400000000000007E-2</v>
          </cell>
          <cell r="E25">
            <v>107.05525</v>
          </cell>
          <cell r="F25">
            <v>55.065699999999993</v>
          </cell>
          <cell r="G25">
            <v>117.17625</v>
          </cell>
          <cell r="H25">
            <v>731.4153</v>
          </cell>
          <cell r="I25">
            <v>0</v>
          </cell>
          <cell r="J25">
            <v>107.99715</v>
          </cell>
          <cell r="K25">
            <v>16.010149999999999</v>
          </cell>
        </row>
        <row r="27">
          <cell r="B27">
            <v>1.8115793715834019</v>
          </cell>
          <cell r="C27">
            <v>3.1287850520111138</v>
          </cell>
          <cell r="D27">
            <v>3.3004826091571999</v>
          </cell>
          <cell r="E27">
            <v>2.1045393877779128</v>
          </cell>
          <cell r="F27">
            <v>1.0719078399713082</v>
          </cell>
          <cell r="G27">
            <v>0.85467390392758003</v>
          </cell>
          <cell r="H27">
            <v>2.6476253810017541E-2</v>
          </cell>
          <cell r="I27">
            <v>0.30166250068171058</v>
          </cell>
          <cell r="J27">
            <v>0.58948603798252563</v>
          </cell>
          <cell r="K27">
            <v>3.9217985537814002</v>
          </cell>
        </row>
        <row r="28">
          <cell r="B28">
            <v>1.0221845504294004E-4</v>
          </cell>
          <cell r="C28">
            <v>0</v>
          </cell>
          <cell r="D28">
            <v>0</v>
          </cell>
          <cell r="E28">
            <v>1.8114745865483013</v>
          </cell>
          <cell r="F28">
            <v>2.777160131806657</v>
          </cell>
          <cell r="G28">
            <v>1.6807093420873431</v>
          </cell>
          <cell r="H28">
            <v>1.6193179943713982</v>
          </cell>
          <cell r="I28">
            <v>0</v>
          </cell>
          <cell r="J28">
            <v>0.8382303878588282</v>
          </cell>
          <cell r="K28">
            <v>0.4491621651989029</v>
          </cell>
        </row>
        <row r="30">
          <cell r="B30">
            <v>0.42835381740574097</v>
          </cell>
        </row>
        <row r="31">
          <cell r="B31">
            <v>1.5057695857400653</v>
          </cell>
        </row>
        <row r="33">
          <cell r="B33">
            <v>0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</row>
        <row r="34">
          <cell r="I34">
            <v>0</v>
          </cell>
        </row>
        <row r="38">
          <cell r="B38">
            <v>120.86445562117841</v>
          </cell>
          <cell r="C38">
            <v>199.51647224499735</v>
          </cell>
          <cell r="D38">
            <v>81.540107393180719</v>
          </cell>
          <cell r="E38">
            <v>366.57211541935538</v>
          </cell>
          <cell r="F38">
            <v>247.32207391312721</v>
          </cell>
          <cell r="G38">
            <v>136.32904351140806</v>
          </cell>
          <cell r="H38">
            <v>0.55352315265375085</v>
          </cell>
          <cell r="I38">
            <v>5.3973308469232251</v>
          </cell>
          <cell r="J38">
            <v>88.567200041837481</v>
          </cell>
          <cell r="K38">
            <v>271.93827589350246</v>
          </cell>
        </row>
        <row r="39">
          <cell r="B39">
            <v>1.2029976844177763E-3</v>
          </cell>
          <cell r="C39">
            <v>0</v>
          </cell>
          <cell r="D39">
            <v>0</v>
          </cell>
          <cell r="E39">
            <v>184.90912399536867</v>
          </cell>
          <cell r="F39">
            <v>207.83759330529097</v>
          </cell>
          <cell r="G39">
            <v>193.3166429271169</v>
          </cell>
          <cell r="H39">
            <v>1178.2985099959867</v>
          </cell>
          <cell r="I39">
            <v>0</v>
          </cell>
          <cell r="J39">
            <v>84.678060774978405</v>
          </cell>
          <cell r="K39">
            <v>7.0262636057741279</v>
          </cell>
        </row>
        <row r="41">
          <cell r="B41">
            <v>339.3890130687426</v>
          </cell>
          <cell r="C41">
            <v>313.07523806550796</v>
          </cell>
          <cell r="D41">
            <v>76.559677784928112</v>
          </cell>
          <cell r="E41">
            <v>280.53791044918523</v>
          </cell>
          <cell r="F41">
            <v>568.4297992355921</v>
          </cell>
          <cell r="G41">
            <v>137.59152968889808</v>
          </cell>
          <cell r="H41">
            <v>66.107844640228009</v>
          </cell>
          <cell r="I41">
            <v>111.37199252549264</v>
          </cell>
          <cell r="J41">
            <v>670.56648345781707</v>
          </cell>
          <cell r="K41">
            <v>108.0179821352057</v>
          </cell>
        </row>
        <row r="42">
          <cell r="B42">
            <v>35.864674192953565</v>
          </cell>
          <cell r="C42">
            <v>0</v>
          </cell>
          <cell r="D42">
            <v>6.870632229755276E-2</v>
          </cell>
          <cell r="E42">
            <v>233.49407358777307</v>
          </cell>
          <cell r="F42">
            <v>516.89185994896127</v>
          </cell>
          <cell r="G42">
            <v>351.17162712204504</v>
          </cell>
          <cell r="H42">
            <v>1844.0896287297842</v>
          </cell>
          <cell r="I42">
            <v>2.0026735490342866</v>
          </cell>
          <cell r="J42">
            <v>192.5518674145477</v>
          </cell>
          <cell r="K42">
            <v>89.211798195668393</v>
          </cell>
        </row>
        <row r="44">
          <cell r="B44">
            <v>0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</row>
        <row r="45"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</row>
        <row r="46">
          <cell r="G46">
            <v>0</v>
          </cell>
        </row>
      </sheetData>
      <sheetData sheetId="8">
        <row r="13">
          <cell r="H13">
            <v>696</v>
          </cell>
          <cell r="I13">
            <v>7.9234972677595619E-2</v>
          </cell>
        </row>
        <row r="21">
          <cell r="B21">
            <v>98.113146551724142</v>
          </cell>
          <cell r="C21">
            <v>92.268247126436776</v>
          </cell>
          <cell r="D21">
            <v>33.258908045977016</v>
          </cell>
          <cell r="E21">
            <v>281.10395114942531</v>
          </cell>
          <cell r="F21">
            <v>429.61925287356331</v>
          </cell>
          <cell r="G21">
            <v>205.16429597701151</v>
          </cell>
          <cell r="H21">
            <v>3.2505028735632182</v>
          </cell>
          <cell r="I21">
            <v>16.436637931034483</v>
          </cell>
          <cell r="J21">
            <v>294.48433908045979</v>
          </cell>
          <cell r="K21">
            <v>93.606250000000003</v>
          </cell>
        </row>
        <row r="22">
          <cell r="B22">
            <v>26.162428160919539</v>
          </cell>
          <cell r="C22">
            <v>0</v>
          </cell>
          <cell r="D22">
            <v>6.5517241379310351E-2</v>
          </cell>
          <cell r="E22">
            <v>143.43484195402297</v>
          </cell>
          <cell r="F22">
            <v>73.212356321839081</v>
          </cell>
          <cell r="G22">
            <v>156.92025862068965</v>
          </cell>
          <cell r="H22">
            <v>981.494037356322</v>
          </cell>
          <cell r="I22">
            <v>0</v>
          </cell>
          <cell r="J22">
            <v>144.66760057471262</v>
          </cell>
          <cell r="K22">
            <v>21.458979885057474</v>
          </cell>
        </row>
        <row r="24">
          <cell r="B24">
            <v>68.286749999999998</v>
          </cell>
          <cell r="C24">
            <v>64.218699999999998</v>
          </cell>
          <cell r="D24">
            <v>23.148199999999999</v>
          </cell>
          <cell r="E24">
            <v>195.64834999999999</v>
          </cell>
          <cell r="F24">
            <v>299.01500000000004</v>
          </cell>
          <cell r="G24">
            <v>142.79435000000001</v>
          </cell>
          <cell r="H24">
            <v>2.2623500000000001</v>
          </cell>
          <cell r="I24">
            <v>11.4399</v>
          </cell>
          <cell r="J24">
            <v>204.96110000000002</v>
          </cell>
          <cell r="K24">
            <v>65.149950000000004</v>
          </cell>
        </row>
        <row r="25">
          <cell r="B25">
            <v>18.209049999999998</v>
          </cell>
          <cell r="C25">
            <v>0</v>
          </cell>
          <cell r="D25">
            <v>4.5600000000000009E-2</v>
          </cell>
          <cell r="E25">
            <v>99.830649999999991</v>
          </cell>
          <cell r="F25">
            <v>50.955800000000004</v>
          </cell>
          <cell r="G25">
            <v>109.2165</v>
          </cell>
          <cell r="H25">
            <v>683.11985000000004</v>
          </cell>
          <cell r="I25">
            <v>0</v>
          </cell>
          <cell r="J25">
            <v>100.68865</v>
          </cell>
          <cell r="K25">
            <v>14.935450000000001</v>
          </cell>
        </row>
        <row r="27">
          <cell r="B27">
            <v>1.8147265389907135</v>
          </cell>
          <cell r="C27">
            <v>3.1168430528485467</v>
          </cell>
          <cell r="D27">
            <v>3.2997938875037547</v>
          </cell>
          <cell r="E27">
            <v>2.0992075277786961</v>
          </cell>
          <cell r="F27">
            <v>1.0698817536154468</v>
          </cell>
          <cell r="G27">
            <v>0.85567942145877707</v>
          </cell>
          <cell r="H27">
            <v>2.3585168623866202E-2</v>
          </cell>
          <cell r="I27">
            <v>0.30444614209854687</v>
          </cell>
          <cell r="J27">
            <v>0.60116821465692727</v>
          </cell>
          <cell r="K27">
            <v>3.9226140246611028</v>
          </cell>
        </row>
        <row r="28">
          <cell r="B28">
            <v>1.0082130757897318E-4</v>
          </cell>
          <cell r="C28">
            <v>0</v>
          </cell>
          <cell r="D28">
            <v>0</v>
          </cell>
          <cell r="E28">
            <v>1.8080642612518862</v>
          </cell>
          <cell r="F28">
            <v>2.7689213019208414</v>
          </cell>
          <cell r="G28">
            <v>1.682130249092012</v>
          </cell>
          <cell r="H28">
            <v>1.6226097393165382</v>
          </cell>
          <cell r="I28">
            <v>0</v>
          </cell>
          <cell r="J28">
            <v>0.86641889371551473</v>
          </cell>
          <cell r="K28">
            <v>0.44886824232180889</v>
          </cell>
        </row>
        <row r="30">
          <cell r="B30">
            <v>0.40074461299539188</v>
          </cell>
        </row>
        <row r="31">
          <cell r="B31">
            <v>1.4087164054057209</v>
          </cell>
        </row>
        <row r="33">
          <cell r="B33">
            <v>0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</row>
        <row r="34">
          <cell r="I34">
            <v>0</v>
          </cell>
        </row>
        <row r="38">
          <cell r="B38">
            <v>113.58543619230008</v>
          </cell>
          <cell r="C38">
            <v>186.38673069168937</v>
          </cell>
          <cell r="D38">
            <v>76.279455303298079</v>
          </cell>
          <cell r="E38">
            <v>344.18887057750635</v>
          </cell>
          <cell r="F38">
            <v>232.09536638774972</v>
          </cell>
          <cell r="G38">
            <v>126.34544155663322</v>
          </cell>
          <cell r="H38">
            <v>0.4612692938781256</v>
          </cell>
          <cell r="I38">
            <v>5.0859463749853466</v>
          </cell>
          <cell r="J38">
            <v>81.509210267065725</v>
          </cell>
          <cell r="K38">
            <v>254.52319789908861</v>
          </cell>
        </row>
        <row r="39">
          <cell r="B39">
            <v>1.1043689318234831E-3</v>
          </cell>
          <cell r="C39">
            <v>0</v>
          </cell>
          <cell r="D39">
            <v>0</v>
          </cell>
          <cell r="E39">
            <v>172.12627057311497</v>
          </cell>
          <cell r="F39">
            <v>192.12236704225478</v>
          </cell>
          <cell r="G39">
            <v>180.38209513853226</v>
          </cell>
          <cell r="H39">
            <v>1103.2174401614643</v>
          </cell>
          <cell r="I39">
            <v>0</v>
          </cell>
          <cell r="J39">
            <v>81.717248923383366</v>
          </cell>
          <cell r="K39">
            <v>6.5523815685563891</v>
          </cell>
        </row>
        <row r="41">
          <cell r="B41">
            <v>317.51396432237885</v>
          </cell>
          <cell r="C41">
            <v>292.89622274607206</v>
          </cell>
          <cell r="D41">
            <v>71.625084680666404</v>
          </cell>
          <cell r="E41">
            <v>262.45606268755495</v>
          </cell>
          <cell r="F41">
            <v>531.79210889101489</v>
          </cell>
          <cell r="G41">
            <v>128.72317714024985</v>
          </cell>
          <cell r="H41">
            <v>61.846916123578822</v>
          </cell>
          <cell r="I41">
            <v>104.19359937880186</v>
          </cell>
          <cell r="J41">
            <v>627.34565441363623</v>
          </cell>
          <cell r="K41">
            <v>101.05576905904798</v>
          </cell>
        </row>
        <row r="42">
          <cell r="B42">
            <v>33.553045159504549</v>
          </cell>
          <cell r="C42">
            <v>0</v>
          </cell>
          <cell r="D42">
            <v>6.4277910971409086E-2</v>
          </cell>
          <cell r="E42">
            <v>218.44439889283825</v>
          </cell>
          <cell r="F42">
            <v>483.57600646642112</v>
          </cell>
          <cell r="G42">
            <v>328.53713936366063</v>
          </cell>
          <cell r="H42">
            <v>1725.2302992648169</v>
          </cell>
          <cell r="I42">
            <v>1.873592819189609</v>
          </cell>
          <cell r="J42">
            <v>180.14109003607243</v>
          </cell>
          <cell r="K42">
            <v>83.46172273908391</v>
          </cell>
        </row>
        <row r="44">
          <cell r="B44">
            <v>0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</row>
        <row r="45"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</row>
        <row r="46">
          <cell r="G46">
            <v>0</v>
          </cell>
        </row>
      </sheetData>
      <sheetData sheetId="9">
        <row r="13">
          <cell r="H13">
            <v>744</v>
          </cell>
          <cell r="I13">
            <v>8.4699453551912565E-2</v>
          </cell>
        </row>
        <row r="21">
          <cell r="B21">
            <v>100.13165322580647</v>
          </cell>
          <cell r="C21">
            <v>93.357123655913981</v>
          </cell>
          <cell r="D21">
            <v>33.327956989247312</v>
          </cell>
          <cell r="E21">
            <v>287.7313844086022</v>
          </cell>
          <cell r="F21">
            <v>439.45981182795714</v>
          </cell>
          <cell r="G21">
            <v>205.34206989247312</v>
          </cell>
          <cell r="H21">
            <v>3.2545698924731177</v>
          </cell>
          <cell r="I21">
            <v>17.043346774193548</v>
          </cell>
          <cell r="J21">
            <v>302.59912634408607</v>
          </cell>
          <cell r="K21">
            <v>93.522379032258058</v>
          </cell>
        </row>
        <row r="22">
          <cell r="B22">
            <v>26.818212365591393</v>
          </cell>
          <cell r="C22">
            <v>0</v>
          </cell>
          <cell r="D22">
            <v>7.4193548387096783E-2</v>
          </cell>
          <cell r="E22">
            <v>146.10208333333333</v>
          </cell>
          <cell r="F22">
            <v>72.925134408602148</v>
          </cell>
          <cell r="G22">
            <v>159.77883064516129</v>
          </cell>
          <cell r="H22">
            <v>1001.0573924731182</v>
          </cell>
          <cell r="I22">
            <v>0</v>
          </cell>
          <cell r="J22">
            <v>147.16619623655913</v>
          </cell>
          <cell r="K22">
            <v>21.967809139784944</v>
          </cell>
        </row>
        <row r="24">
          <cell r="B24">
            <v>74.497950000000017</v>
          </cell>
          <cell r="C24">
            <v>69.457700000000003</v>
          </cell>
          <cell r="D24">
            <v>24.795999999999999</v>
          </cell>
          <cell r="E24">
            <v>214.07215000000002</v>
          </cell>
          <cell r="F24">
            <v>326.95810000000012</v>
          </cell>
          <cell r="G24">
            <v>152.77449999999999</v>
          </cell>
          <cell r="H24">
            <v>2.4213999999999998</v>
          </cell>
          <cell r="I24">
            <v>12.680249999999999</v>
          </cell>
          <cell r="J24">
            <v>225.13375000000002</v>
          </cell>
          <cell r="K24">
            <v>69.580649999999991</v>
          </cell>
        </row>
        <row r="25">
          <cell r="B25">
            <v>19.952749999999995</v>
          </cell>
          <cell r="C25">
            <v>0</v>
          </cell>
          <cell r="D25">
            <v>5.5200000000000006E-2</v>
          </cell>
          <cell r="E25">
            <v>108.69995</v>
          </cell>
          <cell r="F25">
            <v>54.256300000000003</v>
          </cell>
          <cell r="G25">
            <v>118.87545000000001</v>
          </cell>
          <cell r="H25">
            <v>744.7867</v>
          </cell>
          <cell r="I25">
            <v>0</v>
          </cell>
          <cell r="J25">
            <v>109.49164999999999</v>
          </cell>
          <cell r="K25">
            <v>16.344049999999999</v>
          </cell>
        </row>
        <row r="27">
          <cell r="B27">
            <v>1.7771149708918339</v>
          </cell>
          <cell r="C27">
            <v>3.0771271896559909</v>
          </cell>
          <cell r="D27">
            <v>3.2930526075741442</v>
          </cell>
          <cell r="E27">
            <v>2.0625440674913817</v>
          </cell>
          <cell r="F27">
            <v>1.0613932156373107</v>
          </cell>
          <cell r="G27">
            <v>0.83703141190843877</v>
          </cell>
          <cell r="H27">
            <v>1.7650835873345028E-2</v>
          </cell>
          <cell r="I27">
            <v>0.30116143856200617</v>
          </cell>
          <cell r="J27">
            <v>0.57374029099640977</v>
          </cell>
          <cell r="K27">
            <v>3.8827007966590665</v>
          </cell>
        </row>
        <row r="28">
          <cell r="B28">
            <v>9.7452500064912088E-5</v>
          </cell>
          <cell r="C28">
            <v>0</v>
          </cell>
          <cell r="D28">
            <v>0</v>
          </cell>
          <cell r="E28">
            <v>1.7816987905903334</v>
          </cell>
          <cell r="F28">
            <v>2.7341505505038985</v>
          </cell>
          <cell r="G28">
            <v>1.6520825911852848</v>
          </cell>
          <cell r="H28">
            <v>1.5949769164115577</v>
          </cell>
          <cell r="I28">
            <v>0</v>
          </cell>
          <cell r="J28">
            <v>0.79077568470837922</v>
          </cell>
          <cell r="K28">
            <v>0.44823406194899729</v>
          </cell>
        </row>
        <row r="30">
          <cell r="B30">
            <v>0.42831126879812531</v>
          </cell>
        </row>
        <row r="31">
          <cell r="B31">
            <v>1.5056200168634497</v>
          </cell>
        </row>
        <row r="33">
          <cell r="B33">
            <v>0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</row>
        <row r="34">
          <cell r="I34">
            <v>0</v>
          </cell>
        </row>
        <row r="38">
          <cell r="B38">
            <v>121.4421324764627</v>
          </cell>
          <cell r="C38">
            <v>198.88008474528363</v>
          </cell>
          <cell r="D38">
            <v>81.540107393180705</v>
          </cell>
          <cell r="E38">
            <v>370.04670679544859</v>
          </cell>
          <cell r="F38">
            <v>249.25653834037243</v>
          </cell>
          <cell r="G38">
            <v>132.8519858077415</v>
          </cell>
          <cell r="H38">
            <v>0.36901543510250051</v>
          </cell>
          <cell r="I38">
            <v>5.5175143273203009</v>
          </cell>
          <cell r="J38">
            <v>89.841036661522821</v>
          </cell>
          <cell r="K38">
            <v>269.12085218946265</v>
          </cell>
        </row>
        <row r="39">
          <cell r="B39">
            <v>1.1551932548649368E-3</v>
          </cell>
          <cell r="C39">
            <v>0</v>
          </cell>
          <cell r="D39">
            <v>0</v>
          </cell>
          <cell r="E39">
            <v>184.57871552825006</v>
          </cell>
          <cell r="F39">
            <v>203.64642852685265</v>
          </cell>
          <cell r="G39">
            <v>193.13704348844365</v>
          </cell>
          <cell r="H39">
            <v>1186.0783885474884</v>
          </cell>
          <cell r="I39">
            <v>0</v>
          </cell>
          <cell r="J39">
            <v>81.788589532458872</v>
          </cell>
          <cell r="K39">
            <v>7.1614253933484324</v>
          </cell>
        </row>
        <row r="41">
          <cell r="B41">
            <v>339.35530138144259</v>
          </cell>
          <cell r="C41">
            <v>313.04414013917386</v>
          </cell>
          <cell r="D41">
            <v>76.552073072288948</v>
          </cell>
          <cell r="E41">
            <v>280.51004447253689</v>
          </cell>
          <cell r="F41">
            <v>568.37333680780011</v>
          </cell>
          <cell r="G41">
            <v>137.57786265064581</v>
          </cell>
          <cell r="H41">
            <v>66.101278113614683</v>
          </cell>
          <cell r="I41">
            <v>111.36092988751255</v>
          </cell>
          <cell r="J41">
            <v>670.49987574002512</v>
          </cell>
          <cell r="K41">
            <v>108.00725265282325</v>
          </cell>
        </row>
        <row r="42">
          <cell r="B42">
            <v>35.861111736200549</v>
          </cell>
          <cell r="C42">
            <v>0</v>
          </cell>
          <cell r="D42">
            <v>6.8699497662801368E-2</v>
          </cell>
          <cell r="E42">
            <v>233.47088049992379</v>
          </cell>
          <cell r="F42">
            <v>516.84051681150095</v>
          </cell>
          <cell r="G42">
            <v>351.136745061559</v>
          </cell>
          <cell r="H42">
            <v>1843.9064543472232</v>
          </cell>
          <cell r="I42">
            <v>2.0024746224283883</v>
          </cell>
          <cell r="J42">
            <v>192.53274113734557</v>
          </cell>
          <cell r="K42">
            <v>89.20293674132418</v>
          </cell>
        </row>
        <row r="44">
          <cell r="B44">
            <v>0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</row>
        <row r="45"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</row>
        <row r="46">
          <cell r="G46">
            <v>0</v>
          </cell>
        </row>
      </sheetData>
      <sheetData sheetId="10">
        <row r="13">
          <cell r="H13">
            <v>720</v>
          </cell>
          <cell r="I13">
            <v>8.1967213114754106E-2</v>
          </cell>
        </row>
        <row r="21">
          <cell r="B21">
            <v>98.786597222222213</v>
          </cell>
          <cell r="C21">
            <v>92.619652777777773</v>
          </cell>
          <cell r="D21">
            <v>33.282222222222224</v>
          </cell>
          <cell r="E21">
            <v>283.09159722222222</v>
          </cell>
          <cell r="F21">
            <v>432.66749999999996</v>
          </cell>
          <cell r="G21">
            <v>205.9170138888889</v>
          </cell>
          <cell r="H21">
            <v>3.3599305555555552</v>
          </cell>
          <cell r="I21">
            <v>16.634444444444444</v>
          </cell>
          <cell r="J21">
            <v>300.41597222222219</v>
          </cell>
          <cell r="K21">
            <v>93.566388888888895</v>
          </cell>
        </row>
        <row r="22">
          <cell r="B22">
            <v>26.46027777777778</v>
          </cell>
          <cell r="C22">
            <v>0</v>
          </cell>
          <cell r="D22">
            <v>7.0000000000000007E-2</v>
          </cell>
          <cell r="E22">
            <v>144.69548611111111</v>
          </cell>
          <cell r="F22">
            <v>73.515694444444435</v>
          </cell>
          <cell r="G22">
            <v>158.31541666666666</v>
          </cell>
          <cell r="H22">
            <v>989.83208333333334</v>
          </cell>
          <cell r="I22">
            <v>0</v>
          </cell>
          <cell r="J22">
            <v>145.88062500000001</v>
          </cell>
          <cell r="K22">
            <v>21.685486111111111</v>
          </cell>
        </row>
        <row r="24">
          <cell r="B24">
            <v>71.126349999999988</v>
          </cell>
          <cell r="C24">
            <v>66.686149999999998</v>
          </cell>
          <cell r="D24">
            <v>23.963200000000001</v>
          </cell>
          <cell r="E24">
            <v>203.82595000000001</v>
          </cell>
          <cell r="F24">
            <v>311.5206</v>
          </cell>
          <cell r="G24">
            <v>148.26025000000001</v>
          </cell>
          <cell r="H24">
            <v>2.4191499999999997</v>
          </cell>
          <cell r="I24">
            <v>11.976799999999999</v>
          </cell>
          <cell r="J24">
            <v>216.29949999999999</v>
          </cell>
          <cell r="K24">
            <v>67.367800000000003</v>
          </cell>
        </row>
        <row r="25">
          <cell r="B25">
            <v>19.051400000000001</v>
          </cell>
          <cell r="C25">
            <v>0</v>
          </cell>
          <cell r="D25">
            <v>5.0400000000000007E-2</v>
          </cell>
          <cell r="E25">
            <v>104.18075</v>
          </cell>
          <cell r="F25">
            <v>52.931299999999993</v>
          </cell>
          <cell r="G25">
            <v>113.98710000000001</v>
          </cell>
          <cell r="H25">
            <v>712.67909999999995</v>
          </cell>
          <cell r="I25">
            <v>0</v>
          </cell>
          <cell r="J25">
            <v>105.03405000000001</v>
          </cell>
          <cell r="K25">
            <v>15.61355</v>
          </cell>
        </row>
        <row r="27">
          <cell r="B27">
            <v>1.7986505880862982</v>
          </cell>
          <cell r="C27">
            <v>3.1077547263431766</v>
          </cell>
          <cell r="D27">
            <v>3.2975598079406332</v>
          </cell>
          <cell r="E27">
            <v>2.0878766593773102</v>
          </cell>
          <cell r="F27">
            <v>1.0676673701803581</v>
          </cell>
          <cell r="G27">
            <v>0.84799556193699444</v>
          </cell>
          <cell r="H27">
            <v>2.2798996336403993E-2</v>
          </cell>
          <cell r="I27">
            <v>0.30174598357192073</v>
          </cell>
          <cell r="J27">
            <v>0.58459494330215933</v>
          </cell>
          <cell r="K27">
            <v>3.906858513435723</v>
          </cell>
        </row>
        <row r="28">
          <cell r="B28">
            <v>1.0024891156563772E-4</v>
          </cell>
          <cell r="C28">
            <v>0</v>
          </cell>
          <cell r="D28">
            <v>0</v>
          </cell>
          <cell r="E28">
            <v>1.7996969643111296</v>
          </cell>
          <cell r="F28">
            <v>2.7598195240610632</v>
          </cell>
          <cell r="G28">
            <v>1.6698521631831265</v>
          </cell>
          <cell r="H28">
            <v>1.6102928045172857</v>
          </cell>
          <cell r="I28">
            <v>0</v>
          </cell>
          <cell r="J28">
            <v>0.8227936165881008</v>
          </cell>
          <cell r="K28">
            <v>0.44877645796422289</v>
          </cell>
        </row>
        <row r="30">
          <cell r="B30">
            <v>0.41452285356323937</v>
          </cell>
        </row>
        <row r="31">
          <cell r="B31">
            <v>1.4571503278993378</v>
          </cell>
        </row>
        <row r="33">
          <cell r="B33">
            <v>0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</row>
        <row r="34">
          <cell r="I34">
            <v>0</v>
          </cell>
        </row>
        <row r="38">
          <cell r="B38">
            <v>117.23357821258686</v>
          </cell>
          <cell r="C38">
            <v>192.81741949617486</v>
          </cell>
          <cell r="D38">
            <v>78.909781348239392</v>
          </cell>
          <cell r="E38">
            <v>356.16894824413993</v>
          </cell>
          <cell r="F38">
            <v>240.13799263570203</v>
          </cell>
          <cell r="G38">
            <v>130.51671561310874</v>
          </cell>
          <cell r="H38">
            <v>0.4612692938781256</v>
          </cell>
          <cell r="I38">
            <v>5.2716844810535548</v>
          </cell>
          <cell r="J38">
            <v>86.045955730158312</v>
          </cell>
          <cell r="K38">
            <v>262.13183405812464</v>
          </cell>
        </row>
        <row r="39">
          <cell r="B39">
            <v>1.1442623786918501E-3</v>
          </cell>
          <cell r="C39">
            <v>0</v>
          </cell>
          <cell r="D39">
            <v>0</v>
          </cell>
          <cell r="E39">
            <v>178.73395834260961</v>
          </cell>
          <cell r="F39">
            <v>199.33835259645016</v>
          </cell>
          <cell r="G39">
            <v>186.9664114927011</v>
          </cell>
          <cell r="H39">
            <v>1143.277624089902</v>
          </cell>
          <cell r="I39">
            <v>0</v>
          </cell>
          <cell r="J39">
            <v>81.128864846827327</v>
          </cell>
          <cell r="K39">
            <v>6.8477521741121352</v>
          </cell>
        </row>
        <row r="41">
          <cell r="B41">
            <v>328.43060210669006</v>
          </cell>
          <cell r="C41">
            <v>302.96646321230043</v>
          </cell>
          <cell r="D41">
            <v>74.087669617357804</v>
          </cell>
          <cell r="E41">
            <v>271.47972177849022</v>
          </cell>
          <cell r="F41">
            <v>550.07597190695412</v>
          </cell>
          <cell r="G41">
            <v>133.14888579304812</v>
          </cell>
          <cell r="H41">
            <v>63.973311990414729</v>
          </cell>
          <cell r="I41">
            <v>107.77594192644221</v>
          </cell>
          <cell r="J41">
            <v>648.91480111057297</v>
          </cell>
          <cell r="K41">
            <v>104.53022798304207</v>
          </cell>
        </row>
        <row r="42">
          <cell r="B42">
            <v>34.706652501936425</v>
          </cell>
          <cell r="C42">
            <v>0</v>
          </cell>
          <cell r="D42">
            <v>6.6487888328167558E-2</v>
          </cell>
          <cell r="E42">
            <v>225.95486660979034</v>
          </cell>
          <cell r="F42">
            <v>500.20212278556909</v>
          </cell>
          <cell r="G42">
            <v>339.83277153146474</v>
          </cell>
          <cell r="H42">
            <v>1784.5464755211485</v>
          </cell>
          <cell r="I42">
            <v>1.9380099361061194</v>
          </cell>
          <cell r="J42">
            <v>186.33462874921744</v>
          </cell>
          <cell r="K42">
            <v>86.331270218488967</v>
          </cell>
        </row>
        <row r="44">
          <cell r="B44">
            <v>0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</row>
        <row r="45"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</row>
        <row r="46">
          <cell r="G46">
            <v>0</v>
          </cell>
        </row>
      </sheetData>
      <sheetData sheetId="11">
        <row r="13">
          <cell r="H13">
            <v>744</v>
          </cell>
          <cell r="I13">
            <v>8.4699453551912565E-2</v>
          </cell>
        </row>
        <row r="21">
          <cell r="B21">
            <v>156.47869623655913</v>
          </cell>
          <cell r="C21">
            <v>233.66290322580647</v>
          </cell>
          <cell r="D21">
            <v>127.84623655913977</v>
          </cell>
          <cell r="E21">
            <v>477.73655913978496</v>
          </cell>
          <cell r="F21">
            <v>220.91848118279572</v>
          </cell>
          <cell r="G21">
            <v>70.748387096774195</v>
          </cell>
          <cell r="H21">
            <v>0</v>
          </cell>
          <cell r="I21">
            <v>50.321908602150536</v>
          </cell>
          <cell r="J21">
            <v>27.80141129032258</v>
          </cell>
          <cell r="K21">
            <v>143.03051075268814</v>
          </cell>
        </row>
        <row r="22">
          <cell r="B22">
            <v>5.637096774193548</v>
          </cell>
          <cell r="C22">
            <v>0</v>
          </cell>
          <cell r="D22">
            <v>7.0967741935483886E-2</v>
          </cell>
          <cell r="E22">
            <v>139.44475806451615</v>
          </cell>
          <cell r="F22">
            <v>66.359206989247298</v>
          </cell>
          <cell r="G22">
            <v>152.77096774193546</v>
          </cell>
          <cell r="H22">
            <v>1008.2976478494625</v>
          </cell>
          <cell r="I22">
            <v>0</v>
          </cell>
          <cell r="J22">
            <v>132.70880376344084</v>
          </cell>
          <cell r="K22">
            <v>3.5575268817204302</v>
          </cell>
        </row>
        <row r="24">
          <cell r="B24">
            <v>116.42014999999999</v>
          </cell>
          <cell r="C24">
            <v>173.84520000000001</v>
          </cell>
          <cell r="D24">
            <v>95.117599999999996</v>
          </cell>
          <cell r="E24">
            <v>355.43599999999998</v>
          </cell>
          <cell r="F24">
            <v>164.36335</v>
          </cell>
          <cell r="G24">
            <v>52.636800000000001</v>
          </cell>
          <cell r="H24">
            <v>0</v>
          </cell>
          <cell r="I24">
            <v>37.439500000000002</v>
          </cell>
          <cell r="J24">
            <v>20.684249999999999</v>
          </cell>
          <cell r="K24">
            <v>106.41469999999998</v>
          </cell>
        </row>
        <row r="25">
          <cell r="B25">
            <v>4.194</v>
          </cell>
          <cell r="C25">
            <v>0</v>
          </cell>
          <cell r="D25">
            <v>5.2800000000000014E-2</v>
          </cell>
          <cell r="E25">
            <v>103.74690000000001</v>
          </cell>
          <cell r="F25">
            <v>49.371249999999989</v>
          </cell>
          <cell r="G25">
            <v>113.66159999999999</v>
          </cell>
          <cell r="H25">
            <v>750.17345000000012</v>
          </cell>
          <cell r="I25">
            <v>0</v>
          </cell>
          <cell r="J25">
            <v>98.735349999999997</v>
          </cell>
          <cell r="K25">
            <v>2.6468000000000003</v>
          </cell>
        </row>
        <row r="27">
          <cell r="B27">
            <v>1.9324359814664893</v>
          </cell>
          <cell r="C27">
            <v>1.7641704817653856</v>
          </cell>
          <cell r="D27">
            <v>2.09347453743983</v>
          </cell>
          <cell r="E27">
            <v>1.4207409622186284</v>
          </cell>
          <cell r="F27">
            <v>0.45744590166897087</v>
          </cell>
          <cell r="G27">
            <v>0.61454539801478036</v>
          </cell>
          <cell r="H27">
            <v>0</v>
          </cell>
          <cell r="I27">
            <v>0.26225401015064431</v>
          </cell>
          <cell r="J27">
            <v>0.97194669930332311</v>
          </cell>
          <cell r="K27">
            <v>2.7355793243431856</v>
          </cell>
        </row>
        <row r="28">
          <cell r="B28">
            <v>0</v>
          </cell>
          <cell r="C28">
            <v>0</v>
          </cell>
          <cell r="D28">
            <v>0</v>
          </cell>
          <cell r="E28">
            <v>0.75223748315170236</v>
          </cell>
          <cell r="F28">
            <v>1.4115277440445568</v>
          </cell>
          <cell r="G28">
            <v>1.7067712293282462</v>
          </cell>
          <cell r="H28">
            <v>1.9895013596311912</v>
          </cell>
          <cell r="I28">
            <v>0</v>
          </cell>
          <cell r="J28">
            <v>2.4474452302630811</v>
          </cell>
          <cell r="K28">
            <v>0.82225880206494051</v>
          </cell>
        </row>
        <row r="30">
          <cell r="B30">
            <v>0.39728980493347027</v>
          </cell>
        </row>
        <row r="31">
          <cell r="B31">
            <v>1.4301594293744877</v>
          </cell>
        </row>
        <row r="33">
          <cell r="B33">
            <v>0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</row>
        <row r="34">
          <cell r="I34">
            <v>0</v>
          </cell>
        </row>
        <row r="38">
          <cell r="B38">
            <v>219.16272305940032</v>
          </cell>
          <cell r="C38">
            <v>292.58494319716755</v>
          </cell>
          <cell r="D38">
            <v>192.72799102895624</v>
          </cell>
          <cell r="E38">
            <v>495.23856178691904</v>
          </cell>
          <cell r="F38">
            <v>110.41604383782527</v>
          </cell>
          <cell r="G38">
            <v>32.68165469844768</v>
          </cell>
          <cell r="H38">
            <v>0</v>
          </cell>
          <cell r="I38">
            <v>12.474224770132338</v>
          </cell>
          <cell r="J38">
            <v>19.955636071120825</v>
          </cell>
          <cell r="K38">
            <v>277.51193634186404</v>
          </cell>
        </row>
        <row r="39">
          <cell r="B39">
            <v>0</v>
          </cell>
          <cell r="C39">
            <v>0</v>
          </cell>
          <cell r="D39">
            <v>0</v>
          </cell>
          <cell r="E39">
            <v>76.03144720464519</v>
          </cell>
          <cell r="F39">
            <v>66.327436357671218</v>
          </cell>
          <cell r="G39">
            <v>190.95074476688626</v>
          </cell>
          <cell r="H39">
            <v>1448.4394646117998</v>
          </cell>
          <cell r="I39">
            <v>0</v>
          </cell>
          <cell r="J39">
            <v>236.39773868956439</v>
          </cell>
          <cell r="K39">
            <v>1.8854864483402294</v>
          </cell>
        </row>
        <row r="41">
          <cell r="B41">
            <v>314.77668534683784</v>
          </cell>
          <cell r="C41">
            <v>290.37117262977483</v>
          </cell>
          <cell r="D41">
            <v>71.007606835759162</v>
          </cell>
          <cell r="E41">
            <v>260.1934363368332</v>
          </cell>
          <cell r="F41">
            <v>586.8010147847848</v>
          </cell>
          <cell r="G41">
            <v>127.61345824268</v>
          </cell>
          <cell r="H41">
            <v>61.313735595382475</v>
          </cell>
          <cell r="I41">
            <v>103.29534928270228</v>
          </cell>
          <cell r="J41">
            <v>621.93732513310113</v>
          </cell>
          <cell r="K41">
            <v>100.18457011007318</v>
          </cell>
        </row>
        <row r="42">
          <cell r="B42">
            <v>34.063778724343777</v>
          </cell>
          <cell r="C42">
            <v>0</v>
          </cell>
          <cell r="D42">
            <v>6.5256328472854452E-2</v>
          </cell>
          <cell r="E42">
            <v>221.76948864356979</v>
          </cell>
          <cell r="F42">
            <v>490.93684350756678</v>
          </cell>
          <cell r="G42">
            <v>333.53802508272491</v>
          </cell>
          <cell r="H42">
            <v>1751.4911950113415</v>
          </cell>
          <cell r="I42">
            <v>1.9021120410680683</v>
          </cell>
          <cell r="J42">
            <v>182.88313924951274</v>
          </cell>
          <cell r="K42">
            <v>84.732149997757944</v>
          </cell>
        </row>
        <row r="44">
          <cell r="B44">
            <v>0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</row>
        <row r="45"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</row>
        <row r="46">
          <cell r="G46">
            <v>0</v>
          </cell>
        </row>
      </sheetData>
      <sheetData sheetId="12">
        <row r="13">
          <cell r="H13">
            <v>720</v>
          </cell>
          <cell r="I13">
            <v>8.1967213114754092E-2</v>
          </cell>
        </row>
        <row r="21">
          <cell r="B21">
            <v>157.0636111111111</v>
          </cell>
          <cell r="C21">
            <v>234.27055555555557</v>
          </cell>
          <cell r="D21">
            <v>128.37847222222223</v>
          </cell>
          <cell r="E21">
            <v>481.62652777777777</v>
          </cell>
          <cell r="F21">
            <v>223.94916666666666</v>
          </cell>
          <cell r="G21">
            <v>70.13333333333334</v>
          </cell>
          <cell r="H21">
            <v>0</v>
          </cell>
          <cell r="I21">
            <v>50.632638888888891</v>
          </cell>
          <cell r="J21">
            <v>27.935138888888886</v>
          </cell>
          <cell r="K21">
            <v>143.29499999999999</v>
          </cell>
        </row>
        <row r="22">
          <cell r="B22">
            <v>5.4980555555555561</v>
          </cell>
          <cell r="C22">
            <v>0</v>
          </cell>
          <cell r="D22">
            <v>7.3333333333333348E-2</v>
          </cell>
          <cell r="E22">
            <v>140.3126388888889</v>
          </cell>
          <cell r="F22">
            <v>65.914027777777775</v>
          </cell>
          <cell r="G22">
            <v>153.60680555555552</v>
          </cell>
          <cell r="H22">
            <v>1015.2673611111111</v>
          </cell>
          <cell r="I22">
            <v>0</v>
          </cell>
          <cell r="J22">
            <v>133.45458333333332</v>
          </cell>
          <cell r="K22">
            <v>3.4777777777777783</v>
          </cell>
        </row>
        <row r="24">
          <cell r="B24">
            <v>113.08579999999999</v>
          </cell>
          <cell r="C24">
            <v>168.6748</v>
          </cell>
          <cell r="D24">
            <v>92.432500000000005</v>
          </cell>
          <cell r="E24">
            <v>346.77109999999999</v>
          </cell>
          <cell r="F24">
            <v>161.24340000000001</v>
          </cell>
          <cell r="G24">
            <v>50.496000000000002</v>
          </cell>
          <cell r="H24">
            <v>0</v>
          </cell>
          <cell r="I24">
            <v>36.455500000000001</v>
          </cell>
          <cell r="J24">
            <v>20.113299999999999</v>
          </cell>
          <cell r="K24">
            <v>103.1724</v>
          </cell>
        </row>
        <row r="25">
          <cell r="B25">
            <v>3.9586000000000006</v>
          </cell>
          <cell r="C25">
            <v>0</v>
          </cell>
          <cell r="D25">
            <v>5.2800000000000014E-2</v>
          </cell>
          <cell r="E25">
            <v>101.02510000000001</v>
          </cell>
          <cell r="F25">
            <v>47.458100000000002</v>
          </cell>
          <cell r="G25">
            <v>110.59689999999998</v>
          </cell>
          <cell r="H25">
            <v>730.99249999999995</v>
          </cell>
          <cell r="I25">
            <v>0</v>
          </cell>
          <cell r="J25">
            <v>96.087299999999985</v>
          </cell>
          <cell r="K25">
            <v>2.5040000000000004</v>
          </cell>
        </row>
        <row r="27">
          <cell r="B27">
            <v>1.9207461103673285</v>
          </cell>
          <cell r="C27">
            <v>1.7519291385596549</v>
          </cell>
          <cell r="D27">
            <v>2.0789901249954821</v>
          </cell>
          <cell r="E27">
            <v>1.4097802629989082</v>
          </cell>
          <cell r="F27">
            <v>0.45871230460936041</v>
          </cell>
          <cell r="G27">
            <v>0.61032883876953692</v>
          </cell>
          <cell r="H27">
            <v>0</v>
          </cell>
          <cell r="I27">
            <v>0.26058365861491339</v>
          </cell>
          <cell r="J27">
            <v>0.9665158873378612</v>
          </cell>
          <cell r="K27">
            <v>2.7234140495299592</v>
          </cell>
        </row>
        <row r="28">
          <cell r="B28">
            <v>0</v>
          </cell>
          <cell r="C28">
            <v>0</v>
          </cell>
          <cell r="D28">
            <v>0</v>
          </cell>
          <cell r="E28">
            <v>0.74561573915425505</v>
          </cell>
          <cell r="F28">
            <v>1.4024479008808226</v>
          </cell>
          <cell r="G28">
            <v>1.693985959524196</v>
          </cell>
          <cell r="H28">
            <v>1.9749736610988367</v>
          </cell>
          <cell r="I28">
            <v>0</v>
          </cell>
          <cell r="J28">
            <v>2.4296487977398589</v>
          </cell>
          <cell r="K28">
            <v>0.83095160504386933</v>
          </cell>
        </row>
        <row r="30">
          <cell r="B30">
            <v>0.38183331139736293</v>
          </cell>
        </row>
        <row r="31">
          <cell r="B31">
            <v>1.3839883535328608</v>
          </cell>
        </row>
        <row r="33">
          <cell r="B33">
            <v>0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</row>
        <row r="34">
          <cell r="I34">
            <v>0</v>
          </cell>
        </row>
        <row r="38">
          <cell r="B38">
            <v>211.94770767580098</v>
          </cell>
          <cell r="C38">
            <v>282.69717149194457</v>
          </cell>
          <cell r="D38">
            <v>186.42251115014727</v>
          </cell>
          <cell r="E38">
            <v>480.09688302596504</v>
          </cell>
          <cell r="F38">
            <v>107.68489616764219</v>
          </cell>
          <cell r="G38">
            <v>31.095231609411119</v>
          </cell>
          <cell r="H38">
            <v>0</v>
          </cell>
          <cell r="I38">
            <v>12.144243879835129</v>
          </cell>
          <cell r="J38">
            <v>19.308049741284275</v>
          </cell>
          <cell r="K38">
            <v>268.10785603358215</v>
          </cell>
        </row>
        <row r="39">
          <cell r="B39">
            <v>0</v>
          </cell>
          <cell r="C39">
            <v>0</v>
          </cell>
          <cell r="D39">
            <v>0</v>
          </cell>
          <cell r="E39">
            <v>73.496230123803272</v>
          </cell>
          <cell r="F39">
            <v>63.436574296600917</v>
          </cell>
          <cell r="G39">
            <v>184.63674984560609</v>
          </cell>
          <cell r="H39">
            <v>1402.9578008237054</v>
          </cell>
          <cell r="I39">
            <v>0</v>
          </cell>
          <cell r="J39">
            <v>228.61096103597848</v>
          </cell>
          <cell r="K39">
            <v>1.8116903778323443</v>
          </cell>
        </row>
        <row r="41">
          <cell r="B41">
            <v>302.53035095324464</v>
          </cell>
          <cell r="C41">
            <v>279.07433063410468</v>
          </cell>
          <cell r="D41">
            <v>68.245067746050708</v>
          </cell>
          <cell r="E41">
            <v>250.07065413367229</v>
          </cell>
          <cell r="F41">
            <v>580.77228496850296</v>
          </cell>
          <cell r="G41">
            <v>122.64867795394697</v>
          </cell>
          <cell r="H41">
            <v>58.928334947955037</v>
          </cell>
          <cell r="I41">
            <v>99.27666096331437</v>
          </cell>
          <cell r="J41">
            <v>597.74095732700198</v>
          </cell>
          <cell r="K41">
            <v>96.286906135073025</v>
          </cell>
        </row>
        <row r="42">
          <cell r="B42">
            <v>32.964068245476433</v>
          </cell>
          <cell r="C42">
            <v>0</v>
          </cell>
          <cell r="D42">
            <v>6.3149601887564549E-2</v>
          </cell>
          <cell r="E42">
            <v>214.60991211719647</v>
          </cell>
          <cell r="F42">
            <v>475.08750407766098</v>
          </cell>
          <cell r="G42">
            <v>322.77012806658854</v>
          </cell>
          <cell r="H42">
            <v>1694.9462874018595</v>
          </cell>
          <cell r="I42">
            <v>1.8407045101987047</v>
          </cell>
          <cell r="J42">
            <v>176.97896442885155</v>
          </cell>
          <cell r="K42">
            <v>81.996668593784932</v>
          </cell>
        </row>
        <row r="44">
          <cell r="B44">
            <v>0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</row>
        <row r="45"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</row>
        <row r="46">
          <cell r="G46">
            <v>0</v>
          </cell>
        </row>
      </sheetData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"/>
      <sheetName val="Nod"/>
      <sheetName val="Ram"/>
      <sheetName val="%USO"/>
      <sheetName val="Dias"/>
      <sheetName val="ENERGIA"/>
      <sheetName val="ENSA"/>
      <sheetName val="1. DatosFijos"/>
    </sheetNames>
    <sheetDataSet>
      <sheetData sheetId="0">
        <row r="1">
          <cell r="B1">
            <v>4</v>
          </cell>
          <cell r="C1" t="str">
            <v>2028-2029</v>
          </cell>
        </row>
        <row r="3">
          <cell r="B3">
            <v>106790.06352136409</v>
          </cell>
          <cell r="D3">
            <v>3407.1499999999996</v>
          </cell>
        </row>
        <row r="4">
          <cell r="B4">
            <v>91332.20115054147</v>
          </cell>
          <cell r="D4">
            <v>3132.3899999999994</v>
          </cell>
          <cell r="F4">
            <v>29.157353059657797</v>
          </cell>
        </row>
        <row r="5">
          <cell r="B5">
            <v>15457.862370822619</v>
          </cell>
          <cell r="D5">
            <v>274.76000000000005</v>
          </cell>
          <cell r="F5">
            <v>56.259507828004864</v>
          </cell>
        </row>
        <row r="7">
          <cell r="C7">
            <v>1</v>
          </cell>
          <cell r="D7">
            <v>0</v>
          </cell>
          <cell r="E7">
            <v>1</v>
          </cell>
          <cell r="F7">
            <v>0</v>
          </cell>
          <cell r="G7" t="str">
            <v>(230 kV)</v>
          </cell>
        </row>
        <row r="11">
          <cell r="B11">
            <v>812.31</v>
          </cell>
          <cell r="C11">
            <v>730.88000000000011</v>
          </cell>
          <cell r="D11">
            <v>178.73000000000005</v>
          </cell>
          <cell r="E11">
            <v>654.92099999999982</v>
          </cell>
          <cell r="F11">
            <v>1646.0099999999998</v>
          </cell>
          <cell r="G11">
            <v>321.21000000000004</v>
          </cell>
          <cell r="H11">
            <v>154.33000000000001</v>
          </cell>
          <cell r="I11">
            <v>260</v>
          </cell>
          <cell r="J11">
            <v>1565.45</v>
          </cell>
          <cell r="K11">
            <v>252.17</v>
          </cell>
        </row>
        <row r="12">
          <cell r="B12">
            <v>24.448816417509502</v>
          </cell>
          <cell r="C12">
            <v>0</v>
          </cell>
          <cell r="D12">
            <v>4.6836847075140575E-2</v>
          </cell>
          <cell r="E12">
            <v>158.78765378042561</v>
          </cell>
          <cell r="F12">
            <v>351.79028248207129</v>
          </cell>
          <cell r="G12">
            <v>240.35441692705891</v>
          </cell>
          <cell r="H12">
            <v>1254.8037773694064</v>
          </cell>
          <cell r="I12">
            <v>1.35</v>
          </cell>
          <cell r="J12">
            <v>142.87444388279732</v>
          </cell>
          <cell r="K12">
            <v>60.815354535977733</v>
          </cell>
        </row>
      </sheetData>
      <sheetData sheetId="1"/>
      <sheetData sheetId="2"/>
      <sheetData sheetId="3"/>
      <sheetData sheetId="4">
        <row r="3">
          <cell r="E3" t="str">
            <v xml:space="preserve"> 2.- Día Semihábil (sábado):</v>
          </cell>
        </row>
      </sheetData>
      <sheetData sheetId="5"/>
      <sheetData sheetId="6"/>
      <sheetData sheetId="7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sumen"/>
      <sheetName val="M01"/>
      <sheetName val="M02"/>
      <sheetName val="M03"/>
      <sheetName val="M04"/>
      <sheetName val="M05"/>
      <sheetName val="M06"/>
      <sheetName val="M07"/>
      <sheetName val="M08"/>
      <sheetName val="M09"/>
      <sheetName val="M10"/>
      <sheetName val="M11"/>
      <sheetName val="M12"/>
    </sheetNames>
    <sheetDataSet>
      <sheetData sheetId="0" refreshError="1"/>
      <sheetData sheetId="1">
        <row r="13">
          <cell r="H13">
            <v>744</v>
          </cell>
          <cell r="I13">
            <v>8.4931506849315067E-2</v>
          </cell>
        </row>
        <row r="21">
          <cell r="B21">
            <v>172.25</v>
          </cell>
          <cell r="C21">
            <v>200.87284946236559</v>
          </cell>
          <cell r="D21">
            <v>99.679032258064538</v>
          </cell>
          <cell r="E21">
            <v>452.67331989247322</v>
          </cell>
          <cell r="F21">
            <v>260.72251344086021</v>
          </cell>
          <cell r="G21">
            <v>159.19999999999999</v>
          </cell>
          <cell r="H21">
            <v>0</v>
          </cell>
          <cell r="I21">
            <v>50.200873655913973</v>
          </cell>
          <cell r="J21">
            <v>25.378763440860215</v>
          </cell>
          <cell r="K21">
            <v>144.34784946236559</v>
          </cell>
        </row>
        <row r="22">
          <cell r="B22">
            <v>5.9772849462365585</v>
          </cell>
          <cell r="C22">
            <v>0</v>
          </cell>
          <cell r="D22">
            <v>7.4193548387096783E-2</v>
          </cell>
          <cell r="E22">
            <v>148.98958333333334</v>
          </cell>
          <cell r="F22">
            <v>70.243077956989239</v>
          </cell>
          <cell r="G22">
            <v>163.20369623655915</v>
          </cell>
          <cell r="H22">
            <v>1038.453629032258</v>
          </cell>
          <cell r="I22">
            <v>0</v>
          </cell>
          <cell r="J22">
            <v>132.86969086021503</v>
          </cell>
          <cell r="K22">
            <v>5.3037634408602159</v>
          </cell>
        </row>
        <row r="24">
          <cell r="B24">
            <v>128.154</v>
          </cell>
          <cell r="C24">
            <v>149.4494</v>
          </cell>
          <cell r="D24">
            <v>74.161200000000008</v>
          </cell>
          <cell r="E24">
            <v>336.78895000000006</v>
          </cell>
          <cell r="F24">
            <v>193.97754999999998</v>
          </cell>
          <cell r="G24">
            <v>118.44479999999999</v>
          </cell>
          <cell r="H24">
            <v>0</v>
          </cell>
          <cell r="I24">
            <v>37.349449999999997</v>
          </cell>
          <cell r="J24">
            <v>18.881799999999998</v>
          </cell>
          <cell r="K24">
            <v>107.39479999999999</v>
          </cell>
        </row>
        <row r="25">
          <cell r="B25">
            <v>4.4470999999999998</v>
          </cell>
          <cell r="C25">
            <v>0</v>
          </cell>
          <cell r="D25">
            <v>5.5200000000000006E-2</v>
          </cell>
          <cell r="E25">
            <v>110.84824999999999</v>
          </cell>
          <cell r="F25">
            <v>52.260849999999998</v>
          </cell>
          <cell r="G25">
            <v>121.42355000000001</v>
          </cell>
          <cell r="H25">
            <v>772.60950000000003</v>
          </cell>
          <cell r="I25">
            <v>0</v>
          </cell>
          <cell r="J25">
            <v>98.855049999999991</v>
          </cell>
          <cell r="K25">
            <v>3.9460000000000006</v>
          </cell>
        </row>
        <row r="27">
          <cell r="B27">
            <v>1.9811852591833568</v>
          </cell>
          <cell r="C27">
            <v>1.9582164491359331</v>
          </cell>
          <cell r="D27">
            <v>2.1268887450111618</v>
          </cell>
          <cell r="E27">
            <v>1.5316311260173232</v>
          </cell>
          <cell r="F27">
            <v>0.48328666824303462</v>
          </cell>
          <cell r="G27">
            <v>0.65426285172393694</v>
          </cell>
          <cell r="H27">
            <v>0</v>
          </cell>
          <cell r="I27">
            <v>0.30996110604245336</v>
          </cell>
          <cell r="J27">
            <v>0.94863505009297666</v>
          </cell>
          <cell r="K27">
            <v>2.9467883623043516</v>
          </cell>
        </row>
        <row r="28">
          <cell r="B28">
            <v>0</v>
          </cell>
          <cell r="C28">
            <v>0</v>
          </cell>
          <cell r="D28">
            <v>0</v>
          </cell>
          <cell r="E28">
            <v>0.97904418279133887</v>
          </cell>
          <cell r="F28">
            <v>1.5160713222344602</v>
          </cell>
          <cell r="G28">
            <v>1.6775563712562414</v>
          </cell>
          <cell r="H28">
            <v>1.9946086727415255</v>
          </cell>
          <cell r="I28">
            <v>0</v>
          </cell>
          <cell r="J28">
            <v>2.4721453724828737</v>
          </cell>
          <cell r="K28">
            <v>0.71004915202953267</v>
          </cell>
        </row>
        <row r="30">
          <cell r="B30">
            <v>0.36468149478777573</v>
          </cell>
        </row>
        <row r="31">
          <cell r="B31">
            <v>1.2823685474776263</v>
          </cell>
        </row>
        <row r="33">
          <cell r="B33">
            <v>0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</row>
        <row r="34">
          <cell r="I34">
            <v>0</v>
          </cell>
        </row>
        <row r="38">
          <cell r="B38">
            <v>250.9839752116257</v>
          </cell>
          <cell r="C38">
            <v>279.35016080619022</v>
          </cell>
          <cell r="D38">
            <v>149.86379952790438</v>
          </cell>
          <cell r="E38">
            <v>508.64231473013251</v>
          </cell>
          <cell r="F38">
            <v>135.21269844342615</v>
          </cell>
          <cell r="G38">
            <v>77.494032619871362</v>
          </cell>
          <cell r="H38">
            <v>0</v>
          </cell>
          <cell r="I38">
            <v>14.392662286590513</v>
          </cell>
          <cell r="J38">
            <v>17.602615990774186</v>
          </cell>
          <cell r="K38">
            <v>302.61549103844345</v>
          </cell>
        </row>
        <row r="39">
          <cell r="B39">
            <v>0</v>
          </cell>
          <cell r="C39">
            <v>0</v>
          </cell>
          <cell r="D39">
            <v>0</v>
          </cell>
          <cell r="E39">
            <v>106.60105359286811</v>
          </cell>
          <cell r="F39">
            <v>73.811286159570386</v>
          </cell>
          <cell r="G39">
            <v>200.81080896977792</v>
          </cell>
          <cell r="H39">
            <v>1499.0815732899794</v>
          </cell>
          <cell r="I39">
            <v>0</v>
          </cell>
          <cell r="J39">
            <v>239.17736176867169</v>
          </cell>
          <cell r="K39">
            <v>2.4885003529709606</v>
          </cell>
        </row>
        <row r="41">
          <cell r="B41">
            <v>288.94079513530255</v>
          </cell>
          <cell r="C41">
            <v>266.53841091048952</v>
          </cell>
          <cell r="D41">
            <v>65.179523563419167</v>
          </cell>
          <cell r="E41">
            <v>238.83756924790475</v>
          </cell>
          <cell r="F41">
            <v>554.68420038715453</v>
          </cell>
          <cell r="G41">
            <v>117.13934294078148</v>
          </cell>
          <cell r="H41">
            <v>56.281295090597432</v>
          </cell>
          <cell r="I41">
            <v>94.81718864482167</v>
          </cell>
          <cell r="J41">
            <v>570.89064601552343</v>
          </cell>
          <cell r="K41">
            <v>91.961732540633378</v>
          </cell>
        </row>
        <row r="42">
          <cell r="B42">
            <v>31.3523931968688</v>
          </cell>
          <cell r="C42">
            <v>0</v>
          </cell>
          <cell r="D42">
            <v>6.0062099552179712E-2</v>
          </cell>
          <cell r="E42">
            <v>203.62429293578455</v>
          </cell>
          <cell r="F42">
            <v>451.12479356327754</v>
          </cell>
          <cell r="G42">
            <v>308.22294451458419</v>
          </cell>
          <cell r="H42">
            <v>1609.1208973546441</v>
          </cell>
          <cell r="I42">
            <v>1.7311975390947953</v>
          </cell>
          <cell r="J42">
            <v>183.21769307365636</v>
          </cell>
          <cell r="K42">
            <v>77.987697860638633</v>
          </cell>
        </row>
        <row r="44">
          <cell r="B44">
            <v>0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</row>
        <row r="45"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</row>
        <row r="46">
          <cell r="G46">
            <v>0</v>
          </cell>
        </row>
      </sheetData>
      <sheetData sheetId="2">
        <row r="13">
          <cell r="H13">
            <v>744</v>
          </cell>
          <cell r="I13">
            <v>8.4931506849315067E-2</v>
          </cell>
        </row>
        <row r="21">
          <cell r="B21">
            <v>172.25</v>
          </cell>
          <cell r="C21">
            <v>200.87284946236559</v>
          </cell>
          <cell r="D21">
            <v>99.679032258064538</v>
          </cell>
          <cell r="E21">
            <v>452.67331989247322</v>
          </cell>
          <cell r="F21">
            <v>260.72251344086021</v>
          </cell>
          <cell r="G21">
            <v>159.19999999999999</v>
          </cell>
          <cell r="H21">
            <v>0</v>
          </cell>
          <cell r="I21">
            <v>50.200873655913973</v>
          </cell>
          <cell r="J21">
            <v>25.378763440860215</v>
          </cell>
          <cell r="K21">
            <v>144.34784946236559</v>
          </cell>
        </row>
        <row r="22">
          <cell r="B22">
            <v>5.9772849462365585</v>
          </cell>
          <cell r="C22">
            <v>0</v>
          </cell>
          <cell r="D22">
            <v>7.4193548387096783E-2</v>
          </cell>
          <cell r="E22">
            <v>148.98958333333334</v>
          </cell>
          <cell r="F22">
            <v>70.243077956989239</v>
          </cell>
          <cell r="G22">
            <v>163.20369623655915</v>
          </cell>
          <cell r="H22">
            <v>1038.453629032258</v>
          </cell>
          <cell r="I22">
            <v>0</v>
          </cell>
          <cell r="J22">
            <v>132.86969086021503</v>
          </cell>
          <cell r="K22">
            <v>5.3037634408602159</v>
          </cell>
        </row>
        <row r="24">
          <cell r="B24">
            <v>128.154</v>
          </cell>
          <cell r="C24">
            <v>149.4494</v>
          </cell>
          <cell r="D24">
            <v>74.161200000000008</v>
          </cell>
          <cell r="E24">
            <v>336.78895000000006</v>
          </cell>
          <cell r="F24">
            <v>193.97754999999998</v>
          </cell>
          <cell r="G24">
            <v>118.44479999999999</v>
          </cell>
          <cell r="H24">
            <v>0</v>
          </cell>
          <cell r="I24">
            <v>37.349449999999997</v>
          </cell>
          <cell r="J24">
            <v>18.881799999999998</v>
          </cell>
          <cell r="K24">
            <v>107.39479999999999</v>
          </cell>
        </row>
        <row r="25">
          <cell r="B25">
            <v>4.4470999999999998</v>
          </cell>
          <cell r="C25">
            <v>0</v>
          </cell>
          <cell r="D25">
            <v>5.5200000000000006E-2</v>
          </cell>
          <cell r="E25">
            <v>110.84824999999999</v>
          </cell>
          <cell r="F25">
            <v>52.260849999999998</v>
          </cell>
          <cell r="G25">
            <v>121.42355000000001</v>
          </cell>
          <cell r="H25">
            <v>772.60950000000003</v>
          </cell>
          <cell r="I25">
            <v>0</v>
          </cell>
          <cell r="J25">
            <v>98.855049999999991</v>
          </cell>
          <cell r="K25">
            <v>3.9460000000000006</v>
          </cell>
        </row>
        <row r="27">
          <cell r="B27">
            <v>2.0010227933897085</v>
          </cell>
          <cell r="C27">
            <v>1.9774894068732154</v>
          </cell>
          <cell r="D27">
            <v>2.1492922791140838</v>
          </cell>
          <cell r="E27">
            <v>1.5010075796386111</v>
          </cell>
          <cell r="F27">
            <v>0.48964213856919819</v>
          </cell>
          <cell r="G27">
            <v>0.659713570012325</v>
          </cell>
          <cell r="H27">
            <v>0</v>
          </cell>
          <cell r="I27">
            <v>0.31418583499194752</v>
          </cell>
          <cell r="J27">
            <v>0.95791031726740039</v>
          </cell>
          <cell r="K27">
            <v>2.9773366162181722</v>
          </cell>
        </row>
        <row r="28">
          <cell r="B28">
            <v>0</v>
          </cell>
          <cell r="C28">
            <v>0</v>
          </cell>
          <cell r="D28">
            <v>0</v>
          </cell>
          <cell r="E28">
            <v>0.9887741867915264</v>
          </cell>
          <cell r="F28">
            <v>1.5017495686108304</v>
          </cell>
          <cell r="G28">
            <v>1.6744735169354248</v>
          </cell>
          <cell r="H28">
            <v>1.9945722899992602</v>
          </cell>
          <cell r="I28">
            <v>0</v>
          </cell>
          <cell r="J28">
            <v>2.4684621154595554</v>
          </cell>
          <cell r="K28">
            <v>0.71736446007932264</v>
          </cell>
        </row>
        <row r="30">
          <cell r="B30">
            <v>0.36468149478777573</v>
          </cell>
        </row>
        <row r="31">
          <cell r="B31">
            <v>1.2823685474776259</v>
          </cell>
        </row>
        <row r="33">
          <cell r="B33">
            <v>0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</row>
        <row r="34">
          <cell r="I34">
            <v>0</v>
          </cell>
        </row>
        <row r="38">
          <cell r="B38">
            <v>253.35309247794115</v>
          </cell>
          <cell r="C38">
            <v>281.3370859016681</v>
          </cell>
          <cell r="D38">
            <v>151.21527934408419</v>
          </cell>
          <cell r="E38">
            <v>497.53039938054962</v>
          </cell>
          <cell r="F38">
            <v>136.99028399858281</v>
          </cell>
          <cell r="G38">
            <v>78.13964185739583</v>
          </cell>
          <cell r="H38">
            <v>0</v>
          </cell>
          <cell r="I38">
            <v>14.580051967528284</v>
          </cell>
          <cell r="J38">
            <v>17.776109785118113</v>
          </cell>
          <cell r="K38">
            <v>305.23580594209056</v>
          </cell>
        </row>
        <row r="39">
          <cell r="B39">
            <v>0</v>
          </cell>
          <cell r="C39">
            <v>0</v>
          </cell>
          <cell r="D39">
            <v>0</v>
          </cell>
          <cell r="E39">
            <v>107.73263435256735</v>
          </cell>
          <cell r="F39">
            <v>73.442493706110071</v>
          </cell>
          <cell r="G39">
            <v>200.44692103839074</v>
          </cell>
          <cell r="H39">
            <v>1498.9930116837288</v>
          </cell>
          <cell r="I39">
            <v>0</v>
          </cell>
          <cell r="J39">
            <v>238.84150482326027</v>
          </cell>
          <cell r="K39">
            <v>2.5140185297811257</v>
          </cell>
        </row>
        <row r="41">
          <cell r="B41">
            <v>288.94079513530255</v>
          </cell>
          <cell r="C41">
            <v>266.53841091048957</v>
          </cell>
          <cell r="D41">
            <v>65.179523563419167</v>
          </cell>
          <cell r="E41">
            <v>238.83756924790478</v>
          </cell>
          <cell r="F41">
            <v>554.68420038715465</v>
          </cell>
          <cell r="G41">
            <v>117.13934294078146</v>
          </cell>
          <cell r="H41">
            <v>56.281295090597432</v>
          </cell>
          <cell r="I41">
            <v>94.817188644821684</v>
          </cell>
          <cell r="J41">
            <v>570.89064601552343</v>
          </cell>
          <cell r="K41">
            <v>91.961732540633406</v>
          </cell>
        </row>
        <row r="42">
          <cell r="B42">
            <v>31.3523931968688</v>
          </cell>
          <cell r="C42">
            <v>0</v>
          </cell>
          <cell r="D42">
            <v>6.0062099552179719E-2</v>
          </cell>
          <cell r="E42">
            <v>203.62429293578458</v>
          </cell>
          <cell r="F42">
            <v>451.12479356327748</v>
          </cell>
          <cell r="G42">
            <v>308.22294451458419</v>
          </cell>
          <cell r="H42">
            <v>1609.1208973546441</v>
          </cell>
          <cell r="I42">
            <v>1.7311975390947956</v>
          </cell>
          <cell r="J42">
            <v>183.21769307365636</v>
          </cell>
          <cell r="K42">
            <v>77.987697860638619</v>
          </cell>
        </row>
        <row r="44">
          <cell r="B44">
            <v>0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</row>
        <row r="45"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</row>
        <row r="46">
          <cell r="G46">
            <v>0</v>
          </cell>
        </row>
      </sheetData>
      <sheetData sheetId="3">
        <row r="13">
          <cell r="H13">
            <v>720</v>
          </cell>
          <cell r="I13">
            <v>8.2191780821917804E-2</v>
          </cell>
        </row>
        <row r="21">
          <cell r="B21">
            <v>172.14666666666665</v>
          </cell>
          <cell r="C21">
            <v>200.48166666666665</v>
          </cell>
          <cell r="D21">
            <v>99.611944444444447</v>
          </cell>
          <cell r="E21">
            <v>451.85930555555564</v>
          </cell>
          <cell r="F21">
            <v>259.70680555555555</v>
          </cell>
          <cell r="G21">
            <v>159.19999999999999</v>
          </cell>
          <cell r="H21">
            <v>0</v>
          </cell>
          <cell r="I21">
            <v>49.942638888888887</v>
          </cell>
          <cell r="J21">
            <v>25.346388888888885</v>
          </cell>
          <cell r="K21">
            <v>144.27500000000001</v>
          </cell>
        </row>
        <row r="22">
          <cell r="B22">
            <v>6.0044444444444443</v>
          </cell>
          <cell r="C22">
            <v>0</v>
          </cell>
          <cell r="D22">
            <v>7.3333333333333348E-2</v>
          </cell>
          <cell r="E22">
            <v>148.70930555555555</v>
          </cell>
          <cell r="F22">
            <v>70.267916666666665</v>
          </cell>
          <cell r="G22">
            <v>162.91763888888889</v>
          </cell>
          <cell r="H22">
            <v>1036.4288888888889</v>
          </cell>
          <cell r="I22">
            <v>0</v>
          </cell>
          <cell r="J22">
            <v>132.65624999999997</v>
          </cell>
          <cell r="K22">
            <v>5.3033333333333337</v>
          </cell>
        </row>
        <row r="24">
          <cell r="B24">
            <v>123.94559999999998</v>
          </cell>
          <cell r="C24">
            <v>144.3468</v>
          </cell>
          <cell r="D24">
            <v>71.720600000000005</v>
          </cell>
          <cell r="E24">
            <v>325.33870000000007</v>
          </cell>
          <cell r="F24">
            <v>186.9889</v>
          </cell>
          <cell r="G24">
            <v>114.62399999999998</v>
          </cell>
          <cell r="H24">
            <v>0</v>
          </cell>
          <cell r="I24">
            <v>35.9587</v>
          </cell>
          <cell r="J24">
            <v>18.249399999999998</v>
          </cell>
          <cell r="K24">
            <v>103.878</v>
          </cell>
        </row>
        <row r="25">
          <cell r="B25">
            <v>4.3231999999999999</v>
          </cell>
          <cell r="C25">
            <v>0</v>
          </cell>
          <cell r="D25">
            <v>5.2800000000000014E-2</v>
          </cell>
          <cell r="E25">
            <v>107.0707</v>
          </cell>
          <cell r="F25">
            <v>50.592899999999993</v>
          </cell>
          <cell r="G25">
            <v>117.30069999999999</v>
          </cell>
          <cell r="H25">
            <v>746.22880000000009</v>
          </cell>
          <cell r="I25">
            <v>0</v>
          </cell>
          <cell r="J25">
            <v>95.512499999999989</v>
          </cell>
          <cell r="K25">
            <v>3.8184000000000005</v>
          </cell>
        </row>
        <row r="27">
          <cell r="B27">
            <v>2.0039517479063664</v>
          </cell>
          <cell r="C27">
            <v>1.980506470962504</v>
          </cell>
          <cell r="D27">
            <v>2.1523145617580584</v>
          </cell>
          <cell r="E27">
            <v>1.5039320697223748</v>
          </cell>
          <cell r="F27">
            <v>0.48984348829168595</v>
          </cell>
          <cell r="G27">
            <v>0.66091705699712111</v>
          </cell>
          <cell r="H27">
            <v>0</v>
          </cell>
          <cell r="I27">
            <v>0.31520069940354734</v>
          </cell>
          <cell r="J27">
            <v>0.95937780236686088</v>
          </cell>
          <cell r="K27">
            <v>2.9808442365616057</v>
          </cell>
        </row>
        <row r="28">
          <cell r="B28">
            <v>0</v>
          </cell>
          <cell r="C28">
            <v>0</v>
          </cell>
          <cell r="D28">
            <v>0</v>
          </cell>
          <cell r="E28">
            <v>0.99079356194035328</v>
          </cell>
          <cell r="F28">
            <v>1.5040993509336351</v>
          </cell>
          <cell r="G28">
            <v>1.6779501599860418</v>
          </cell>
          <cell r="H28">
            <v>1.9987173068345396</v>
          </cell>
          <cell r="I28">
            <v>0</v>
          </cell>
          <cell r="J28">
            <v>2.4734937286371723</v>
          </cell>
          <cell r="K28">
            <v>0.71762656332462582</v>
          </cell>
        </row>
        <row r="30">
          <cell r="B30">
            <v>0.35292346430499449</v>
          </cell>
        </row>
        <row r="31">
          <cell r="B31">
            <v>1.2410225272191084</v>
          </cell>
        </row>
        <row r="33">
          <cell r="B33">
            <v>0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</row>
        <row r="34">
          <cell r="I34">
            <v>0</v>
          </cell>
        </row>
        <row r="38">
          <cell r="B38">
            <v>245.35660236735922</v>
          </cell>
          <cell r="C38">
            <v>272.01468184818913</v>
          </cell>
          <cell r="D38">
            <v>146.44889643934721</v>
          </cell>
          <cell r="E38">
            <v>481.45260041492475</v>
          </cell>
          <cell r="F38">
            <v>132.25367804935527</v>
          </cell>
          <cell r="G38">
            <v>75.756956741237985</v>
          </cell>
          <cell r="H38">
            <v>0</v>
          </cell>
          <cell r="I38">
            <v>14.04871097880172</v>
          </cell>
          <cell r="J38">
            <v>17.204957636621582</v>
          </cell>
          <cell r="K38">
            <v>295.5777071286235</v>
          </cell>
        </row>
        <row r="39">
          <cell r="B39">
            <v>0</v>
          </cell>
          <cell r="C39">
            <v>0</v>
          </cell>
          <cell r="D39">
            <v>0</v>
          </cell>
          <cell r="E39">
            <v>104.22964214121323</v>
          </cell>
          <cell r="F39">
            <v>71.203060536817574</v>
          </cell>
          <cell r="G39">
            <v>193.99234518989223</v>
          </cell>
          <cell r="H39">
            <v>1450.4281713894036</v>
          </cell>
          <cell r="I39">
            <v>0</v>
          </cell>
          <cell r="J39">
            <v>231.18895359815042</v>
          </cell>
          <cell r="K39">
            <v>2.4314613277521788</v>
          </cell>
        </row>
        <row r="41">
          <cell r="B41">
            <v>279.62479000349015</v>
          </cell>
          <cell r="C41">
            <v>257.94470159123443</v>
          </cell>
          <cell r="D41">
            <v>63.078010775231668</v>
          </cell>
          <cell r="E41">
            <v>231.13698816609119</v>
          </cell>
          <cell r="F41">
            <v>536.80011844253954</v>
          </cell>
          <cell r="G41">
            <v>113.36254596940731</v>
          </cell>
          <cell r="H41">
            <v>54.466678246189794</v>
          </cell>
          <cell r="I41">
            <v>91.760100719298549</v>
          </cell>
          <cell r="J41">
            <v>552.48403719625355</v>
          </cell>
          <cell r="K41">
            <v>88.996709993790446</v>
          </cell>
        </row>
        <row r="42">
          <cell r="B42">
            <v>30.341531937973681</v>
          </cell>
          <cell r="C42">
            <v>0</v>
          </cell>
          <cell r="D42">
            <v>5.812558232416587E-2</v>
          </cell>
          <cell r="E42">
            <v>197.05905538577665</v>
          </cell>
          <cell r="F42">
            <v>436.57966541702422</v>
          </cell>
          <cell r="G42">
            <v>298.2852459230939</v>
          </cell>
          <cell r="H42">
            <v>1557.2397549550642</v>
          </cell>
          <cell r="I42">
            <v>1.6753804117457969</v>
          </cell>
          <cell r="J42">
            <v>177.31040342245385</v>
          </cell>
          <cell r="K42">
            <v>75.473224979965167</v>
          </cell>
        </row>
        <row r="44">
          <cell r="B44">
            <v>0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</row>
        <row r="45"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</row>
        <row r="46">
          <cell r="G46">
            <v>0</v>
          </cell>
        </row>
      </sheetData>
      <sheetData sheetId="4">
        <row r="13">
          <cell r="H13">
            <v>744</v>
          </cell>
          <cell r="I13">
            <v>8.4931506849315067E-2</v>
          </cell>
        </row>
        <row r="21">
          <cell r="B21">
            <v>172.25</v>
          </cell>
          <cell r="C21">
            <v>200.87284946236559</v>
          </cell>
          <cell r="D21">
            <v>99.679032258064538</v>
          </cell>
          <cell r="E21">
            <v>452.67331989247322</v>
          </cell>
          <cell r="F21">
            <v>260.72251344086021</v>
          </cell>
          <cell r="G21">
            <v>159.19999999999999</v>
          </cell>
          <cell r="H21">
            <v>0</v>
          </cell>
          <cell r="I21">
            <v>50.200873655913973</v>
          </cell>
          <cell r="J21">
            <v>25.378763440860215</v>
          </cell>
          <cell r="K21">
            <v>144.34784946236559</v>
          </cell>
        </row>
        <row r="22">
          <cell r="B22">
            <v>5.9772849462365585</v>
          </cell>
          <cell r="C22">
            <v>0</v>
          </cell>
          <cell r="D22">
            <v>7.4193548387096783E-2</v>
          </cell>
          <cell r="E22">
            <v>148.98958333333334</v>
          </cell>
          <cell r="F22">
            <v>70.243077956989239</v>
          </cell>
          <cell r="G22">
            <v>163.20369623655915</v>
          </cell>
          <cell r="H22">
            <v>1038.453629032258</v>
          </cell>
          <cell r="I22">
            <v>0</v>
          </cell>
          <cell r="J22">
            <v>132.86969086021503</v>
          </cell>
          <cell r="K22">
            <v>5.3037634408602159</v>
          </cell>
        </row>
        <row r="24">
          <cell r="B24">
            <v>128.154</v>
          </cell>
          <cell r="C24">
            <v>149.4494</v>
          </cell>
          <cell r="D24">
            <v>74.161200000000008</v>
          </cell>
          <cell r="E24">
            <v>336.78895000000006</v>
          </cell>
          <cell r="F24">
            <v>193.97754999999998</v>
          </cell>
          <cell r="G24">
            <v>118.44479999999999</v>
          </cell>
          <cell r="H24">
            <v>0</v>
          </cell>
          <cell r="I24">
            <v>37.349449999999997</v>
          </cell>
          <cell r="J24">
            <v>18.881799999999998</v>
          </cell>
          <cell r="K24">
            <v>107.39479999999999</v>
          </cell>
        </row>
        <row r="25">
          <cell r="B25">
            <v>4.4470999999999998</v>
          </cell>
          <cell r="C25">
            <v>0</v>
          </cell>
          <cell r="D25">
            <v>5.5200000000000006E-2</v>
          </cell>
          <cell r="E25">
            <v>110.84824999999999</v>
          </cell>
          <cell r="F25">
            <v>52.260849999999998</v>
          </cell>
          <cell r="G25">
            <v>121.42355000000001</v>
          </cell>
          <cell r="H25">
            <v>772.60950000000003</v>
          </cell>
          <cell r="I25">
            <v>0</v>
          </cell>
          <cell r="J25">
            <v>98.855049999999991</v>
          </cell>
          <cell r="K25">
            <v>3.9460000000000006</v>
          </cell>
        </row>
        <row r="27">
          <cell r="B27">
            <v>2.0010227933897085</v>
          </cell>
          <cell r="C27">
            <v>1.9774894068732154</v>
          </cell>
          <cell r="D27">
            <v>2.1492922791140838</v>
          </cell>
          <cell r="E27">
            <v>1.5010075796386111</v>
          </cell>
          <cell r="F27">
            <v>0.48964213856919819</v>
          </cell>
          <cell r="G27">
            <v>0.659713570012325</v>
          </cell>
          <cell r="H27">
            <v>0</v>
          </cell>
          <cell r="I27">
            <v>0.31418583499194752</v>
          </cell>
          <cell r="J27">
            <v>0.95791031726740039</v>
          </cell>
          <cell r="K27">
            <v>2.9773366162181722</v>
          </cell>
        </row>
        <row r="28">
          <cell r="B28">
            <v>0</v>
          </cell>
          <cell r="C28">
            <v>0</v>
          </cell>
          <cell r="D28">
            <v>0</v>
          </cell>
          <cell r="E28">
            <v>0.9887741867915264</v>
          </cell>
          <cell r="F28">
            <v>1.5017495686108304</v>
          </cell>
          <cell r="G28">
            <v>1.6744735169354248</v>
          </cell>
          <cell r="H28">
            <v>1.9945722899992602</v>
          </cell>
          <cell r="I28">
            <v>0</v>
          </cell>
          <cell r="J28">
            <v>2.4684621154595554</v>
          </cell>
          <cell r="K28">
            <v>0.71736446007932264</v>
          </cell>
        </row>
        <row r="30">
          <cell r="B30">
            <v>0.36468149478777573</v>
          </cell>
        </row>
        <row r="31">
          <cell r="B31">
            <v>1.2823685474776259</v>
          </cell>
        </row>
        <row r="33">
          <cell r="B33">
            <v>0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</row>
        <row r="34">
          <cell r="I34">
            <v>0</v>
          </cell>
        </row>
        <row r="38">
          <cell r="B38">
            <v>253.35309247794115</v>
          </cell>
          <cell r="C38">
            <v>281.3370859016681</v>
          </cell>
          <cell r="D38">
            <v>151.21527934408419</v>
          </cell>
          <cell r="E38">
            <v>497.53039938054962</v>
          </cell>
          <cell r="F38">
            <v>136.99028399858281</v>
          </cell>
          <cell r="G38">
            <v>78.13964185739583</v>
          </cell>
          <cell r="H38">
            <v>0</v>
          </cell>
          <cell r="I38">
            <v>14.580051967528284</v>
          </cell>
          <cell r="J38">
            <v>17.776109785118113</v>
          </cell>
          <cell r="K38">
            <v>305.23580594209056</v>
          </cell>
        </row>
        <row r="39">
          <cell r="B39">
            <v>0</v>
          </cell>
          <cell r="C39">
            <v>0</v>
          </cell>
          <cell r="D39">
            <v>0</v>
          </cell>
          <cell r="E39">
            <v>107.73263435256735</v>
          </cell>
          <cell r="F39">
            <v>73.442493706110071</v>
          </cell>
          <cell r="G39">
            <v>200.44692103839074</v>
          </cell>
          <cell r="H39">
            <v>1498.9930116837288</v>
          </cell>
          <cell r="I39">
            <v>0</v>
          </cell>
          <cell r="J39">
            <v>238.84150482326027</v>
          </cell>
          <cell r="K39">
            <v>2.5140185297811257</v>
          </cell>
        </row>
        <row r="41">
          <cell r="B41">
            <v>288.94079513530255</v>
          </cell>
          <cell r="C41">
            <v>266.53841091048957</v>
          </cell>
          <cell r="D41">
            <v>65.179523563419167</v>
          </cell>
          <cell r="E41">
            <v>238.83756924790478</v>
          </cell>
          <cell r="F41">
            <v>554.68420038715465</v>
          </cell>
          <cell r="G41">
            <v>117.13934294078146</v>
          </cell>
          <cell r="H41">
            <v>56.281295090597432</v>
          </cell>
          <cell r="I41">
            <v>94.817188644821684</v>
          </cell>
          <cell r="J41">
            <v>570.89064601552343</v>
          </cell>
          <cell r="K41">
            <v>91.961732540633406</v>
          </cell>
        </row>
        <row r="42">
          <cell r="B42">
            <v>31.3523931968688</v>
          </cell>
          <cell r="C42">
            <v>0</v>
          </cell>
          <cell r="D42">
            <v>6.0062099552179719E-2</v>
          </cell>
          <cell r="E42">
            <v>203.62429293578458</v>
          </cell>
          <cell r="F42">
            <v>451.12479356327748</v>
          </cell>
          <cell r="G42">
            <v>308.22294451458419</v>
          </cell>
          <cell r="H42">
            <v>1609.1208973546441</v>
          </cell>
          <cell r="I42">
            <v>1.7311975390947956</v>
          </cell>
          <cell r="J42">
            <v>183.21769307365636</v>
          </cell>
          <cell r="K42">
            <v>77.987697860638619</v>
          </cell>
        </row>
        <row r="44">
          <cell r="B44">
            <v>0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</row>
        <row r="45"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</row>
        <row r="46">
          <cell r="G46">
            <v>0</v>
          </cell>
        </row>
      </sheetData>
      <sheetData sheetId="5">
        <row r="13">
          <cell r="H13">
            <v>720</v>
          </cell>
          <cell r="I13">
            <v>8.2191780821917804E-2</v>
          </cell>
        </row>
        <row r="21">
          <cell r="B21">
            <v>171.03749999999999</v>
          </cell>
          <cell r="C21">
            <v>199.41791666666666</v>
          </cell>
          <cell r="D21">
            <v>99.845972222222215</v>
          </cell>
          <cell r="E21">
            <v>443.54138888888889</v>
          </cell>
          <cell r="F21">
            <v>248.75916666666669</v>
          </cell>
          <cell r="G21">
            <v>159.19999999999999</v>
          </cell>
          <cell r="H21">
            <v>0</v>
          </cell>
          <cell r="I21">
            <v>48.794722222222219</v>
          </cell>
          <cell r="J21">
            <v>25.055833333333329</v>
          </cell>
          <cell r="K21">
            <v>143.49166666666667</v>
          </cell>
        </row>
        <row r="22">
          <cell r="B22">
            <v>6.4915277777777787</v>
          </cell>
          <cell r="C22">
            <v>0</v>
          </cell>
          <cell r="D22">
            <v>6.6666666666666666E-2</v>
          </cell>
          <cell r="E22">
            <v>146.38708333333335</v>
          </cell>
          <cell r="F22">
            <v>71.270833333333329</v>
          </cell>
          <cell r="G22">
            <v>160.51874999999998</v>
          </cell>
          <cell r="H22">
            <v>1018.0629166666665</v>
          </cell>
          <cell r="I22">
            <v>0</v>
          </cell>
          <cell r="J22">
            <v>130.72819444444445</v>
          </cell>
          <cell r="K22">
            <v>5.419027777777778</v>
          </cell>
        </row>
        <row r="24">
          <cell r="B24">
            <v>123.14700000000001</v>
          </cell>
          <cell r="C24">
            <v>143.58089999999999</v>
          </cell>
          <cell r="D24">
            <v>71.889099999999985</v>
          </cell>
          <cell r="E24">
            <v>319.34980000000002</v>
          </cell>
          <cell r="F24">
            <v>179.10660000000001</v>
          </cell>
          <cell r="G24">
            <v>114.624</v>
          </cell>
          <cell r="H24">
            <v>0</v>
          </cell>
          <cell r="I24">
            <v>35.132199999999997</v>
          </cell>
          <cell r="J24">
            <v>18.040199999999999</v>
          </cell>
          <cell r="K24">
            <v>103.31399999999999</v>
          </cell>
        </row>
        <row r="25">
          <cell r="B25">
            <v>4.6739000000000006</v>
          </cell>
          <cell r="C25">
            <v>0</v>
          </cell>
          <cell r="D25">
            <v>4.8000000000000001E-2</v>
          </cell>
          <cell r="E25">
            <v>105.39870000000001</v>
          </cell>
          <cell r="F25">
            <v>51.314999999999991</v>
          </cell>
          <cell r="G25">
            <v>115.57349999999998</v>
          </cell>
          <cell r="H25">
            <v>733.00529999999992</v>
          </cell>
          <cell r="I25">
            <v>0</v>
          </cell>
          <cell r="J25">
            <v>94.124300000000019</v>
          </cell>
          <cell r="K25">
            <v>3.9017000000000004</v>
          </cell>
        </row>
        <row r="27">
          <cell r="B27">
            <v>2.0278057367608886</v>
          </cell>
          <cell r="C27">
            <v>2.0083112841997588</v>
          </cell>
          <cell r="D27">
            <v>2.1728885029184895</v>
          </cell>
          <cell r="E27">
            <v>1.5314878788876716</v>
          </cell>
          <cell r="F27">
            <v>0.48742228736788706</v>
          </cell>
          <cell r="G27">
            <v>0.67245127764614054</v>
          </cell>
          <cell r="H27">
            <v>0</v>
          </cell>
          <cell r="I27">
            <v>0.32198627520033657</v>
          </cell>
          <cell r="J27">
            <v>0.97284202443086321</v>
          </cell>
          <cell r="K27">
            <v>3.0105209157299013</v>
          </cell>
        </row>
        <row r="28">
          <cell r="B28">
            <v>0</v>
          </cell>
          <cell r="C28">
            <v>0</v>
          </cell>
          <cell r="D28">
            <v>0</v>
          </cell>
          <cell r="E28">
            <v>1.0072582406229649</v>
          </cell>
          <cell r="F28">
            <v>1.5244304322254467</v>
          </cell>
          <cell r="G28">
            <v>1.7117963112653207</v>
          </cell>
          <cell r="H28">
            <v>2.0367403224737699</v>
          </cell>
          <cell r="I28">
            <v>0</v>
          </cell>
          <cell r="J28">
            <v>2.5217889825763748</v>
          </cell>
          <cell r="K28">
            <v>0.70935828827173508</v>
          </cell>
        </row>
        <row r="30">
          <cell r="B30">
            <v>0.34623198805220246</v>
          </cell>
        </row>
        <row r="31">
          <cell r="B31">
            <v>1.241157059830313</v>
          </cell>
        </row>
        <row r="33">
          <cell r="B33">
            <v>0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</row>
        <row r="34">
          <cell r="I34">
            <v>0</v>
          </cell>
        </row>
        <row r="38">
          <cell r="B38">
            <v>246.19828603625595</v>
          </cell>
          <cell r="C38">
            <v>272.59713956939828</v>
          </cell>
          <cell r="D38">
            <v>148.07992847311112</v>
          </cell>
          <cell r="E38">
            <v>480.18046973958292</v>
          </cell>
          <cell r="F38">
            <v>128.4699139631382</v>
          </cell>
          <cell r="G38">
            <v>77.079055248911203</v>
          </cell>
          <cell r="H38">
            <v>0</v>
          </cell>
          <cell r="I38">
            <v>13.741113892080739</v>
          </cell>
          <cell r="J38">
            <v>17.227220527577042</v>
          </cell>
          <cell r="K38">
            <v>296.29562303582378</v>
          </cell>
        </row>
        <row r="39">
          <cell r="B39">
            <v>0</v>
          </cell>
          <cell r="C39">
            <v>0</v>
          </cell>
          <cell r="D39">
            <v>0</v>
          </cell>
          <cell r="E39">
            <v>103.85790511514961</v>
          </cell>
          <cell r="F39">
            <v>72.999542435006617</v>
          </cell>
          <cell r="G39">
            <v>194.44595411852904</v>
          </cell>
          <cell r="H39">
            <v>1447.6502630892005</v>
          </cell>
          <cell r="I39">
            <v>0</v>
          </cell>
          <cell r="J39">
            <v>231.77421623007871</v>
          </cell>
          <cell r="K39">
            <v>2.4450362725550105</v>
          </cell>
        </row>
        <row r="41">
          <cell r="B41">
            <v>274.32306645364054</v>
          </cell>
          <cell r="C41">
            <v>253.05403542759379</v>
          </cell>
          <cell r="D41">
            <v>61.882043224570154</v>
          </cell>
          <cell r="E41">
            <v>226.75459984713646</v>
          </cell>
          <cell r="F41">
            <v>569.90131465380568</v>
          </cell>
          <cell r="G41">
            <v>111.21317688224794</v>
          </cell>
          <cell r="H41">
            <v>53.433982716096402</v>
          </cell>
          <cell r="I41">
            <v>90.020316893572613</v>
          </cell>
          <cell r="J41">
            <v>542.0088656963203</v>
          </cell>
          <cell r="K41">
            <v>87.309320427123893</v>
          </cell>
        </row>
        <row r="42">
          <cell r="B42">
            <v>30.344821101087174</v>
          </cell>
          <cell r="C42">
            <v>0</v>
          </cell>
          <cell r="D42">
            <v>5.8131883407503471E-2</v>
          </cell>
          <cell r="E42">
            <v>197.08041750346672</v>
          </cell>
          <cell r="F42">
            <v>436.62699268232285</v>
          </cell>
          <cell r="G42">
            <v>298.31758143041759</v>
          </cell>
          <cell r="H42">
            <v>1557.408566983783</v>
          </cell>
          <cell r="I42">
            <v>1.6755620307709229</v>
          </cell>
          <cell r="J42">
            <v>177.32962469446377</v>
          </cell>
          <cell r="K42">
            <v>75.481406628412202</v>
          </cell>
        </row>
        <row r="44">
          <cell r="B44">
            <v>0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</row>
        <row r="45"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</row>
        <row r="46">
          <cell r="G46">
            <v>0</v>
          </cell>
        </row>
      </sheetData>
      <sheetData sheetId="6">
        <row r="13">
          <cell r="H13">
            <v>744</v>
          </cell>
          <cell r="I13">
            <v>8.4931506849315067E-2</v>
          </cell>
        </row>
        <row r="21">
          <cell r="B21">
            <v>171.17661290322579</v>
          </cell>
          <cell r="C21">
            <v>199.8434139784946</v>
          </cell>
          <cell r="D21">
            <v>99.905510752688173</v>
          </cell>
          <cell r="E21">
            <v>444.62372311827954</v>
          </cell>
          <cell r="F21">
            <v>250.12802419354838</v>
          </cell>
          <cell r="G21">
            <v>159.19999999999999</v>
          </cell>
          <cell r="H21">
            <v>0</v>
          </cell>
          <cell r="I21">
            <v>49.089986559139781</v>
          </cell>
          <cell r="J21">
            <v>25.097580645161287</v>
          </cell>
          <cell r="K21">
            <v>143.58978494623656</v>
          </cell>
        </row>
        <row r="22">
          <cell r="B22">
            <v>6.4486559139784951</v>
          </cell>
          <cell r="C22">
            <v>0</v>
          </cell>
          <cell r="D22">
            <v>6.7741935483870974E-2</v>
          </cell>
          <cell r="E22">
            <v>146.74227150537635</v>
          </cell>
          <cell r="F22">
            <v>71.21364247311827</v>
          </cell>
          <cell r="G22">
            <v>160.88219086021502</v>
          </cell>
          <cell r="H22">
            <v>1020.6801075268817</v>
          </cell>
          <cell r="I22">
            <v>0</v>
          </cell>
          <cell r="J22">
            <v>131.00383064516132</v>
          </cell>
          <cell r="K22">
            <v>5.4157258064516132</v>
          </cell>
        </row>
        <row r="24">
          <cell r="B24">
            <v>127.35539999999999</v>
          </cell>
          <cell r="C24">
            <v>148.68349999999998</v>
          </cell>
          <cell r="D24">
            <v>74.329700000000003</v>
          </cell>
          <cell r="E24">
            <v>330.80005</v>
          </cell>
          <cell r="F24">
            <v>186.09524999999999</v>
          </cell>
          <cell r="G24">
            <v>118.44479999999999</v>
          </cell>
          <cell r="H24">
            <v>0</v>
          </cell>
          <cell r="I24">
            <v>36.522949999999994</v>
          </cell>
          <cell r="J24">
            <v>18.672599999999999</v>
          </cell>
          <cell r="K24">
            <v>106.8308</v>
          </cell>
        </row>
        <row r="25">
          <cell r="B25">
            <v>4.7978000000000005</v>
          </cell>
          <cell r="C25">
            <v>0</v>
          </cell>
          <cell r="D25">
            <v>5.0400000000000007E-2</v>
          </cell>
          <cell r="E25">
            <v>109.17625000000001</v>
          </cell>
          <cell r="F25">
            <v>52.982949999999988</v>
          </cell>
          <cell r="G25">
            <v>119.69634999999998</v>
          </cell>
          <cell r="H25">
            <v>759.38599999999997</v>
          </cell>
          <cell r="I25">
            <v>0</v>
          </cell>
          <cell r="J25">
            <v>97.466850000000022</v>
          </cell>
          <cell r="K25">
            <v>4.0293000000000001</v>
          </cell>
        </row>
        <row r="27">
          <cell r="B27">
            <v>2.0241072987327944</v>
          </cell>
          <cell r="C27">
            <v>2.004397290651204</v>
          </cell>
          <cell r="D27">
            <v>2.1692025447532099</v>
          </cell>
          <cell r="E27">
            <v>1.5276744917340594</v>
          </cell>
          <cell r="F27">
            <v>0.48729904090100573</v>
          </cell>
          <cell r="G27">
            <v>0.6708757190275052</v>
          </cell>
          <cell r="H27">
            <v>0</v>
          </cell>
          <cell r="I27">
            <v>0.32075252124690484</v>
          </cell>
          <cell r="J27">
            <v>0.97094020958740268</v>
          </cell>
          <cell r="K27">
            <v>3.0060559831552323</v>
          </cell>
        </row>
        <row r="28">
          <cell r="B28">
            <v>0</v>
          </cell>
          <cell r="C28">
            <v>0</v>
          </cell>
          <cell r="D28">
            <v>0</v>
          </cell>
          <cell r="E28">
            <v>1.004707746806957</v>
          </cell>
          <cell r="F28">
            <v>1.5214248085706483</v>
          </cell>
          <cell r="G28">
            <v>1.7072278568831141</v>
          </cell>
          <cell r="H28">
            <v>2.0313687567469025</v>
          </cell>
          <cell r="I28">
            <v>0</v>
          </cell>
          <cell r="J28">
            <v>2.5151994579813648</v>
          </cell>
          <cell r="K28">
            <v>0.70936290357652509</v>
          </cell>
        </row>
        <row r="30">
          <cell r="B30">
            <v>0.35667774059307528</v>
          </cell>
        </row>
        <row r="31">
          <cell r="B31">
            <v>1.2825030800888304</v>
          </cell>
        </row>
        <row r="33">
          <cell r="B33">
            <v>0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</row>
        <row r="34">
          <cell r="I34">
            <v>0</v>
          </cell>
        </row>
        <row r="38">
          <cell r="B38">
            <v>254.19477614683785</v>
          </cell>
          <cell r="C38">
            <v>281.9195436228772</v>
          </cell>
          <cell r="D38">
            <v>152.84631137784805</v>
          </cell>
          <cell r="E38">
            <v>496.25826870520791</v>
          </cell>
          <cell r="F38">
            <v>133.20651991236576</v>
          </cell>
          <cell r="G38">
            <v>79.461740365069005</v>
          </cell>
          <cell r="H38">
            <v>0</v>
          </cell>
          <cell r="I38">
            <v>14.272454880807304</v>
          </cell>
          <cell r="J38">
            <v>17.798372676073569</v>
          </cell>
          <cell r="K38">
            <v>305.95372184929084</v>
          </cell>
        </row>
        <row r="39">
          <cell r="B39">
            <v>0</v>
          </cell>
          <cell r="C39">
            <v>0</v>
          </cell>
          <cell r="D39">
            <v>0</v>
          </cell>
          <cell r="E39">
            <v>107.36089732650373</v>
          </cell>
          <cell r="F39">
            <v>75.2389756042991</v>
          </cell>
          <cell r="G39">
            <v>200.90052996702752</v>
          </cell>
          <cell r="H39">
            <v>1496.2151033835253</v>
          </cell>
          <cell r="I39">
            <v>0</v>
          </cell>
          <cell r="J39">
            <v>239.42676745518855</v>
          </cell>
          <cell r="K39">
            <v>2.5275934745839574</v>
          </cell>
        </row>
        <row r="41">
          <cell r="B41">
            <v>289.73289546116092</v>
          </cell>
          <cell r="C41">
            <v>260.68862704466687</v>
          </cell>
          <cell r="D41">
            <v>63.749012576200357</v>
          </cell>
          <cell r="E41">
            <v>233.59574254695741</v>
          </cell>
          <cell r="F41">
            <v>587.09512779360773</v>
          </cell>
          <cell r="G41">
            <v>114.5684570559017</v>
          </cell>
          <cell r="H41">
            <v>55.046075705729301</v>
          </cell>
          <cell r="I41">
            <v>92.736212554199568</v>
          </cell>
          <cell r="J41">
            <v>558.36116901142964</v>
          </cell>
          <cell r="K41">
            <v>89.943425845355762</v>
          </cell>
        </row>
        <row r="42">
          <cell r="B42">
            <v>31.3556823599823</v>
          </cell>
          <cell r="C42">
            <v>0</v>
          </cell>
          <cell r="D42">
            <v>6.0068400635517313E-2</v>
          </cell>
          <cell r="E42">
            <v>203.64565505347466</v>
          </cell>
          <cell r="F42">
            <v>451.17212082857617</v>
          </cell>
          <cell r="G42">
            <v>308.25528002190794</v>
          </cell>
          <cell r="H42">
            <v>1609.2897093833628</v>
          </cell>
          <cell r="I42">
            <v>1.7313791581199216</v>
          </cell>
          <cell r="J42">
            <v>183.23691434566632</v>
          </cell>
          <cell r="K42">
            <v>77.995879509085668</v>
          </cell>
        </row>
        <row r="44">
          <cell r="B44">
            <v>0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</row>
        <row r="45"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</row>
        <row r="46">
          <cell r="G46">
            <v>0</v>
          </cell>
        </row>
      </sheetData>
      <sheetData sheetId="7">
        <row r="13">
          <cell r="H13">
            <v>744</v>
          </cell>
          <cell r="I13">
            <v>8.493150684931508E-2</v>
          </cell>
        </row>
        <row r="21">
          <cell r="B21">
            <v>86.347580645161301</v>
          </cell>
          <cell r="C21">
            <v>77.172513440860214</v>
          </cell>
          <cell r="D21">
            <v>36.701075268817199</v>
          </cell>
          <cell r="E21">
            <v>287.18931451612906</v>
          </cell>
          <cell r="F21">
            <v>458.81720430107526</v>
          </cell>
          <cell r="G21">
            <v>233.58998655913979</v>
          </cell>
          <cell r="H21">
            <v>4.2626344086021497</v>
          </cell>
          <cell r="I21">
            <v>15.094153225806453</v>
          </cell>
          <cell r="J21">
            <v>355.69173387096777</v>
          </cell>
          <cell r="K21">
            <v>93.706518817204312</v>
          </cell>
        </row>
        <row r="22">
          <cell r="B22">
            <v>18.459341397849464</v>
          </cell>
          <cell r="C22">
            <v>0</v>
          </cell>
          <cell r="D22">
            <v>5.1322580645161286</v>
          </cell>
          <cell r="E22">
            <v>153.06834677419354</v>
          </cell>
          <cell r="F22">
            <v>81.930981182795691</v>
          </cell>
          <cell r="G22">
            <v>169.19959677419354</v>
          </cell>
          <cell r="H22">
            <v>1042.0243951612902</v>
          </cell>
          <cell r="I22">
            <v>8.8196236559139791</v>
          </cell>
          <cell r="J22">
            <v>147.07748655913977</v>
          </cell>
          <cell r="K22">
            <v>22.668145161290319</v>
          </cell>
        </row>
        <row r="24">
          <cell r="B24">
            <v>64.24260000000001</v>
          </cell>
          <cell r="C24">
            <v>57.416350000000001</v>
          </cell>
          <cell r="D24">
            <v>27.305599999999998</v>
          </cell>
          <cell r="E24">
            <v>213.66885000000005</v>
          </cell>
          <cell r="F24">
            <v>341.36</v>
          </cell>
          <cell r="G24">
            <v>173.79095000000001</v>
          </cell>
          <cell r="H24">
            <v>3.1713999999999998</v>
          </cell>
          <cell r="I24">
            <v>11.23005</v>
          </cell>
          <cell r="J24">
            <v>264.63465000000002</v>
          </cell>
          <cell r="K24">
            <v>69.717650000000006</v>
          </cell>
        </row>
        <row r="25">
          <cell r="B25">
            <v>13.733750000000001</v>
          </cell>
          <cell r="C25">
            <v>0</v>
          </cell>
          <cell r="D25">
            <v>3.8183999999999996</v>
          </cell>
          <cell r="E25">
            <v>113.88285</v>
          </cell>
          <cell r="F25">
            <v>60.956649999999996</v>
          </cell>
          <cell r="G25">
            <v>125.8845</v>
          </cell>
          <cell r="H25">
            <v>775.26614999999993</v>
          </cell>
          <cell r="I25">
            <v>6.5618000000000007</v>
          </cell>
          <cell r="J25">
            <v>109.42564999999998</v>
          </cell>
          <cell r="K25">
            <v>16.865099999999998</v>
          </cell>
        </row>
        <row r="27">
          <cell r="B27">
            <v>2.496690469005495</v>
          </cell>
          <cell r="C27">
            <v>3.7109848963118406</v>
          </cell>
          <cell r="D27">
            <v>1.8437168172748526</v>
          </cell>
          <cell r="E27">
            <v>2.5626093136282266</v>
          </cell>
          <cell r="F27">
            <v>1.24075229181117</v>
          </cell>
          <cell r="G27">
            <v>1.0226371093704929</v>
          </cell>
          <cell r="H27">
            <v>1.6439651726807555E-2</v>
          </cell>
          <cell r="I27">
            <v>0.35985675864610134</v>
          </cell>
          <cell r="J27">
            <v>0.58260720834366031</v>
          </cell>
          <cell r="K27">
            <v>4.4923074009480608</v>
          </cell>
        </row>
        <row r="28">
          <cell r="B28">
            <v>1.7813987322629895E-2</v>
          </cell>
          <cell r="C28">
            <v>0</v>
          </cell>
          <cell r="D28">
            <v>2.195215650465375</v>
          </cell>
          <cell r="E28">
            <v>1.7997837641328764</v>
          </cell>
          <cell r="F28">
            <v>3.2004557501918534</v>
          </cell>
          <cell r="G28">
            <v>1.9987335972970681</v>
          </cell>
          <cell r="H28">
            <v>1.7405158828852305</v>
          </cell>
          <cell r="I28">
            <v>0.95485129624088316</v>
          </cell>
          <cell r="J28">
            <v>0.75672026408149684</v>
          </cell>
          <cell r="K28">
            <v>0.50234203892263951</v>
          </cell>
        </row>
        <row r="30">
          <cell r="B30">
            <v>0.35386402099129716</v>
          </cell>
        </row>
        <row r="31">
          <cell r="B31">
            <v>1.2723858127488881</v>
          </cell>
        </row>
        <row r="33">
          <cell r="B33">
            <v>0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</row>
        <row r="34">
          <cell r="I34">
            <v>0</v>
          </cell>
        </row>
        <row r="38">
          <cell r="B38">
            <v>152.08024533354202</v>
          </cell>
          <cell r="C38">
            <v>205.5291182919606</v>
          </cell>
          <cell r="D38">
            <v>49.156278168961727</v>
          </cell>
          <cell r="E38">
            <v>442.70343058454796</v>
          </cell>
          <cell r="F38">
            <v>303.6232101788741</v>
          </cell>
          <cell r="G38">
            <v>167.42961778004954</v>
          </cell>
          <cell r="H38">
            <v>0.53816843892877209</v>
          </cell>
          <cell r="I38">
            <v>5.9401552555529982</v>
          </cell>
          <cell r="J38">
            <v>115.23832871962082</v>
          </cell>
          <cell r="K38">
            <v>312.17620783654741</v>
          </cell>
        </row>
        <row r="39">
          <cell r="B39">
            <v>0.25977068873351816</v>
          </cell>
          <cell r="C39">
            <v>0</v>
          </cell>
          <cell r="D39">
            <v>7.606478334258953</v>
          </cell>
          <cell r="E39">
            <v>194.56551416552304</v>
          </cell>
          <cell r="F39">
            <v>255.44057417045403</v>
          </cell>
          <cell r="G39">
            <v>246.36678706385246</v>
          </cell>
          <cell r="H39">
            <v>1347.1915185682224</v>
          </cell>
          <cell r="I39">
            <v>5.1579305843429744</v>
          </cell>
          <cell r="J39">
            <v>79.401716899054009</v>
          </cell>
          <cell r="K39">
            <v>8.2944169116081916</v>
          </cell>
        </row>
        <row r="41">
          <cell r="B41">
            <v>287.44728289144058</v>
          </cell>
          <cell r="C41">
            <v>258.63213566211931</v>
          </cell>
          <cell r="D41">
            <v>63.246116471774556</v>
          </cell>
          <cell r="E41">
            <v>231.75297849164119</v>
          </cell>
          <cell r="F41">
            <v>582.46371719188483</v>
          </cell>
          <cell r="G41">
            <v>113.66466218261455</v>
          </cell>
          <cell r="H41">
            <v>54.611834359586894</v>
          </cell>
          <cell r="I41">
            <v>92.00464545773724</v>
          </cell>
          <cell r="J41">
            <v>553.95643166082607</v>
          </cell>
          <cell r="K41">
            <v>89.233890173375386</v>
          </cell>
        </row>
        <row r="42">
          <cell r="B42">
            <v>31.108327148141186</v>
          </cell>
          <cell r="C42">
            <v>0</v>
          </cell>
          <cell r="D42">
            <v>5.9594539732298127E-2</v>
          </cell>
          <cell r="E42">
            <v>202.03915790989592</v>
          </cell>
          <cell r="F42">
            <v>447.61296449311124</v>
          </cell>
          <cell r="G42">
            <v>305.82355012952098</v>
          </cell>
          <cell r="H42">
            <v>1596.5945241085474</v>
          </cell>
          <cell r="I42">
            <v>1.7177208472109993</v>
          </cell>
          <cell r="J42">
            <v>181.79141540085851</v>
          </cell>
          <cell r="K42">
            <v>77.380594308871821</v>
          </cell>
        </row>
        <row r="44">
          <cell r="B44">
            <v>0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</row>
        <row r="45"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</row>
        <row r="46">
          <cell r="G46">
            <v>0</v>
          </cell>
        </row>
      </sheetData>
      <sheetData sheetId="8">
        <row r="13">
          <cell r="H13">
            <v>672</v>
          </cell>
          <cell r="I13">
            <v>7.6712328767123292E-2</v>
          </cell>
        </row>
        <row r="21">
          <cell r="B21">
            <v>86.883035714285725</v>
          </cell>
          <cell r="C21">
            <v>77.182440476190479</v>
          </cell>
          <cell r="D21">
            <v>36.649702380952377</v>
          </cell>
          <cell r="E21">
            <v>289.43869047619052</v>
          </cell>
          <cell r="F21">
            <v>462.09910714285712</v>
          </cell>
          <cell r="G21">
            <v>233.14136904761904</v>
          </cell>
          <cell r="H21">
            <v>4.0154761904761909</v>
          </cell>
          <cell r="I21">
            <v>15.262797619047619</v>
          </cell>
          <cell r="J21">
            <v>353.48035714285714</v>
          </cell>
          <cell r="K21">
            <v>93.78660714285715</v>
          </cell>
        </row>
        <row r="22">
          <cell r="B22">
            <v>18.55</v>
          </cell>
          <cell r="C22">
            <v>0</v>
          </cell>
          <cell r="D22">
            <v>5.0630952380952392</v>
          </cell>
          <cell r="E22">
            <v>153.32053571428574</v>
          </cell>
          <cell r="F22">
            <v>81.230059523809516</v>
          </cell>
          <cell r="G22">
            <v>169.42589285714286</v>
          </cell>
          <cell r="H22">
            <v>1045.2440476190475</v>
          </cell>
          <cell r="I22">
            <v>8.8422619047619051</v>
          </cell>
          <cell r="J22">
            <v>147.33690476190475</v>
          </cell>
          <cell r="K22">
            <v>22.733630952380956</v>
          </cell>
        </row>
        <row r="24">
          <cell r="B24">
            <v>58.385400000000011</v>
          </cell>
          <cell r="C24">
            <v>51.866599999999998</v>
          </cell>
          <cell r="D24">
            <v>24.628599999999999</v>
          </cell>
          <cell r="E24">
            <v>194.50280000000001</v>
          </cell>
          <cell r="F24">
            <v>310.53059999999999</v>
          </cell>
          <cell r="G24">
            <v>156.67099999999999</v>
          </cell>
          <cell r="H24">
            <v>2.6983999999999999</v>
          </cell>
          <cell r="I24">
            <v>10.256600000000001</v>
          </cell>
          <cell r="J24">
            <v>237.53879999999998</v>
          </cell>
          <cell r="K24">
            <v>63.024600000000007</v>
          </cell>
        </row>
        <row r="25">
          <cell r="B25">
            <v>12.4656</v>
          </cell>
          <cell r="C25">
            <v>0</v>
          </cell>
          <cell r="D25">
            <v>3.4024000000000005</v>
          </cell>
          <cell r="E25">
            <v>103.0314</v>
          </cell>
          <cell r="F25">
            <v>54.58659999999999</v>
          </cell>
          <cell r="G25">
            <v>113.85419999999999</v>
          </cell>
          <cell r="H25">
            <v>702.40399999999988</v>
          </cell>
          <cell r="I25">
            <v>5.9420000000000002</v>
          </cell>
          <cell r="J25">
            <v>99.01039999999999</v>
          </cell>
          <cell r="K25">
            <v>15.277000000000001</v>
          </cell>
        </row>
        <row r="27">
          <cell r="B27">
            <v>2.4896348650973512</v>
          </cell>
          <cell r="C27">
            <v>3.6988664812976477</v>
          </cell>
          <cell r="D27">
            <v>1.8467687594379623</v>
          </cell>
          <cell r="E27">
            <v>2.5473194949712803</v>
          </cell>
          <cell r="F27">
            <v>1.2375263076920657</v>
          </cell>
          <cell r="G27">
            <v>1.0190003696177132</v>
          </cell>
          <cell r="H27">
            <v>1.4560834386600975E-2</v>
          </cell>
          <cell r="I27">
            <v>0.36240445015920741</v>
          </cell>
          <cell r="J27">
            <v>0.58608495602537025</v>
          </cell>
          <cell r="K27">
            <v>4.4805934096088844</v>
          </cell>
        </row>
        <row r="28">
          <cell r="B28">
            <v>1.5778103057186476E-2</v>
          </cell>
          <cell r="C28">
            <v>0</v>
          </cell>
          <cell r="D28">
            <v>2.1966986579688776</v>
          </cell>
          <cell r="E28">
            <v>1.7928932190061071</v>
          </cell>
          <cell r="F28">
            <v>3.1840725029123016</v>
          </cell>
          <cell r="G28">
            <v>1.9917277881164719</v>
          </cell>
          <cell r="H28">
            <v>1.7351898202373675</v>
          </cell>
          <cell r="I28">
            <v>0.94119361233846954</v>
          </cell>
          <cell r="J28">
            <v>0.77352555780198473</v>
          </cell>
          <cell r="K28">
            <v>0.50172416010350973</v>
          </cell>
        </row>
        <row r="30">
          <cell r="B30">
            <v>0.31963401451257256</v>
          </cell>
        </row>
        <row r="31">
          <cell r="B31">
            <v>1.1493052732472395</v>
          </cell>
        </row>
        <row r="33">
          <cell r="B33">
            <v>0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</row>
        <row r="34">
          <cell r="I34">
            <v>0</v>
          </cell>
        </row>
        <row r="38">
          <cell r="B38">
            <v>137.81966219261525</v>
          </cell>
          <cell r="C38">
            <v>184.99762507747548</v>
          </cell>
          <cell r="D38">
            <v>44.441146395326818</v>
          </cell>
          <cell r="E38">
            <v>401.22553723569735</v>
          </cell>
          <cell r="F38">
            <v>275.27569837031763</v>
          </cell>
          <cell r="G38">
            <v>150.2226468847075</v>
          </cell>
          <cell r="H38">
            <v>0.43053475114301759</v>
          </cell>
          <cell r="I38">
            <v>5.4313557607247773</v>
          </cell>
          <cell r="J38">
            <v>103.2045311487496</v>
          </cell>
          <cell r="K38">
            <v>281.48597463519354</v>
          </cell>
        </row>
        <row r="39">
          <cell r="B39">
            <v>0.20781655098681451</v>
          </cell>
          <cell r="C39">
            <v>0</v>
          </cell>
          <cell r="D39">
            <v>6.8653096080726446</v>
          </cell>
          <cell r="E39">
            <v>175.35452653549467</v>
          </cell>
          <cell r="F39">
            <v>228.40155017392075</v>
          </cell>
          <cell r="G39">
            <v>222.17080531020801</v>
          </cell>
          <cell r="H39">
            <v>1218.2906180518085</v>
          </cell>
          <cell r="I39">
            <v>4.6120083312969218</v>
          </cell>
          <cell r="J39">
            <v>73.245165555778868</v>
          </cell>
          <cell r="K39">
            <v>7.5057373237060485</v>
          </cell>
        </row>
        <row r="41">
          <cell r="B41">
            <v>259.64190632870782</v>
          </cell>
          <cell r="C41">
            <v>233.61410852694908</v>
          </cell>
          <cell r="D41">
            <v>57.128187413832123</v>
          </cell>
          <cell r="E41">
            <v>209.33502841858845</v>
          </cell>
          <cell r="F41">
            <v>526.12078422783952</v>
          </cell>
          <cell r="G41">
            <v>102.66964180158344</v>
          </cell>
          <cell r="H41">
            <v>49.329117459725339</v>
          </cell>
          <cell r="I41">
            <v>83.104843773268868</v>
          </cell>
          <cell r="J41">
            <v>500.37106801870681</v>
          </cell>
          <cell r="K41">
            <v>80.602109439635413</v>
          </cell>
        </row>
        <row r="42">
          <cell r="B42">
            <v>28.099153633297348</v>
          </cell>
          <cell r="C42">
            <v>0</v>
          </cell>
          <cell r="D42">
            <v>5.3829835325733599E-2</v>
          </cell>
          <cell r="E42">
            <v>182.49548781640016</v>
          </cell>
          <cell r="F42">
            <v>404.31442673378046</v>
          </cell>
          <cell r="G42">
            <v>276.24059882253437</v>
          </cell>
          <cell r="H42">
            <v>1442.1525982212138</v>
          </cell>
          <cell r="I42">
            <v>1.5515621188837736</v>
          </cell>
          <cell r="J42">
            <v>164.20635176676575</v>
          </cell>
          <cell r="K42">
            <v>69.895407662599638</v>
          </cell>
        </row>
        <row r="44">
          <cell r="B44">
            <v>0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</row>
        <row r="45"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</row>
        <row r="46">
          <cell r="G46">
            <v>0</v>
          </cell>
        </row>
      </sheetData>
      <sheetData sheetId="9">
        <row r="13">
          <cell r="H13">
            <v>744</v>
          </cell>
          <cell r="I13">
            <v>8.4931506849315067E-2</v>
          </cell>
        </row>
        <row r="21">
          <cell r="B21">
            <v>87.510282258064521</v>
          </cell>
          <cell r="C21">
            <v>77.311760752688173</v>
          </cell>
          <cell r="D21">
            <v>36.719086021505376</v>
          </cell>
          <cell r="E21">
            <v>291.90712365591401</v>
          </cell>
          <cell r="F21">
            <v>465.71209677419358</v>
          </cell>
          <cell r="G21">
            <v>232.8049059139785</v>
          </cell>
          <cell r="H21">
            <v>3.8978494623655906</v>
          </cell>
          <cell r="I21">
            <v>15.458534946236556</v>
          </cell>
          <cell r="J21">
            <v>356.55907258064519</v>
          </cell>
          <cell r="K21">
            <v>93.851814516129053</v>
          </cell>
        </row>
        <row r="22">
          <cell r="B22">
            <v>18.688709677419354</v>
          </cell>
          <cell r="C22">
            <v>0</v>
          </cell>
          <cell r="D22">
            <v>5.1158602150537629</v>
          </cell>
          <cell r="E22">
            <v>154.20947580645159</v>
          </cell>
          <cell r="F22">
            <v>81.006182795698919</v>
          </cell>
          <cell r="G22">
            <v>170.39233870967743</v>
          </cell>
          <cell r="H22">
            <v>1052.0815188172041</v>
          </cell>
          <cell r="I22">
            <v>8.9010752688172055</v>
          </cell>
          <cell r="J22">
            <v>148.24139784946234</v>
          </cell>
          <cell r="K22">
            <v>22.900336021505378</v>
          </cell>
        </row>
        <row r="24">
          <cell r="B24">
            <v>65.107650000000007</v>
          </cell>
          <cell r="C24">
            <v>57.519949999999994</v>
          </cell>
          <cell r="D24">
            <v>27.318999999999999</v>
          </cell>
          <cell r="E24">
            <v>217.17890000000003</v>
          </cell>
          <cell r="F24">
            <v>346.48980000000006</v>
          </cell>
          <cell r="G24">
            <v>173.20685</v>
          </cell>
          <cell r="H24">
            <v>2.8999999999999995</v>
          </cell>
          <cell r="I24">
            <v>11.501149999999997</v>
          </cell>
          <cell r="J24">
            <v>265.27994999999999</v>
          </cell>
          <cell r="K24">
            <v>69.825750000000014</v>
          </cell>
        </row>
        <row r="25">
          <cell r="B25">
            <v>13.904399999999999</v>
          </cell>
          <cell r="C25">
            <v>0</v>
          </cell>
          <cell r="D25">
            <v>3.8062</v>
          </cell>
          <cell r="E25">
            <v>114.73184999999999</v>
          </cell>
          <cell r="F25">
            <v>60.268599999999992</v>
          </cell>
          <cell r="G25">
            <v>126.7719</v>
          </cell>
          <cell r="H25">
            <v>782.74864999999988</v>
          </cell>
          <cell r="I25">
            <v>6.6224000000000007</v>
          </cell>
          <cell r="J25">
            <v>110.29159999999999</v>
          </cell>
          <cell r="K25">
            <v>17.037850000000002</v>
          </cell>
        </row>
        <row r="27">
          <cell r="B27">
            <v>2.4766050983213166</v>
          </cell>
          <cell r="C27">
            <v>3.6872469301954811</v>
          </cell>
          <cell r="D27">
            <v>1.8393871841349088</v>
          </cell>
          <cell r="E27">
            <v>2.531362623662202</v>
          </cell>
          <cell r="F27">
            <v>1.2346876802252331</v>
          </cell>
          <cell r="G27">
            <v>1.0153587035026526</v>
          </cell>
          <cell r="H27">
            <v>1.3151721381446041E-2</v>
          </cell>
          <cell r="I27">
            <v>0.36252510045342373</v>
          </cell>
          <cell r="J27">
            <v>0.58070345289725345</v>
          </cell>
          <cell r="K27">
            <v>4.4609575228963836</v>
          </cell>
        </row>
        <row r="28">
          <cell r="B28">
            <v>1.4251189858103913E-2</v>
          </cell>
          <cell r="C28">
            <v>0</v>
          </cell>
          <cell r="D28">
            <v>2.2357711729803946</v>
          </cell>
          <cell r="E28">
            <v>1.7856898432349235</v>
          </cell>
          <cell r="F28">
            <v>3.1660130421748089</v>
          </cell>
          <cell r="G28">
            <v>1.9846523061945871</v>
          </cell>
          <cell r="H28">
            <v>1.7231720841754519</v>
          </cell>
          <cell r="I28">
            <v>0.92480721824401657</v>
          </cell>
          <cell r="J28">
            <v>0.75677743229760097</v>
          </cell>
          <cell r="K28">
            <v>0.50116618551145742</v>
          </cell>
        </row>
        <row r="30">
          <cell r="B30">
            <v>0.3538628501250618</v>
          </cell>
        </row>
        <row r="31">
          <cell r="B31">
            <v>1.2723816026752495</v>
          </cell>
        </row>
        <row r="33">
          <cell r="B33">
            <v>0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</row>
        <row r="34">
          <cell r="I34">
            <v>0</v>
          </cell>
        </row>
        <row r="38">
          <cell r="B38">
            <v>152.8635928716883</v>
          </cell>
          <cell r="C38">
            <v>204.41162658293115</v>
          </cell>
          <cell r="D38">
            <v>49.141621474254961</v>
          </cell>
          <cell r="E38">
            <v>445.24601074428921</v>
          </cell>
          <cell r="F38">
            <v>305.49668456506009</v>
          </cell>
          <cell r="G38">
            <v>165.27067222097389</v>
          </cell>
          <cell r="H38">
            <v>0.43053475114301759</v>
          </cell>
          <cell r="I38">
            <v>6.0681353447395061</v>
          </cell>
          <cell r="J38">
            <v>114.98220627388613</v>
          </cell>
          <cell r="K38">
            <v>310.51137538886263</v>
          </cell>
        </row>
        <row r="39">
          <cell r="B39">
            <v>0.20781655098681451</v>
          </cell>
          <cell r="C39">
            <v>0</v>
          </cell>
          <cell r="D39">
            <v>7.7790737446905318</v>
          </cell>
          <cell r="E39">
            <v>194.44257963714017</v>
          </cell>
          <cell r="F39">
            <v>251.557383936619</v>
          </cell>
          <cell r="G39">
            <v>246.59465031901865</v>
          </cell>
          <cell r="H39">
            <v>1350.3560094166394</v>
          </cell>
          <cell r="I39">
            <v>5.0566040343536951</v>
          </cell>
          <cell r="J39">
            <v>79.937040987778289</v>
          </cell>
          <cell r="K39">
            <v>8.3629594167860208</v>
          </cell>
        </row>
        <row r="41">
          <cell r="B41">
            <v>287.44633178508894</v>
          </cell>
          <cell r="C41">
            <v>258.63127989940517</v>
          </cell>
          <cell r="D41">
            <v>63.245907202852315</v>
          </cell>
          <cell r="E41">
            <v>231.7522116667555</v>
          </cell>
          <cell r="F41">
            <v>582.46178993435296</v>
          </cell>
          <cell r="G41">
            <v>113.66428608867112</v>
          </cell>
          <cell r="H41">
            <v>54.611653659800801</v>
          </cell>
          <cell r="I41">
            <v>92.004341032516066</v>
          </cell>
          <cell r="J41">
            <v>553.95459872827803</v>
          </cell>
          <cell r="K41">
            <v>89.233594916036822</v>
          </cell>
        </row>
        <row r="42">
          <cell r="B42">
            <v>31.108224216823693</v>
          </cell>
          <cell r="C42">
            <v>0</v>
          </cell>
          <cell r="D42">
            <v>5.9594342545722934E-2</v>
          </cell>
          <cell r="E42">
            <v>202.03848940218066</v>
          </cell>
          <cell r="F42">
            <v>447.61148343011666</v>
          </cell>
          <cell r="G42">
            <v>305.82253821972643</v>
          </cell>
          <cell r="H42">
            <v>1596.5892412922426</v>
          </cell>
          <cell r="I42">
            <v>1.7177151636115875</v>
          </cell>
          <cell r="J42">
            <v>181.79081388892865</v>
          </cell>
          <cell r="K42">
            <v>77.380338271750873</v>
          </cell>
        </row>
        <row r="44">
          <cell r="B44">
            <v>0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</row>
        <row r="45"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</row>
        <row r="46">
          <cell r="G46">
            <v>0</v>
          </cell>
        </row>
      </sheetData>
      <sheetData sheetId="10">
        <row r="13">
          <cell r="H13">
            <v>720</v>
          </cell>
          <cell r="I13">
            <v>8.2191780821917804E-2</v>
          </cell>
        </row>
        <row r="21">
          <cell r="B21">
            <v>87.315138888888896</v>
          </cell>
          <cell r="C21">
            <v>77.271527777777777</v>
          </cell>
          <cell r="D21">
            <v>36.697499999999998</v>
          </cell>
          <cell r="E21">
            <v>291.13916666666671</v>
          </cell>
          <cell r="F21">
            <v>464.58805555555557</v>
          </cell>
          <cell r="G21">
            <v>232.90958333333336</v>
          </cell>
          <cell r="H21">
            <v>3.9344444444444453</v>
          </cell>
          <cell r="I21">
            <v>15.39763888888889</v>
          </cell>
          <cell r="J21">
            <v>355.60125000000005</v>
          </cell>
          <cell r="K21">
            <v>93.831527777777794</v>
          </cell>
        </row>
        <row r="22">
          <cell r="B22">
            <v>18.645555555555557</v>
          </cell>
          <cell r="C22">
            <v>0</v>
          </cell>
          <cell r="D22">
            <v>5.099444444444444</v>
          </cell>
          <cell r="E22">
            <v>153.93291666666667</v>
          </cell>
          <cell r="F22">
            <v>81.075833333333321</v>
          </cell>
          <cell r="G22">
            <v>170.09166666666667</v>
          </cell>
          <cell r="H22">
            <v>1049.9543055555553</v>
          </cell>
          <cell r="I22">
            <v>8.882777777777779</v>
          </cell>
          <cell r="J22">
            <v>147.95999999999998</v>
          </cell>
          <cell r="K22">
            <v>22.848472222222224</v>
          </cell>
        </row>
        <row r="24">
          <cell r="B24">
            <v>62.866900000000008</v>
          </cell>
          <cell r="C24">
            <v>55.6355</v>
          </cell>
          <cell r="D24">
            <v>26.422199999999997</v>
          </cell>
          <cell r="E24">
            <v>209.62020000000004</v>
          </cell>
          <cell r="F24">
            <v>334.5034</v>
          </cell>
          <cell r="G24">
            <v>167.69490000000002</v>
          </cell>
          <cell r="H24">
            <v>2.8328000000000007</v>
          </cell>
          <cell r="I24">
            <v>11.086300000000001</v>
          </cell>
          <cell r="J24">
            <v>256.03290000000004</v>
          </cell>
          <cell r="K24">
            <v>67.558700000000016</v>
          </cell>
        </row>
        <row r="25">
          <cell r="B25">
            <v>13.424800000000001</v>
          </cell>
          <cell r="C25">
            <v>0</v>
          </cell>
          <cell r="D25">
            <v>3.6715999999999993</v>
          </cell>
          <cell r="E25">
            <v>110.83170000000001</v>
          </cell>
          <cell r="F25">
            <v>58.374599999999994</v>
          </cell>
          <cell r="G25">
            <v>122.46599999999999</v>
          </cell>
          <cell r="H25">
            <v>755.96709999999985</v>
          </cell>
          <cell r="I25">
            <v>6.3956</v>
          </cell>
          <cell r="J25">
            <v>106.53119999999998</v>
          </cell>
          <cell r="K25">
            <v>16.450900000000001</v>
          </cell>
        </row>
        <row r="27">
          <cell r="B27">
            <v>2.4806588035405275</v>
          </cell>
          <cell r="C27">
            <v>3.6908619016494888</v>
          </cell>
          <cell r="D27">
            <v>1.8416836742291922</v>
          </cell>
          <cell r="E27">
            <v>2.5363269836250262</v>
          </cell>
          <cell r="F27">
            <v>1.23557080877047</v>
          </cell>
          <cell r="G27">
            <v>1.0164916662940047</v>
          </cell>
          <cell r="H27">
            <v>1.3590112094160913E-2</v>
          </cell>
          <cell r="I27">
            <v>0.36248756480633421</v>
          </cell>
          <cell r="J27">
            <v>0.58237769831488984</v>
          </cell>
          <cell r="K27">
            <v>4.4670664654291619</v>
          </cell>
        </row>
        <row r="28">
          <cell r="B28">
            <v>1.4726229520040711E-2</v>
          </cell>
          <cell r="C28">
            <v>0</v>
          </cell>
          <cell r="D28">
            <v>2.2236152794212565</v>
          </cell>
          <cell r="E28">
            <v>1.787930893474847</v>
          </cell>
          <cell r="F28">
            <v>3.1716315410709179</v>
          </cell>
          <cell r="G28">
            <v>1.9868535672369512</v>
          </cell>
          <cell r="H28">
            <v>1.7269109353947145</v>
          </cell>
          <cell r="I28">
            <v>0.92990520751784611</v>
          </cell>
          <cell r="J28">
            <v>0.76198796023229798</v>
          </cell>
          <cell r="K28">
            <v>0.50133977760676252</v>
          </cell>
        </row>
        <row r="30">
          <cell r="B30">
            <v>0.34245323825423202</v>
          </cell>
        </row>
        <row r="31">
          <cell r="B31">
            <v>1.2313561595325795</v>
          </cell>
        </row>
        <row r="33">
          <cell r="B33">
            <v>0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</row>
        <row r="34">
          <cell r="I34">
            <v>0</v>
          </cell>
        </row>
        <row r="38">
          <cell r="B38">
            <v>147.84894931199727</v>
          </cell>
          <cell r="C38">
            <v>197.94029274777924</v>
          </cell>
          <cell r="D38">
            <v>47.57479644794558</v>
          </cell>
          <cell r="E38">
            <v>430.57251957475859</v>
          </cell>
          <cell r="F38">
            <v>295.42302250014592</v>
          </cell>
          <cell r="G38">
            <v>160.25466377555176</v>
          </cell>
          <cell r="H38">
            <v>0.43053475114301781</v>
          </cell>
          <cell r="I38">
            <v>5.8558754834012641</v>
          </cell>
          <cell r="J38">
            <v>111.05631456550731</v>
          </cell>
          <cell r="K38">
            <v>300.83624180430627</v>
          </cell>
        </row>
        <row r="39">
          <cell r="B39">
            <v>0.20781655098681451</v>
          </cell>
          <cell r="C39">
            <v>0</v>
          </cell>
          <cell r="D39">
            <v>7.4744856991512352</v>
          </cell>
          <cell r="E39">
            <v>188.07989526992503</v>
          </cell>
          <cell r="F39">
            <v>243.83877268238624</v>
          </cell>
          <cell r="G39">
            <v>238.45336864941513</v>
          </cell>
          <cell r="H39">
            <v>1306.3342122950294</v>
          </cell>
          <cell r="I39">
            <v>4.9084054666681034</v>
          </cell>
          <cell r="J39">
            <v>77.706415843778473</v>
          </cell>
          <cell r="K39">
            <v>8.077218719092695</v>
          </cell>
        </row>
        <row r="41">
          <cell r="B41">
            <v>278.17818996629529</v>
          </cell>
          <cell r="C41">
            <v>250.29222277525318</v>
          </cell>
          <cell r="D41">
            <v>61.206667273178923</v>
          </cell>
          <cell r="E41">
            <v>224.27981725069981</v>
          </cell>
          <cell r="F41">
            <v>563.68145469884848</v>
          </cell>
          <cell r="G41">
            <v>109.99940465964188</v>
          </cell>
          <cell r="H41">
            <v>52.850808259775647</v>
          </cell>
          <cell r="I41">
            <v>89.037841946100329</v>
          </cell>
          <cell r="J41">
            <v>536.0934218250876</v>
          </cell>
          <cell r="K41">
            <v>86.356433090569681</v>
          </cell>
        </row>
        <row r="42">
          <cell r="B42">
            <v>30.105200688981579</v>
          </cell>
          <cell r="C42">
            <v>0</v>
          </cell>
          <cell r="D42">
            <v>5.7672840139059836E-2</v>
          </cell>
          <cell r="E42">
            <v>195.52415554025382</v>
          </cell>
          <cell r="F42">
            <v>433.1791311980046</v>
          </cell>
          <cell r="G42">
            <v>295.96189175399576</v>
          </cell>
          <cell r="H42">
            <v>1545.1103602685666</v>
          </cell>
          <cell r="I42">
            <v>1.6623308153689829</v>
          </cell>
          <cell r="J42">
            <v>175.92932651487439</v>
          </cell>
          <cell r="K42">
            <v>74.885361402033794</v>
          </cell>
        </row>
        <row r="44">
          <cell r="B44">
            <v>0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</row>
        <row r="45"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</row>
        <row r="46">
          <cell r="G46">
            <v>0</v>
          </cell>
        </row>
      </sheetData>
      <sheetData sheetId="11">
        <row r="13">
          <cell r="H13">
            <v>744</v>
          </cell>
          <cell r="I13">
            <v>8.4931506849315067E-2</v>
          </cell>
        </row>
        <row r="21">
          <cell r="B21">
            <v>172.25</v>
          </cell>
          <cell r="C21">
            <v>200.87284946236559</v>
          </cell>
          <cell r="D21">
            <v>99.679032258064538</v>
          </cell>
          <cell r="E21">
            <v>452.67331989247322</v>
          </cell>
          <cell r="F21">
            <v>260.72251344086021</v>
          </cell>
          <cell r="G21">
            <v>159.19999999999999</v>
          </cell>
          <cell r="H21">
            <v>0</v>
          </cell>
          <cell r="I21">
            <v>50.200873655913973</v>
          </cell>
          <cell r="J21">
            <v>25.378763440860215</v>
          </cell>
          <cell r="K21">
            <v>144.34784946236559</v>
          </cell>
        </row>
        <row r="22">
          <cell r="B22">
            <v>5.9772849462365585</v>
          </cell>
          <cell r="C22">
            <v>0</v>
          </cell>
          <cell r="D22">
            <v>7.4193548387096783E-2</v>
          </cell>
          <cell r="E22">
            <v>148.98958333333334</v>
          </cell>
          <cell r="F22">
            <v>70.243077956989239</v>
          </cell>
          <cell r="G22">
            <v>163.20369623655915</v>
          </cell>
          <cell r="H22">
            <v>1038.453629032258</v>
          </cell>
          <cell r="I22">
            <v>0</v>
          </cell>
          <cell r="J22">
            <v>132.86969086021503</v>
          </cell>
          <cell r="K22">
            <v>5.3037634408602159</v>
          </cell>
        </row>
        <row r="24">
          <cell r="B24">
            <v>128.154</v>
          </cell>
          <cell r="C24">
            <v>149.4494</v>
          </cell>
          <cell r="D24">
            <v>74.161200000000008</v>
          </cell>
          <cell r="E24">
            <v>336.78895000000006</v>
          </cell>
          <cell r="F24">
            <v>193.97754999999998</v>
          </cell>
          <cell r="G24">
            <v>118.44479999999999</v>
          </cell>
          <cell r="H24">
            <v>0</v>
          </cell>
          <cell r="I24">
            <v>37.349449999999997</v>
          </cell>
          <cell r="J24">
            <v>18.881799999999998</v>
          </cell>
          <cell r="K24">
            <v>107.39479999999999</v>
          </cell>
        </row>
        <row r="25">
          <cell r="B25">
            <v>4.4470999999999998</v>
          </cell>
          <cell r="C25">
            <v>0</v>
          </cell>
          <cell r="D25">
            <v>5.5200000000000006E-2</v>
          </cell>
          <cell r="E25">
            <v>110.84824999999999</v>
          </cell>
          <cell r="F25">
            <v>52.260849999999998</v>
          </cell>
          <cell r="G25">
            <v>121.42355000000001</v>
          </cell>
          <cell r="H25">
            <v>772.60950000000003</v>
          </cell>
          <cell r="I25">
            <v>0</v>
          </cell>
          <cell r="J25">
            <v>98.855049999999991</v>
          </cell>
          <cell r="K25">
            <v>3.9460000000000006</v>
          </cell>
        </row>
        <row r="27">
          <cell r="B27">
            <v>2.0010227933897085</v>
          </cell>
          <cell r="C27">
            <v>1.9774894068732154</v>
          </cell>
          <cell r="D27">
            <v>2.1492922791140838</v>
          </cell>
          <cell r="E27">
            <v>1.5010075796386111</v>
          </cell>
          <cell r="F27">
            <v>0.48964213856919819</v>
          </cell>
          <cell r="G27">
            <v>0.659713570012325</v>
          </cell>
          <cell r="H27">
            <v>0</v>
          </cell>
          <cell r="I27">
            <v>0.31418583499194752</v>
          </cell>
          <cell r="J27">
            <v>0.95791031726740039</v>
          </cell>
          <cell r="K27">
            <v>2.9773366162181722</v>
          </cell>
        </row>
        <row r="28">
          <cell r="B28">
            <v>0</v>
          </cell>
          <cell r="C28">
            <v>0</v>
          </cell>
          <cell r="D28">
            <v>0</v>
          </cell>
          <cell r="E28">
            <v>0.9887741867915264</v>
          </cell>
          <cell r="F28">
            <v>1.5017495686108304</v>
          </cell>
          <cell r="G28">
            <v>1.6744735169354248</v>
          </cell>
          <cell r="H28">
            <v>1.9945722899992602</v>
          </cell>
          <cell r="I28">
            <v>0</v>
          </cell>
          <cell r="J28">
            <v>2.4684621154595554</v>
          </cell>
          <cell r="K28">
            <v>0.71736446007932264</v>
          </cell>
        </row>
        <row r="30">
          <cell r="B30">
            <v>0.35664032564371145</v>
          </cell>
        </row>
        <row r="31">
          <cell r="B31">
            <v>1.2823685474776259</v>
          </cell>
        </row>
        <row r="33">
          <cell r="B33">
            <v>0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</row>
        <row r="34">
          <cell r="I34">
            <v>0</v>
          </cell>
        </row>
        <row r="38">
          <cell r="B38">
            <v>253.35309247794115</v>
          </cell>
          <cell r="C38">
            <v>281.3370859016681</v>
          </cell>
          <cell r="D38">
            <v>151.21527934408419</v>
          </cell>
          <cell r="E38">
            <v>497.53039938054962</v>
          </cell>
          <cell r="F38">
            <v>136.99028399858281</v>
          </cell>
          <cell r="G38">
            <v>78.13964185739583</v>
          </cell>
          <cell r="H38">
            <v>0</v>
          </cell>
          <cell r="I38">
            <v>14.580051967528284</v>
          </cell>
          <cell r="J38">
            <v>17.776109785118113</v>
          </cell>
          <cell r="K38">
            <v>305.23580594209056</v>
          </cell>
        </row>
        <row r="39">
          <cell r="B39">
            <v>0</v>
          </cell>
          <cell r="C39">
            <v>0</v>
          </cell>
          <cell r="D39">
            <v>0</v>
          </cell>
          <cell r="E39">
            <v>107.73263435256735</v>
          </cell>
          <cell r="F39">
            <v>73.442493706110071</v>
          </cell>
          <cell r="G39">
            <v>200.44692103839074</v>
          </cell>
          <cell r="H39">
            <v>1498.9930116837288</v>
          </cell>
          <cell r="I39">
            <v>0</v>
          </cell>
          <cell r="J39">
            <v>238.84150482326027</v>
          </cell>
          <cell r="K39">
            <v>2.5140185297811257</v>
          </cell>
        </row>
        <row r="41">
          <cell r="B41">
            <v>289.70250292364318</v>
          </cell>
          <cell r="C41">
            <v>260.66128120647579</v>
          </cell>
          <cell r="D41">
            <v>63.742325402300558</v>
          </cell>
          <cell r="E41">
            <v>233.57123871090505</v>
          </cell>
          <cell r="F41">
            <v>587.03354241280533</v>
          </cell>
          <cell r="G41">
            <v>114.55643900001654</v>
          </cell>
          <cell r="H41">
            <v>55.040301456593994</v>
          </cell>
          <cell r="I41">
            <v>92.726484667364986</v>
          </cell>
          <cell r="J41">
            <v>558.30259777894798</v>
          </cell>
          <cell r="K41">
            <v>89.933990917574675</v>
          </cell>
        </row>
        <row r="42">
          <cell r="B42">
            <v>31.3523931968688</v>
          </cell>
          <cell r="C42">
            <v>0</v>
          </cell>
          <cell r="D42">
            <v>6.0062099552179719E-2</v>
          </cell>
          <cell r="E42">
            <v>203.62429293578458</v>
          </cell>
          <cell r="F42">
            <v>451.12479356327748</v>
          </cell>
          <cell r="G42">
            <v>308.22294451458419</v>
          </cell>
          <cell r="H42">
            <v>1609.1208973546441</v>
          </cell>
          <cell r="I42">
            <v>1.7311975390947956</v>
          </cell>
          <cell r="J42">
            <v>183.21769307365636</v>
          </cell>
          <cell r="K42">
            <v>77.987697860638619</v>
          </cell>
        </row>
        <row r="44">
          <cell r="B44">
            <v>0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</row>
        <row r="45"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</row>
        <row r="46">
          <cell r="G46">
            <v>0</v>
          </cell>
        </row>
      </sheetData>
      <sheetData sheetId="12">
        <row r="13">
          <cell r="H13">
            <v>720</v>
          </cell>
          <cell r="I13">
            <v>8.2191780821917804E-2</v>
          </cell>
        </row>
        <row r="21">
          <cell r="B21">
            <v>172.14666666666665</v>
          </cell>
          <cell r="C21">
            <v>200.48166666666665</v>
          </cell>
          <cell r="D21">
            <v>99.611944444444447</v>
          </cell>
          <cell r="E21">
            <v>451.85930555555564</v>
          </cell>
          <cell r="F21">
            <v>259.70680555555555</v>
          </cell>
          <cell r="G21">
            <v>159.19999999999999</v>
          </cell>
          <cell r="H21">
            <v>0</v>
          </cell>
          <cell r="I21">
            <v>49.942638888888887</v>
          </cell>
          <cell r="J21">
            <v>25.346388888888885</v>
          </cell>
          <cell r="K21">
            <v>144.27500000000001</v>
          </cell>
        </row>
        <row r="22">
          <cell r="B22">
            <v>6.0044444444444443</v>
          </cell>
          <cell r="C22">
            <v>0</v>
          </cell>
          <cell r="D22">
            <v>7.3333333333333348E-2</v>
          </cell>
          <cell r="E22">
            <v>148.70930555555555</v>
          </cell>
          <cell r="F22">
            <v>70.267916666666665</v>
          </cell>
          <cell r="G22">
            <v>162.91763888888889</v>
          </cell>
          <cell r="H22">
            <v>1036.4288888888889</v>
          </cell>
          <cell r="I22">
            <v>0</v>
          </cell>
          <cell r="J22">
            <v>132.65624999999997</v>
          </cell>
          <cell r="K22">
            <v>5.3033333333333337</v>
          </cell>
        </row>
        <row r="24">
          <cell r="B24">
            <v>123.94559999999998</v>
          </cell>
          <cell r="C24">
            <v>144.3468</v>
          </cell>
          <cell r="D24">
            <v>71.720600000000005</v>
          </cell>
          <cell r="E24">
            <v>325.33870000000007</v>
          </cell>
          <cell r="F24">
            <v>186.9889</v>
          </cell>
          <cell r="G24">
            <v>114.62399999999998</v>
          </cell>
          <cell r="H24">
            <v>0</v>
          </cell>
          <cell r="I24">
            <v>35.9587</v>
          </cell>
          <cell r="J24">
            <v>18.249399999999998</v>
          </cell>
          <cell r="K24">
            <v>103.878</v>
          </cell>
        </row>
        <row r="25">
          <cell r="B25">
            <v>4.3231999999999999</v>
          </cell>
          <cell r="C25">
            <v>0</v>
          </cell>
          <cell r="D25">
            <v>5.2800000000000014E-2</v>
          </cell>
          <cell r="E25">
            <v>107.0707</v>
          </cell>
          <cell r="F25">
            <v>50.592899999999993</v>
          </cell>
          <cell r="G25">
            <v>117.30069999999999</v>
          </cell>
          <cell r="H25">
            <v>746.22880000000009</v>
          </cell>
          <cell r="I25">
            <v>0</v>
          </cell>
          <cell r="J25">
            <v>95.512499999999989</v>
          </cell>
          <cell r="K25">
            <v>3.8184000000000005</v>
          </cell>
        </row>
        <row r="27">
          <cell r="B27">
            <v>2.0039517479063664</v>
          </cell>
          <cell r="C27">
            <v>1.980506470962504</v>
          </cell>
          <cell r="D27">
            <v>2.1523145617580584</v>
          </cell>
          <cell r="E27">
            <v>1.5039320697223748</v>
          </cell>
          <cell r="F27">
            <v>0.48984348829168595</v>
          </cell>
          <cell r="G27">
            <v>0.66091705699712111</v>
          </cell>
          <cell r="H27">
            <v>0</v>
          </cell>
          <cell r="I27">
            <v>0.31520069940354734</v>
          </cell>
          <cell r="J27">
            <v>0.95937780236686088</v>
          </cell>
          <cell r="K27">
            <v>2.9808442365616057</v>
          </cell>
        </row>
        <row r="28">
          <cell r="B28">
            <v>0</v>
          </cell>
          <cell r="C28">
            <v>0</v>
          </cell>
          <cell r="D28">
            <v>0</v>
          </cell>
          <cell r="E28">
            <v>0.99079356194035328</v>
          </cell>
          <cell r="F28">
            <v>1.5040993509336351</v>
          </cell>
          <cell r="G28">
            <v>1.6779501599860418</v>
          </cell>
          <cell r="H28">
            <v>1.9987173068345396</v>
          </cell>
          <cell r="I28">
            <v>0</v>
          </cell>
          <cell r="J28">
            <v>2.4734937286371723</v>
          </cell>
          <cell r="K28">
            <v>0.71762656332462582</v>
          </cell>
        </row>
        <row r="30">
          <cell r="B30">
            <v>0.34514155786897666</v>
          </cell>
        </row>
        <row r="31">
          <cell r="B31">
            <v>1.2410225272191084</v>
          </cell>
        </row>
        <row r="33">
          <cell r="B33">
            <v>0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</row>
        <row r="34">
          <cell r="I34">
            <v>0</v>
          </cell>
        </row>
        <row r="38">
          <cell r="B38">
            <v>245.35660236735922</v>
          </cell>
          <cell r="C38">
            <v>272.01468184818913</v>
          </cell>
          <cell r="D38">
            <v>146.44889643934721</v>
          </cell>
          <cell r="E38">
            <v>481.45260041492475</v>
          </cell>
          <cell r="F38">
            <v>132.25367804935527</v>
          </cell>
          <cell r="G38">
            <v>75.756956741237985</v>
          </cell>
          <cell r="H38">
            <v>0</v>
          </cell>
          <cell r="I38">
            <v>14.04871097880172</v>
          </cell>
          <cell r="J38">
            <v>17.204957636621582</v>
          </cell>
          <cell r="K38">
            <v>295.5777071286235</v>
          </cell>
        </row>
        <row r="39">
          <cell r="B39">
            <v>0</v>
          </cell>
          <cell r="C39">
            <v>0</v>
          </cell>
          <cell r="D39">
            <v>0</v>
          </cell>
          <cell r="E39">
            <v>104.22964214121323</v>
          </cell>
          <cell r="F39">
            <v>71.203060536817574</v>
          </cell>
          <cell r="G39">
            <v>193.99234518989223</v>
          </cell>
          <cell r="H39">
            <v>1450.4281713894036</v>
          </cell>
          <cell r="I39">
            <v>0</v>
          </cell>
          <cell r="J39">
            <v>231.18895359815042</v>
          </cell>
          <cell r="K39">
            <v>2.4314613277521788</v>
          </cell>
        </row>
        <row r="41">
          <cell r="B41">
            <v>280.36193887254836</v>
          </cell>
          <cell r="C41">
            <v>252.25706181527767</v>
          </cell>
          <cell r="D41">
            <v>61.687150637922208</v>
          </cell>
          <cell r="E41">
            <v>226.04045422110795</v>
          </cell>
          <cell r="F41">
            <v>568.10645566791413</v>
          </cell>
          <cell r="G41">
            <v>110.86291980309399</v>
          </cell>
          <cell r="H41">
            <v>53.265696625919176</v>
          </cell>
          <cell r="I41">
            <v>89.73680504593392</v>
          </cell>
          <cell r="J41">
            <v>540.30185176598934</v>
          </cell>
          <cell r="K41">
            <v>87.034346647819802</v>
          </cell>
        </row>
        <row r="42">
          <cell r="B42">
            <v>30.341531937973681</v>
          </cell>
          <cell r="C42">
            <v>0</v>
          </cell>
          <cell r="D42">
            <v>5.812558232416587E-2</v>
          </cell>
          <cell r="E42">
            <v>197.05905538577665</v>
          </cell>
          <cell r="F42">
            <v>436.57966541702422</v>
          </cell>
          <cell r="G42">
            <v>298.2852459230939</v>
          </cell>
          <cell r="H42">
            <v>1557.2397549550642</v>
          </cell>
          <cell r="I42">
            <v>1.6753804117457969</v>
          </cell>
          <cell r="J42">
            <v>177.31040342245385</v>
          </cell>
          <cell r="K42">
            <v>75.473224979965167</v>
          </cell>
        </row>
        <row r="44">
          <cell r="B44">
            <v>0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</row>
        <row r="45"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</row>
        <row r="46">
          <cell r="G46">
            <v>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01-2012 Contraloría Historico"/>
      <sheetName val="2001-2012 Contraloría Var Hist "/>
      <sheetName val="Variacion PIB por Act 2001-09"/>
      <sheetName val="2001-12Contraloría Estruc. Hist"/>
      <sheetName val="Evalua Estimado 2006"/>
      <sheetName val="Variacion PIB- Esc. Exp. Canal"/>
      <sheetName val="PIB 2011 Estimado "/>
      <sheetName val="IMAE 2005 - 13"/>
      <sheetName val="Pronosticos Publicados 2013 "/>
      <sheetName val="Pronosticos Publicados 2014-17 "/>
      <sheetName val="PIB Mundial vs Panama  2001-13"/>
      <sheetName val="PIB 2013, tres metodologías (M)"/>
      <sheetName val="Var.  Estructural 2012  Mod"/>
      <sheetName val="TC Estimadas a 2013 "/>
      <sheetName val="PIB 2012 Historico Estimado "/>
      <sheetName val="PIB Estructural II TRIM 2005-12"/>
      <sheetName val="VALIDAR PIB Estruc II Trim 2011"/>
      <sheetName val="AjustPonderadoXActiv.2012 "/>
      <sheetName val="PIB Estructural II TRIM 2005-13"/>
      <sheetName val="VALIDAR PIBEstruc IITrim E 2012"/>
      <sheetName val="Estimado de Impuestos Netos"/>
      <sheetName val="PIB Estruc. Est. II Trim 2012 V"/>
      <sheetName val="PIB Estruc. Est. II Trim 201"/>
      <sheetName val="PIB Estruc. Est. II Trim 2012"/>
      <sheetName val="PIB Pre Est Estruc II Trim 2013"/>
      <sheetName val="PIBMOD; 2014 Tres Metodologias "/>
      <sheetName val="PIBOPT; 2014 Tres Metodologias "/>
      <sheetName val="PIBPES; 2014 Tres Metodologias"/>
      <sheetName val="PIB Estructural 2013-14 Est. 2T"/>
      <sheetName val="PIB Estruc. III TRIM 2005 -13"/>
      <sheetName val="PIB Estructural III Trim2011"/>
      <sheetName val="PIB Estructural III Trim2011Mod"/>
      <sheetName val="PIB Estructural E III Trim2013"/>
      <sheetName val="PIBMOD; 2014 Tres Metodolog III"/>
      <sheetName val="PIBOPT; 2014 Tres Metodolog III"/>
      <sheetName val="PIBPES; 2014 Tres Metodolog III"/>
      <sheetName val="PIB Estructural 2013-14 Est 3T"/>
      <sheetName val="PIB Estructural 2012 Est. 3T"/>
      <sheetName val="Analisis IMAE 2008"/>
      <sheetName val="Analisis IMAE 2008 Anexo"/>
      <sheetName val="PIB Estructural III Trim 2008 "/>
      <sheetName val="Tasas PIB INTRACORP"/>
      <sheetName val="Empalme de Bases 96-82 (2)"/>
      <sheetName val="Tasas PIB INTRACORP2005-21"/>
      <sheetName val="Tasas PIB INTRACORP2005-24"/>
      <sheetName val="Comp.Tasas PIB INTRACORP- Real "/>
      <sheetName val="Gráfico TASAS 2009-2024"/>
      <sheetName val="Premisas Escenarios"/>
      <sheetName val="Estimacion PIB 2012-2026"/>
      <sheetName val="Pronosticos 2012-2026 "/>
      <sheetName val="Estimacion PIB 2013-2027"/>
      <sheetName val="Estimacion PIB 2T 2014-2028"/>
      <sheetName val="Estimacion PIB 3T 2014-2028"/>
      <sheetName val="Pronosticos 2014-28"/>
      <sheetName val="Pronosticos 2011-25 mOD +,-5%"/>
      <sheetName val="Estimacion PIB 2010-2024 (2)"/>
      <sheetName val="Pronosticos 2010-24 % (2)"/>
      <sheetName val="Estimacion PIB 2010-2024 (3)"/>
      <sheetName val="Empalme de Bases PIB96-82 13-27"/>
      <sheetName val="Empalme de Bases 96-82"/>
      <sheetName val="Empalme de Bases 96-82 3T"/>
      <sheetName val="Comp. Hist. Manuf. 1982=1"/>
      <sheetName val="Pronosticos 2010-24 % (3)"/>
      <sheetName val="Tasas PIB INTRACORP (3)"/>
      <sheetName val="Empalme de Bases 96-82 11-26"/>
      <sheetName val="Mat.  Cons.  2002-2006"/>
      <sheetName val="Produccion fisica Man 2002-06"/>
      <sheetName val="Carac.Consumo ELec. Sector Ind."/>
      <sheetName val="industria-Algunos indicadores"/>
      <sheetName val="Impacto Sector Sec al PIB "/>
      <sheetName val="PIB MANUFACTURA 1986-2010"/>
      <sheetName val="Est. PIB MANUFACTURA ACP1996Mod"/>
      <sheetName val="Est. PIB MANUFACTURA ACP19963T"/>
      <sheetName val="Impacto Man al PIB 2013-27"/>
      <sheetName val="Est. PIB MANUF. EMPALM2014-28 2"/>
      <sheetName val="Est. PIBMANUF.EMPALM2014- 28 3T"/>
      <sheetName val="Hoja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01-2012 Contraloría Historico"/>
      <sheetName val="2001-2012 Contraloría Var Hist "/>
      <sheetName val="Variacion PIB por Act 2001-09"/>
      <sheetName val="2001-12Contraloría Estruc. Hist"/>
      <sheetName val="Evalua Estimado 2006"/>
      <sheetName val="Variacion PIB- Esc. Exp. Canal"/>
      <sheetName val="PIB 2011 Estimado "/>
      <sheetName val="IMAE 2005 - 13"/>
      <sheetName val="Pronosticos Publicados 2013 "/>
      <sheetName val="Pronosticos Publicados 2014-17 "/>
      <sheetName val="PIB Mundial vs Panama  2001-13"/>
      <sheetName val="PIB 2013, tres metodologías (M)"/>
      <sheetName val="Var.  Estructural 2012  Mod"/>
      <sheetName val="TC Estimadas a 2013 "/>
      <sheetName val="PIB 2012 Historico Estimado "/>
      <sheetName val="PIB Estructural II TRIM 2005-12"/>
      <sheetName val="VALIDAR PIB Estruc II Trim 2011"/>
      <sheetName val="AjustPonderadoXActiv.2012 "/>
      <sheetName val="PIB Estructural II TRIM 2005-13"/>
      <sheetName val="VALIDAR PIBEstruc IITrim E 2012"/>
      <sheetName val="Estimado de Impuestos Netos"/>
      <sheetName val="PIB Estruc. Est. II Trim 2012 V"/>
      <sheetName val="PIB Estruc. Est. II Trim 201"/>
      <sheetName val="PIB Estruc. Est. II Trim 2012"/>
      <sheetName val="PIB Pre Est Estruc II Trim 2013"/>
      <sheetName val="PIBMOD; 2014 Tres Metodologias "/>
      <sheetName val="PIBOPT; 2014 Tres Metodologias "/>
      <sheetName val="PIBPES; 2014 Tres Metodologias"/>
      <sheetName val="PIB Estructural 2013-14 Est. 2T"/>
      <sheetName val="PIB Estruc. III TRIM 2005 -13"/>
      <sheetName val="PIB Estructural III Trim2011"/>
      <sheetName val="PIB Estructural III Trim2011Mod"/>
      <sheetName val="PIB Estructural E III Trim2013"/>
      <sheetName val="PIBMOD; 2014 Tres Metodolog III"/>
      <sheetName val="PIBOPT; 2014 Tres Metodolog III"/>
      <sheetName val="PIBPES; 2014 Tres Metodolog III"/>
      <sheetName val="PIB Estructural 2013-14 Est 3T"/>
      <sheetName val="PIB Estructural 2012 Est. 3T"/>
      <sheetName val="Analisis IMAE 2008"/>
      <sheetName val="Analisis IMAE 2008 Anexo"/>
      <sheetName val="PIB Estructural III Trim 2008 "/>
      <sheetName val="Tasas PIB INTRACORP"/>
      <sheetName val="Empalme de Bases 96-82 (2)"/>
      <sheetName val="Tasas PIB INTRACORP2005-21"/>
      <sheetName val="Tasas PIB INTRACORP2005-24"/>
      <sheetName val="Comp.Tasas PIB INTRACORP- Real "/>
      <sheetName val="Gráfico TASAS 2009-2024"/>
      <sheetName val="Premisas Escenarios"/>
      <sheetName val="Estimacion PIB 2012-2026"/>
      <sheetName val="Pronosticos 2012-2026 "/>
      <sheetName val="Estimacion PIB 2013-2027"/>
      <sheetName val="Estimacion PIB 2T 2014-2028"/>
      <sheetName val="Estimacion PIB 3T 2014-2028"/>
      <sheetName val="Pronosticos 2014-28"/>
      <sheetName val="Pronosticos 2011-25 mOD +,-5%"/>
      <sheetName val="Estimacion PIB 2010-2024 (2)"/>
      <sheetName val="Pronosticos 2010-24 % (2)"/>
      <sheetName val="Estimacion PIB 2010-2024 (3)"/>
      <sheetName val="Empalme de Bases PIB96-82 13-27"/>
      <sheetName val="Empalme de Bases 96-82"/>
      <sheetName val="Empalme de Bases 96-82 3T"/>
      <sheetName val="Comp. Hist. Manuf. 1982=1"/>
      <sheetName val="Pronosticos 2010-24 % (3)"/>
      <sheetName val="Tasas PIB INTRACORP (3)"/>
      <sheetName val="Empalme de Bases 96-82 11-26"/>
      <sheetName val="Mat.  Cons.  2002-2006"/>
      <sheetName val="Produccion fisica Man 2002-06"/>
      <sheetName val="Carac.Consumo ELec. Sector Ind."/>
      <sheetName val="industria-Algunos indicadores"/>
      <sheetName val="Impacto Sector Sec al PIB "/>
      <sheetName val="PIB MANUFACTURA 1986-2010"/>
      <sheetName val="Est. PIB MANUFACTURA ACP1996Mod"/>
      <sheetName val="Est. PIB MANUFACTURA ACP19963T"/>
      <sheetName val="Impacto Man al PIB 2013-27"/>
      <sheetName val="Est. PIB MANUF. EMPALM2014-28 2"/>
      <sheetName val="Est. PIBMANUF.EMPALM2014- 28 3T"/>
      <sheetName val="Hoja3"/>
      <sheetName val="Hoja1"/>
    </sheetNames>
    <sheetDataSet>
      <sheetData sheetId="0">
        <row r="43">
          <cell r="H43">
            <v>14041.199999999999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69">
          <cell r="AB69">
            <v>6.25</v>
          </cell>
        </row>
      </sheetData>
      <sheetData sheetId="10"/>
      <sheetData sheetId="11">
        <row r="8">
          <cell r="G8">
            <v>2004</v>
          </cell>
        </row>
      </sheetData>
      <sheetData sheetId="12"/>
      <sheetData sheetId="13"/>
      <sheetData sheetId="14"/>
      <sheetData sheetId="15">
        <row r="45">
          <cell r="M45">
            <v>8.5277611600148129E-2</v>
          </cell>
        </row>
      </sheetData>
      <sheetData sheetId="16">
        <row r="14">
          <cell r="K14">
            <v>2.9381495383871546E-2</v>
          </cell>
        </row>
      </sheetData>
      <sheetData sheetId="17"/>
      <sheetData sheetId="18">
        <row r="13">
          <cell r="AK13">
            <v>730.29380429282003</v>
          </cell>
        </row>
      </sheetData>
      <sheetData sheetId="19"/>
      <sheetData sheetId="20">
        <row r="27">
          <cell r="N27">
            <v>0.30833039181080124</v>
          </cell>
        </row>
      </sheetData>
      <sheetData sheetId="21"/>
      <sheetData sheetId="22"/>
      <sheetData sheetId="23"/>
      <sheetData sheetId="24"/>
      <sheetData sheetId="25">
        <row r="15">
          <cell r="R15">
            <v>2.6338961472462064E-2</v>
          </cell>
        </row>
      </sheetData>
      <sheetData sheetId="26"/>
      <sheetData sheetId="27"/>
      <sheetData sheetId="28">
        <row r="42">
          <cell r="G42">
            <v>27697.120686863906</v>
          </cell>
        </row>
      </sheetData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>
        <row r="19">
          <cell r="F19">
            <v>2.3443464982300322</v>
          </cell>
        </row>
      </sheetData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MP Existente"/>
      <sheetName val="IMPA Indicativo"/>
      <sheetName val="Activos Reconocidos"/>
      <sheetName val="Tasa de Depreciación"/>
      <sheetName val="OMT%_ADMT%"/>
      <sheetName val="Base de Capital"/>
      <sheetName val="Plan de Expansión"/>
      <sheetName val="Tercera Línea"/>
      <sheetName val="VNR"/>
      <sheetName val="CND_HID"/>
      <sheetName val="GEN_OBL"/>
      <sheetName val="Anexo Activos_Depreciaciones"/>
      <sheetName val="Bienes e Instalaciones 31_12_16"/>
      <sheetName val="Conso Altas 2013_2016"/>
      <sheetName val="IMP RevTar_2013_2017"/>
      <sheetName val="Cuadro Informe"/>
    </sheetNames>
    <sheetDataSet>
      <sheetData sheetId="0"/>
      <sheetData sheetId="1"/>
      <sheetData sheetId="2">
        <row r="58">
          <cell r="C58">
            <v>204259966.1240339</v>
          </cell>
        </row>
      </sheetData>
      <sheetData sheetId="3"/>
      <sheetData sheetId="4">
        <row r="13">
          <cell r="G13">
            <v>9.300000000000001E-3</v>
          </cell>
        </row>
      </sheetData>
      <sheetData sheetId="5"/>
      <sheetData sheetId="6"/>
      <sheetData sheetId="7"/>
      <sheetData sheetId="8">
        <row r="32">
          <cell r="F32">
            <v>347773847.60483652</v>
          </cell>
        </row>
        <row r="38">
          <cell r="F38">
            <v>36672308.815588608</v>
          </cell>
        </row>
        <row r="48">
          <cell r="G48">
            <v>67037095.958703928</v>
          </cell>
        </row>
        <row r="59">
          <cell r="Q59">
            <v>368338574.5715453</v>
          </cell>
        </row>
        <row r="69">
          <cell r="Q69">
            <v>6933848.1310749892</v>
          </cell>
        </row>
      </sheetData>
      <sheetData sheetId="9">
        <row r="9">
          <cell r="D9">
            <v>2017</v>
          </cell>
        </row>
      </sheetData>
      <sheetData sheetId="10">
        <row r="9">
          <cell r="F9">
            <v>40000</v>
          </cell>
        </row>
      </sheetData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MP Base capital completa"/>
      <sheetName val="IMP O&amp;M promedio anterior"/>
      <sheetName val="IMP tasa 12.24%"/>
      <sheetName val="Graficas"/>
      <sheetName val="IMP"/>
      <sheetName val="Hidrometeorología"/>
      <sheetName val="Activos"/>
      <sheetName val="Hoja1"/>
      <sheetName val="Bienes 2004"/>
      <sheetName val="VNR"/>
      <sheetName val="VNR Líneas"/>
      <sheetName val="Compara Valor libros-vs-VNR"/>
      <sheetName val="VNR SE"/>
      <sheetName val="Inversión-Resumen"/>
      <sheetName val="Inversiones"/>
      <sheetName val="Retiros"/>
      <sheetName val="CND"/>
      <sheetName val="Informática"/>
      <sheetName val="Hoja2"/>
      <sheetName val="RRT"/>
      <sheetName val="#¡REF"/>
      <sheetName val="IMP-Ajuste-Fechas"/>
      <sheetName val="IMP-APROBADO"/>
      <sheetName val="Resumen Anual"/>
      <sheetName val="Resumen Anual (original)"/>
      <sheetName val="Justificacion"/>
      <sheetName val="Cuadro Resumen feb"/>
      <sheetName val="Liq Estamp.-Febrero2014"/>
      <sheetName val="Feb Estampilla Generación Final"/>
      <sheetName val="Estampilla Demanda Final"/>
      <sheetName val="AP Febrero Estampilla Postal"/>
      <sheetName val="ANALISIS 96 339"/>
      <sheetName val="Cap.Act. Año 1"/>
      <sheetName val="ESTAMP.-FEB 904"/>
      <sheetName val="Cargos Act. Año 1 (08)"/>
      <sheetName val="Cambio a SE"/>
      <sheetName val="Facturacion"/>
      <sheetName val="SEG ELEC GENERACION"/>
      <sheetName val="SEG ELECT DEMANDA"/>
      <sheetName val="LIQ SEG ELEC FEBRERO2014"/>
      <sheetName val=" LIQ DE ENERO 585"/>
      <sheetName val="SE Ajuste Parcial"/>
      <sheetName val="Balance Enero"/>
      <sheetName val="Balance Ajuste Parcial"/>
      <sheetName val="capacidades instaladas"/>
      <sheetName val="Ajuste Parcial Febrero"/>
      <sheetName val="Ajuste Parcial Enero"/>
      <sheetName val="M8"/>
      <sheetName val="Ajuste distibucion"/>
    </sheetNames>
    <sheetDataSet>
      <sheetData sheetId="0"/>
      <sheetData sheetId="1">
        <row r="14">
          <cell r="D14">
            <v>2000.9</v>
          </cell>
        </row>
      </sheetData>
      <sheetData sheetId="2"/>
      <sheetData sheetId="3"/>
      <sheetData sheetId="4">
        <row r="14">
          <cell r="D14">
            <v>2000.9</v>
          </cell>
        </row>
      </sheetData>
      <sheetData sheetId="5"/>
      <sheetData sheetId="6"/>
      <sheetData sheetId="7">
        <row r="14">
          <cell r="D14">
            <v>2000.9</v>
          </cell>
        </row>
      </sheetData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/>
      <sheetData sheetId="19"/>
      <sheetData sheetId="20"/>
      <sheetData sheetId="21"/>
      <sheetData sheetId="22"/>
      <sheetData sheetId="23">
        <row r="14">
          <cell r="D14">
            <v>63657.810000000005</v>
          </cell>
        </row>
      </sheetData>
      <sheetData sheetId="24">
        <row r="14">
          <cell r="D14">
            <v>2000.9</v>
          </cell>
        </row>
      </sheetData>
      <sheetData sheetId="25"/>
      <sheetData sheetId="26">
        <row r="14">
          <cell r="D14">
            <v>2000.9</v>
          </cell>
        </row>
      </sheetData>
      <sheetData sheetId="27"/>
      <sheetData sheetId="28"/>
      <sheetData sheetId="29">
        <row r="14">
          <cell r="D14">
            <v>0</v>
          </cell>
        </row>
      </sheetData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MP Base capital completa"/>
      <sheetName val="IMP O&amp;M promedio anterior"/>
      <sheetName val="IMP tasa 12.24%"/>
      <sheetName val="Graficas"/>
      <sheetName val="IMP"/>
      <sheetName val="Hidrometeorología"/>
      <sheetName val="Activos"/>
      <sheetName val="Hoja1"/>
      <sheetName val="Bienes 2004"/>
      <sheetName val="VNR"/>
      <sheetName val="VNR Líneas"/>
      <sheetName val="Compara Valor libros-vs-VNR"/>
      <sheetName val="VNR SE"/>
      <sheetName val="Inversión-Resumen"/>
      <sheetName val="Inversiones"/>
      <sheetName val="Retiros"/>
      <sheetName val="CND"/>
      <sheetName val="Informática"/>
      <sheetName val="Hoja2"/>
      <sheetName val="RRT"/>
      <sheetName val="#¡REF"/>
      <sheetName val="IMP-Ajuste-Fechas"/>
      <sheetName val="IMP-APROBADO"/>
    </sheetNames>
    <sheetDataSet>
      <sheetData sheetId="0"/>
      <sheetData sheetId="1">
        <row r="14">
          <cell r="D14">
            <v>2000.9</v>
          </cell>
        </row>
      </sheetData>
      <sheetData sheetId="2"/>
      <sheetData sheetId="3"/>
      <sheetData sheetId="4">
        <row r="14">
          <cell r="D14">
            <v>2000.9</v>
          </cell>
        </row>
      </sheetData>
      <sheetData sheetId="5"/>
      <sheetData sheetId="6"/>
      <sheetData sheetId="7">
        <row r="14">
          <cell r="D14">
            <v>2000.9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MP Base capital completa"/>
      <sheetName val="IMP O&amp;M promedio anterior"/>
      <sheetName val="IMP tasa 12.24%"/>
      <sheetName val="Graficas"/>
      <sheetName val="IMP"/>
      <sheetName val="Hidrometeorología"/>
      <sheetName val="Activos"/>
      <sheetName val="Hoja1"/>
      <sheetName val="Bienes 2004"/>
      <sheetName val="VNR"/>
      <sheetName val="VNR Líneas"/>
      <sheetName val="Compara Valor libros-vs-VNR"/>
      <sheetName val="VNR SE"/>
      <sheetName val="Inversión-Resumen"/>
      <sheetName val="Inversiones"/>
      <sheetName val="Retiros"/>
      <sheetName val="CND"/>
      <sheetName val="Informática"/>
      <sheetName val="Hoja2"/>
      <sheetName val="RRT"/>
      <sheetName val="#¡REF"/>
      <sheetName val="IMP-Ajuste-Fechas"/>
      <sheetName val="IMP-APROBADO"/>
      <sheetName val="Resumen Anual"/>
      <sheetName val="Resumen Anual (original)"/>
      <sheetName val="Justificacion"/>
      <sheetName val="Cuadro Resumen feb"/>
      <sheetName val="Liq Estamp.-Febrero2014"/>
      <sheetName val="Feb Estampilla Generación Final"/>
      <sheetName val="Estampilla Demanda Final"/>
      <sheetName val="AP Febrero Estampilla Postal"/>
      <sheetName val="ANALISIS 96 339"/>
      <sheetName val="Cap.Act. Año 1"/>
      <sheetName val="ESTAMP.-FEB 904"/>
      <sheetName val="Cargos Act. Año 1 (08)"/>
      <sheetName val="Cambio a SE"/>
      <sheetName val="Facturacion"/>
      <sheetName val="SEG ELEC GENERACION"/>
      <sheetName val="SEG ELECT DEMANDA"/>
      <sheetName val="LIQ SEG ELEC FEBRERO2014"/>
      <sheetName val=" LIQ DE ENERO 585"/>
      <sheetName val="SE Ajuste Parcial"/>
      <sheetName val="Balance Enero"/>
      <sheetName val="Balance Ajuste Parcial"/>
      <sheetName val="capacidades instaladas"/>
      <sheetName val="Ajuste Parcial Febrero"/>
      <sheetName val="Ajuste Parcial Enero"/>
      <sheetName val="M8"/>
      <sheetName val="Ajuste distibucion"/>
    </sheetNames>
    <sheetDataSet>
      <sheetData sheetId="0"/>
      <sheetData sheetId="1">
        <row r="14">
          <cell r="D14">
            <v>2000.9</v>
          </cell>
        </row>
      </sheetData>
      <sheetData sheetId="2"/>
      <sheetData sheetId="3"/>
      <sheetData sheetId="4">
        <row r="14">
          <cell r="D14">
            <v>2000.9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PT"/>
      <sheetName val="IPSPT"/>
      <sheetName val="IPCT"/>
      <sheetName val="ACTIVOS"/>
      <sheetName val="VNR"/>
      <sheetName val="ADMT%-OMT%"/>
      <sheetName val="RRT"/>
      <sheetName val="CND"/>
      <sheetName val="Hidromet.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>
        <row r="14">
          <cell r="D14">
            <v>7.85E-2</v>
          </cell>
        </row>
      </sheetData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B028F6-CE27-43D4-9B55-360403F3E28E}">
  <sheetPr>
    <pageSetUpPr fitToPage="1"/>
  </sheetPr>
  <dimension ref="A1:N279"/>
  <sheetViews>
    <sheetView zoomScale="85" zoomScaleNormal="85" workbookViewId="0">
      <selection activeCell="O28" sqref="O28"/>
    </sheetView>
  </sheetViews>
  <sheetFormatPr baseColWidth="10" defaultColWidth="8.6640625" defaultRowHeight="15" customHeight="1"/>
  <cols>
    <col min="1" max="1" width="66" style="38" customWidth="1"/>
    <col min="2" max="2" width="15" style="38" customWidth="1"/>
    <col min="3" max="3" width="8.6640625" style="38"/>
    <col min="4" max="4" width="11.44140625" style="38" customWidth="1"/>
    <col min="5" max="5" width="9.44140625" style="38" customWidth="1"/>
    <col min="6" max="6" width="9.6640625" style="38" bestFit="1" customWidth="1"/>
    <col min="7" max="7" width="8.6640625" style="38"/>
    <col min="8" max="8" width="25" style="38" customWidth="1"/>
    <col min="9" max="9" width="9.5546875" style="38" customWidth="1"/>
    <col min="10" max="10" width="8.6640625" style="38"/>
    <col min="11" max="11" width="15.6640625" style="38" customWidth="1"/>
    <col min="12" max="12" width="11.33203125" style="38" bestFit="1" customWidth="1"/>
    <col min="13" max="13" width="12.109375" style="38" customWidth="1"/>
    <col min="14" max="14" width="9.6640625" style="38" customWidth="1"/>
    <col min="15" max="15" width="26.5546875" style="38" bestFit="1" customWidth="1"/>
    <col min="16" max="16" width="29.33203125" style="38" bestFit="1" customWidth="1"/>
    <col min="17" max="26" width="6.6640625" style="38" customWidth="1"/>
    <col min="27" max="256" width="8.6640625" style="38"/>
    <col min="257" max="257" width="66" style="38" customWidth="1"/>
    <col min="258" max="258" width="15" style="38" customWidth="1"/>
    <col min="259" max="259" width="8.6640625" style="38"/>
    <col min="260" max="260" width="11.44140625" style="38" customWidth="1"/>
    <col min="261" max="261" width="9.44140625" style="38" customWidth="1"/>
    <col min="262" max="262" width="9.6640625" style="38" bestFit="1" customWidth="1"/>
    <col min="263" max="263" width="8.6640625" style="38"/>
    <col min="264" max="264" width="25" style="38" customWidth="1"/>
    <col min="265" max="265" width="9.5546875" style="38" customWidth="1"/>
    <col min="266" max="266" width="8.6640625" style="38"/>
    <col min="267" max="267" width="15.6640625" style="38" customWidth="1"/>
    <col min="268" max="268" width="11.33203125" style="38" bestFit="1" customWidth="1"/>
    <col min="269" max="269" width="12.109375" style="38" customWidth="1"/>
    <col min="270" max="270" width="9.6640625" style="38" customWidth="1"/>
    <col min="271" max="271" width="26.5546875" style="38" bestFit="1" customWidth="1"/>
    <col min="272" max="272" width="29.33203125" style="38" bestFit="1" customWidth="1"/>
    <col min="273" max="282" width="6.6640625" style="38" customWidth="1"/>
    <col min="283" max="512" width="8.6640625" style="38"/>
    <col min="513" max="513" width="66" style="38" customWidth="1"/>
    <col min="514" max="514" width="15" style="38" customWidth="1"/>
    <col min="515" max="515" width="8.6640625" style="38"/>
    <col min="516" max="516" width="11.44140625" style="38" customWidth="1"/>
    <col min="517" max="517" width="9.44140625" style="38" customWidth="1"/>
    <col min="518" max="518" width="9.6640625" style="38" bestFit="1" customWidth="1"/>
    <col min="519" max="519" width="8.6640625" style="38"/>
    <col min="520" max="520" width="25" style="38" customWidth="1"/>
    <col min="521" max="521" width="9.5546875" style="38" customWidth="1"/>
    <col min="522" max="522" width="8.6640625" style="38"/>
    <col min="523" max="523" width="15.6640625" style="38" customWidth="1"/>
    <col min="524" max="524" width="11.33203125" style="38" bestFit="1" customWidth="1"/>
    <col min="525" max="525" width="12.109375" style="38" customWidth="1"/>
    <col min="526" max="526" width="9.6640625" style="38" customWidth="1"/>
    <col min="527" max="527" width="26.5546875" style="38" bestFit="1" customWidth="1"/>
    <col min="528" max="528" width="29.33203125" style="38" bestFit="1" customWidth="1"/>
    <col min="529" max="538" width="6.6640625" style="38" customWidth="1"/>
    <col min="539" max="768" width="8.6640625" style="38"/>
    <col min="769" max="769" width="66" style="38" customWidth="1"/>
    <col min="770" max="770" width="15" style="38" customWidth="1"/>
    <col min="771" max="771" width="8.6640625" style="38"/>
    <col min="772" max="772" width="11.44140625" style="38" customWidth="1"/>
    <col min="773" max="773" width="9.44140625" style="38" customWidth="1"/>
    <col min="774" max="774" width="9.6640625" style="38" bestFit="1" customWidth="1"/>
    <col min="775" max="775" width="8.6640625" style="38"/>
    <col min="776" max="776" width="25" style="38" customWidth="1"/>
    <col min="777" max="777" width="9.5546875" style="38" customWidth="1"/>
    <col min="778" max="778" width="8.6640625" style="38"/>
    <col min="779" max="779" width="15.6640625" style="38" customWidth="1"/>
    <col min="780" max="780" width="11.33203125" style="38" bestFit="1" customWidth="1"/>
    <col min="781" max="781" width="12.109375" style="38" customWidth="1"/>
    <col min="782" max="782" width="9.6640625" style="38" customWidth="1"/>
    <col min="783" max="783" width="26.5546875" style="38" bestFit="1" customWidth="1"/>
    <col min="784" max="784" width="29.33203125" style="38" bestFit="1" customWidth="1"/>
    <col min="785" max="794" width="6.6640625" style="38" customWidth="1"/>
    <col min="795" max="1024" width="8.6640625" style="38"/>
    <col min="1025" max="1025" width="66" style="38" customWidth="1"/>
    <col min="1026" max="1026" width="15" style="38" customWidth="1"/>
    <col min="1027" max="1027" width="8.6640625" style="38"/>
    <col min="1028" max="1028" width="11.44140625" style="38" customWidth="1"/>
    <col min="1029" max="1029" width="9.44140625" style="38" customWidth="1"/>
    <col min="1030" max="1030" width="9.6640625" style="38" bestFit="1" customWidth="1"/>
    <col min="1031" max="1031" width="8.6640625" style="38"/>
    <col min="1032" max="1032" width="25" style="38" customWidth="1"/>
    <col min="1033" max="1033" width="9.5546875" style="38" customWidth="1"/>
    <col min="1034" max="1034" width="8.6640625" style="38"/>
    <col min="1035" max="1035" width="15.6640625" style="38" customWidth="1"/>
    <col min="1036" max="1036" width="11.33203125" style="38" bestFit="1" customWidth="1"/>
    <col min="1037" max="1037" width="12.109375" style="38" customWidth="1"/>
    <col min="1038" max="1038" width="9.6640625" style="38" customWidth="1"/>
    <col min="1039" max="1039" width="26.5546875" style="38" bestFit="1" customWidth="1"/>
    <col min="1040" max="1040" width="29.33203125" style="38" bestFit="1" customWidth="1"/>
    <col min="1041" max="1050" width="6.6640625" style="38" customWidth="1"/>
    <col min="1051" max="1280" width="8.6640625" style="38"/>
    <col min="1281" max="1281" width="66" style="38" customWidth="1"/>
    <col min="1282" max="1282" width="15" style="38" customWidth="1"/>
    <col min="1283" max="1283" width="8.6640625" style="38"/>
    <col min="1284" max="1284" width="11.44140625" style="38" customWidth="1"/>
    <col min="1285" max="1285" width="9.44140625" style="38" customWidth="1"/>
    <col min="1286" max="1286" width="9.6640625" style="38" bestFit="1" customWidth="1"/>
    <col min="1287" max="1287" width="8.6640625" style="38"/>
    <col min="1288" max="1288" width="25" style="38" customWidth="1"/>
    <col min="1289" max="1289" width="9.5546875" style="38" customWidth="1"/>
    <col min="1290" max="1290" width="8.6640625" style="38"/>
    <col min="1291" max="1291" width="15.6640625" style="38" customWidth="1"/>
    <col min="1292" max="1292" width="11.33203125" style="38" bestFit="1" customWidth="1"/>
    <col min="1293" max="1293" width="12.109375" style="38" customWidth="1"/>
    <col min="1294" max="1294" width="9.6640625" style="38" customWidth="1"/>
    <col min="1295" max="1295" width="26.5546875" style="38" bestFit="1" customWidth="1"/>
    <col min="1296" max="1296" width="29.33203125" style="38" bestFit="1" customWidth="1"/>
    <col min="1297" max="1306" width="6.6640625" style="38" customWidth="1"/>
    <col min="1307" max="1536" width="8.6640625" style="38"/>
    <col min="1537" max="1537" width="66" style="38" customWidth="1"/>
    <col min="1538" max="1538" width="15" style="38" customWidth="1"/>
    <col min="1539" max="1539" width="8.6640625" style="38"/>
    <col min="1540" max="1540" width="11.44140625" style="38" customWidth="1"/>
    <col min="1541" max="1541" width="9.44140625" style="38" customWidth="1"/>
    <col min="1542" max="1542" width="9.6640625" style="38" bestFit="1" customWidth="1"/>
    <col min="1543" max="1543" width="8.6640625" style="38"/>
    <col min="1544" max="1544" width="25" style="38" customWidth="1"/>
    <col min="1545" max="1545" width="9.5546875" style="38" customWidth="1"/>
    <col min="1546" max="1546" width="8.6640625" style="38"/>
    <col min="1547" max="1547" width="15.6640625" style="38" customWidth="1"/>
    <col min="1548" max="1548" width="11.33203125" style="38" bestFit="1" customWidth="1"/>
    <col min="1549" max="1549" width="12.109375" style="38" customWidth="1"/>
    <col min="1550" max="1550" width="9.6640625" style="38" customWidth="1"/>
    <col min="1551" max="1551" width="26.5546875" style="38" bestFit="1" customWidth="1"/>
    <col min="1552" max="1552" width="29.33203125" style="38" bestFit="1" customWidth="1"/>
    <col min="1553" max="1562" width="6.6640625" style="38" customWidth="1"/>
    <col min="1563" max="1792" width="8.6640625" style="38"/>
    <col min="1793" max="1793" width="66" style="38" customWidth="1"/>
    <col min="1794" max="1794" width="15" style="38" customWidth="1"/>
    <col min="1795" max="1795" width="8.6640625" style="38"/>
    <col min="1796" max="1796" width="11.44140625" style="38" customWidth="1"/>
    <col min="1797" max="1797" width="9.44140625" style="38" customWidth="1"/>
    <col min="1798" max="1798" width="9.6640625" style="38" bestFit="1" customWidth="1"/>
    <col min="1799" max="1799" width="8.6640625" style="38"/>
    <col min="1800" max="1800" width="25" style="38" customWidth="1"/>
    <col min="1801" max="1801" width="9.5546875" style="38" customWidth="1"/>
    <col min="1802" max="1802" width="8.6640625" style="38"/>
    <col min="1803" max="1803" width="15.6640625" style="38" customWidth="1"/>
    <col min="1804" max="1804" width="11.33203125" style="38" bestFit="1" customWidth="1"/>
    <col min="1805" max="1805" width="12.109375" style="38" customWidth="1"/>
    <col min="1806" max="1806" width="9.6640625" style="38" customWidth="1"/>
    <col min="1807" max="1807" width="26.5546875" style="38" bestFit="1" customWidth="1"/>
    <col min="1808" max="1808" width="29.33203125" style="38" bestFit="1" customWidth="1"/>
    <col min="1809" max="1818" width="6.6640625" style="38" customWidth="1"/>
    <col min="1819" max="2048" width="8.6640625" style="38"/>
    <col min="2049" max="2049" width="66" style="38" customWidth="1"/>
    <col min="2050" max="2050" width="15" style="38" customWidth="1"/>
    <col min="2051" max="2051" width="8.6640625" style="38"/>
    <col min="2052" max="2052" width="11.44140625" style="38" customWidth="1"/>
    <col min="2053" max="2053" width="9.44140625" style="38" customWidth="1"/>
    <col min="2054" max="2054" width="9.6640625" style="38" bestFit="1" customWidth="1"/>
    <col min="2055" max="2055" width="8.6640625" style="38"/>
    <col min="2056" max="2056" width="25" style="38" customWidth="1"/>
    <col min="2057" max="2057" width="9.5546875" style="38" customWidth="1"/>
    <col min="2058" max="2058" width="8.6640625" style="38"/>
    <col min="2059" max="2059" width="15.6640625" style="38" customWidth="1"/>
    <col min="2060" max="2060" width="11.33203125" style="38" bestFit="1" customWidth="1"/>
    <col min="2061" max="2061" width="12.109375" style="38" customWidth="1"/>
    <col min="2062" max="2062" width="9.6640625" style="38" customWidth="1"/>
    <col min="2063" max="2063" width="26.5546875" style="38" bestFit="1" customWidth="1"/>
    <col min="2064" max="2064" width="29.33203125" style="38" bestFit="1" customWidth="1"/>
    <col min="2065" max="2074" width="6.6640625" style="38" customWidth="1"/>
    <col min="2075" max="2304" width="8.6640625" style="38"/>
    <col min="2305" max="2305" width="66" style="38" customWidth="1"/>
    <col min="2306" max="2306" width="15" style="38" customWidth="1"/>
    <col min="2307" max="2307" width="8.6640625" style="38"/>
    <col min="2308" max="2308" width="11.44140625" style="38" customWidth="1"/>
    <col min="2309" max="2309" width="9.44140625" style="38" customWidth="1"/>
    <col min="2310" max="2310" width="9.6640625" style="38" bestFit="1" customWidth="1"/>
    <col min="2311" max="2311" width="8.6640625" style="38"/>
    <col min="2312" max="2312" width="25" style="38" customWidth="1"/>
    <col min="2313" max="2313" width="9.5546875" style="38" customWidth="1"/>
    <col min="2314" max="2314" width="8.6640625" style="38"/>
    <col min="2315" max="2315" width="15.6640625" style="38" customWidth="1"/>
    <col min="2316" max="2316" width="11.33203125" style="38" bestFit="1" customWidth="1"/>
    <col min="2317" max="2317" width="12.109375" style="38" customWidth="1"/>
    <col min="2318" max="2318" width="9.6640625" style="38" customWidth="1"/>
    <col min="2319" max="2319" width="26.5546875" style="38" bestFit="1" customWidth="1"/>
    <col min="2320" max="2320" width="29.33203125" style="38" bestFit="1" customWidth="1"/>
    <col min="2321" max="2330" width="6.6640625" style="38" customWidth="1"/>
    <col min="2331" max="2560" width="8.6640625" style="38"/>
    <col min="2561" max="2561" width="66" style="38" customWidth="1"/>
    <col min="2562" max="2562" width="15" style="38" customWidth="1"/>
    <col min="2563" max="2563" width="8.6640625" style="38"/>
    <col min="2564" max="2564" width="11.44140625" style="38" customWidth="1"/>
    <col min="2565" max="2565" width="9.44140625" style="38" customWidth="1"/>
    <col min="2566" max="2566" width="9.6640625" style="38" bestFit="1" customWidth="1"/>
    <col min="2567" max="2567" width="8.6640625" style="38"/>
    <col min="2568" max="2568" width="25" style="38" customWidth="1"/>
    <col min="2569" max="2569" width="9.5546875" style="38" customWidth="1"/>
    <col min="2570" max="2570" width="8.6640625" style="38"/>
    <col min="2571" max="2571" width="15.6640625" style="38" customWidth="1"/>
    <col min="2572" max="2572" width="11.33203125" style="38" bestFit="1" customWidth="1"/>
    <col min="2573" max="2573" width="12.109375" style="38" customWidth="1"/>
    <col min="2574" max="2574" width="9.6640625" style="38" customWidth="1"/>
    <col min="2575" max="2575" width="26.5546875" style="38" bestFit="1" customWidth="1"/>
    <col min="2576" max="2576" width="29.33203125" style="38" bestFit="1" customWidth="1"/>
    <col min="2577" max="2586" width="6.6640625" style="38" customWidth="1"/>
    <col min="2587" max="2816" width="8.6640625" style="38"/>
    <col min="2817" max="2817" width="66" style="38" customWidth="1"/>
    <col min="2818" max="2818" width="15" style="38" customWidth="1"/>
    <col min="2819" max="2819" width="8.6640625" style="38"/>
    <col min="2820" max="2820" width="11.44140625" style="38" customWidth="1"/>
    <col min="2821" max="2821" width="9.44140625" style="38" customWidth="1"/>
    <col min="2822" max="2822" width="9.6640625" style="38" bestFit="1" customWidth="1"/>
    <col min="2823" max="2823" width="8.6640625" style="38"/>
    <col min="2824" max="2824" width="25" style="38" customWidth="1"/>
    <col min="2825" max="2825" width="9.5546875" style="38" customWidth="1"/>
    <col min="2826" max="2826" width="8.6640625" style="38"/>
    <col min="2827" max="2827" width="15.6640625" style="38" customWidth="1"/>
    <col min="2828" max="2828" width="11.33203125" style="38" bestFit="1" customWidth="1"/>
    <col min="2829" max="2829" width="12.109375" style="38" customWidth="1"/>
    <col min="2830" max="2830" width="9.6640625" style="38" customWidth="1"/>
    <col min="2831" max="2831" width="26.5546875" style="38" bestFit="1" customWidth="1"/>
    <col min="2832" max="2832" width="29.33203125" style="38" bestFit="1" customWidth="1"/>
    <col min="2833" max="2842" width="6.6640625" style="38" customWidth="1"/>
    <col min="2843" max="3072" width="8.6640625" style="38"/>
    <col min="3073" max="3073" width="66" style="38" customWidth="1"/>
    <col min="3074" max="3074" width="15" style="38" customWidth="1"/>
    <col min="3075" max="3075" width="8.6640625" style="38"/>
    <col min="3076" max="3076" width="11.44140625" style="38" customWidth="1"/>
    <col min="3077" max="3077" width="9.44140625" style="38" customWidth="1"/>
    <col min="3078" max="3078" width="9.6640625" style="38" bestFit="1" customWidth="1"/>
    <col min="3079" max="3079" width="8.6640625" style="38"/>
    <col min="3080" max="3080" width="25" style="38" customWidth="1"/>
    <col min="3081" max="3081" width="9.5546875" style="38" customWidth="1"/>
    <col min="3082" max="3082" width="8.6640625" style="38"/>
    <col min="3083" max="3083" width="15.6640625" style="38" customWidth="1"/>
    <col min="3084" max="3084" width="11.33203125" style="38" bestFit="1" customWidth="1"/>
    <col min="3085" max="3085" width="12.109375" style="38" customWidth="1"/>
    <col min="3086" max="3086" width="9.6640625" style="38" customWidth="1"/>
    <col min="3087" max="3087" width="26.5546875" style="38" bestFit="1" customWidth="1"/>
    <col min="3088" max="3088" width="29.33203125" style="38" bestFit="1" customWidth="1"/>
    <col min="3089" max="3098" width="6.6640625" style="38" customWidth="1"/>
    <col min="3099" max="3328" width="8.6640625" style="38"/>
    <col min="3329" max="3329" width="66" style="38" customWidth="1"/>
    <col min="3330" max="3330" width="15" style="38" customWidth="1"/>
    <col min="3331" max="3331" width="8.6640625" style="38"/>
    <col min="3332" max="3332" width="11.44140625" style="38" customWidth="1"/>
    <col min="3333" max="3333" width="9.44140625" style="38" customWidth="1"/>
    <col min="3334" max="3334" width="9.6640625" style="38" bestFit="1" customWidth="1"/>
    <col min="3335" max="3335" width="8.6640625" style="38"/>
    <col min="3336" max="3336" width="25" style="38" customWidth="1"/>
    <col min="3337" max="3337" width="9.5546875" style="38" customWidth="1"/>
    <col min="3338" max="3338" width="8.6640625" style="38"/>
    <col min="3339" max="3339" width="15.6640625" style="38" customWidth="1"/>
    <col min="3340" max="3340" width="11.33203125" style="38" bestFit="1" customWidth="1"/>
    <col min="3341" max="3341" width="12.109375" style="38" customWidth="1"/>
    <col min="3342" max="3342" width="9.6640625" style="38" customWidth="1"/>
    <col min="3343" max="3343" width="26.5546875" style="38" bestFit="1" customWidth="1"/>
    <col min="3344" max="3344" width="29.33203125" style="38" bestFit="1" customWidth="1"/>
    <col min="3345" max="3354" width="6.6640625" style="38" customWidth="1"/>
    <col min="3355" max="3584" width="8.6640625" style="38"/>
    <col min="3585" max="3585" width="66" style="38" customWidth="1"/>
    <col min="3586" max="3586" width="15" style="38" customWidth="1"/>
    <col min="3587" max="3587" width="8.6640625" style="38"/>
    <col min="3588" max="3588" width="11.44140625" style="38" customWidth="1"/>
    <col min="3589" max="3589" width="9.44140625" style="38" customWidth="1"/>
    <col min="3590" max="3590" width="9.6640625" style="38" bestFit="1" customWidth="1"/>
    <col min="3591" max="3591" width="8.6640625" style="38"/>
    <col min="3592" max="3592" width="25" style="38" customWidth="1"/>
    <col min="3593" max="3593" width="9.5546875" style="38" customWidth="1"/>
    <col min="3594" max="3594" width="8.6640625" style="38"/>
    <col min="3595" max="3595" width="15.6640625" style="38" customWidth="1"/>
    <col min="3596" max="3596" width="11.33203125" style="38" bestFit="1" customWidth="1"/>
    <col min="3597" max="3597" width="12.109375" style="38" customWidth="1"/>
    <col min="3598" max="3598" width="9.6640625" style="38" customWidth="1"/>
    <col min="3599" max="3599" width="26.5546875" style="38" bestFit="1" customWidth="1"/>
    <col min="3600" max="3600" width="29.33203125" style="38" bestFit="1" customWidth="1"/>
    <col min="3601" max="3610" width="6.6640625" style="38" customWidth="1"/>
    <col min="3611" max="3840" width="8.6640625" style="38"/>
    <col min="3841" max="3841" width="66" style="38" customWidth="1"/>
    <col min="3842" max="3842" width="15" style="38" customWidth="1"/>
    <col min="3843" max="3843" width="8.6640625" style="38"/>
    <col min="3844" max="3844" width="11.44140625" style="38" customWidth="1"/>
    <col min="3845" max="3845" width="9.44140625" style="38" customWidth="1"/>
    <col min="3846" max="3846" width="9.6640625" style="38" bestFit="1" customWidth="1"/>
    <col min="3847" max="3847" width="8.6640625" style="38"/>
    <col min="3848" max="3848" width="25" style="38" customWidth="1"/>
    <col min="3849" max="3849" width="9.5546875" style="38" customWidth="1"/>
    <col min="3850" max="3850" width="8.6640625" style="38"/>
    <col min="3851" max="3851" width="15.6640625" style="38" customWidth="1"/>
    <col min="3852" max="3852" width="11.33203125" style="38" bestFit="1" customWidth="1"/>
    <col min="3853" max="3853" width="12.109375" style="38" customWidth="1"/>
    <col min="3854" max="3854" width="9.6640625" style="38" customWidth="1"/>
    <col min="3855" max="3855" width="26.5546875" style="38" bestFit="1" customWidth="1"/>
    <col min="3856" max="3856" width="29.33203125" style="38" bestFit="1" customWidth="1"/>
    <col min="3857" max="3866" width="6.6640625" style="38" customWidth="1"/>
    <col min="3867" max="4096" width="8.6640625" style="38"/>
    <col min="4097" max="4097" width="66" style="38" customWidth="1"/>
    <col min="4098" max="4098" width="15" style="38" customWidth="1"/>
    <col min="4099" max="4099" width="8.6640625" style="38"/>
    <col min="4100" max="4100" width="11.44140625" style="38" customWidth="1"/>
    <col min="4101" max="4101" width="9.44140625" style="38" customWidth="1"/>
    <col min="4102" max="4102" width="9.6640625" style="38" bestFit="1" customWidth="1"/>
    <col min="4103" max="4103" width="8.6640625" style="38"/>
    <col min="4104" max="4104" width="25" style="38" customWidth="1"/>
    <col min="4105" max="4105" width="9.5546875" style="38" customWidth="1"/>
    <col min="4106" max="4106" width="8.6640625" style="38"/>
    <col min="4107" max="4107" width="15.6640625" style="38" customWidth="1"/>
    <col min="4108" max="4108" width="11.33203125" style="38" bestFit="1" customWidth="1"/>
    <col min="4109" max="4109" width="12.109375" style="38" customWidth="1"/>
    <col min="4110" max="4110" width="9.6640625" style="38" customWidth="1"/>
    <col min="4111" max="4111" width="26.5546875" style="38" bestFit="1" customWidth="1"/>
    <col min="4112" max="4112" width="29.33203125" style="38" bestFit="1" customWidth="1"/>
    <col min="4113" max="4122" width="6.6640625" style="38" customWidth="1"/>
    <col min="4123" max="4352" width="8.6640625" style="38"/>
    <col min="4353" max="4353" width="66" style="38" customWidth="1"/>
    <col min="4354" max="4354" width="15" style="38" customWidth="1"/>
    <col min="4355" max="4355" width="8.6640625" style="38"/>
    <col min="4356" max="4356" width="11.44140625" style="38" customWidth="1"/>
    <col min="4357" max="4357" width="9.44140625" style="38" customWidth="1"/>
    <col min="4358" max="4358" width="9.6640625" style="38" bestFit="1" customWidth="1"/>
    <col min="4359" max="4359" width="8.6640625" style="38"/>
    <col min="4360" max="4360" width="25" style="38" customWidth="1"/>
    <col min="4361" max="4361" width="9.5546875" style="38" customWidth="1"/>
    <col min="4362" max="4362" width="8.6640625" style="38"/>
    <col min="4363" max="4363" width="15.6640625" style="38" customWidth="1"/>
    <col min="4364" max="4364" width="11.33203125" style="38" bestFit="1" customWidth="1"/>
    <col min="4365" max="4365" width="12.109375" style="38" customWidth="1"/>
    <col min="4366" max="4366" width="9.6640625" style="38" customWidth="1"/>
    <col min="4367" max="4367" width="26.5546875" style="38" bestFit="1" customWidth="1"/>
    <col min="4368" max="4368" width="29.33203125" style="38" bestFit="1" customWidth="1"/>
    <col min="4369" max="4378" width="6.6640625" style="38" customWidth="1"/>
    <col min="4379" max="4608" width="8.6640625" style="38"/>
    <col min="4609" max="4609" width="66" style="38" customWidth="1"/>
    <col min="4610" max="4610" width="15" style="38" customWidth="1"/>
    <col min="4611" max="4611" width="8.6640625" style="38"/>
    <col min="4612" max="4612" width="11.44140625" style="38" customWidth="1"/>
    <col min="4613" max="4613" width="9.44140625" style="38" customWidth="1"/>
    <col min="4614" max="4614" width="9.6640625" style="38" bestFit="1" customWidth="1"/>
    <col min="4615" max="4615" width="8.6640625" style="38"/>
    <col min="4616" max="4616" width="25" style="38" customWidth="1"/>
    <col min="4617" max="4617" width="9.5546875" style="38" customWidth="1"/>
    <col min="4618" max="4618" width="8.6640625" style="38"/>
    <col min="4619" max="4619" width="15.6640625" style="38" customWidth="1"/>
    <col min="4620" max="4620" width="11.33203125" style="38" bestFit="1" customWidth="1"/>
    <col min="4621" max="4621" width="12.109375" style="38" customWidth="1"/>
    <col min="4622" max="4622" width="9.6640625" style="38" customWidth="1"/>
    <col min="4623" max="4623" width="26.5546875" style="38" bestFit="1" customWidth="1"/>
    <col min="4624" max="4624" width="29.33203125" style="38" bestFit="1" customWidth="1"/>
    <col min="4625" max="4634" width="6.6640625" style="38" customWidth="1"/>
    <col min="4635" max="4864" width="8.6640625" style="38"/>
    <col min="4865" max="4865" width="66" style="38" customWidth="1"/>
    <col min="4866" max="4866" width="15" style="38" customWidth="1"/>
    <col min="4867" max="4867" width="8.6640625" style="38"/>
    <col min="4868" max="4868" width="11.44140625" style="38" customWidth="1"/>
    <col min="4869" max="4869" width="9.44140625" style="38" customWidth="1"/>
    <col min="4870" max="4870" width="9.6640625" style="38" bestFit="1" customWidth="1"/>
    <col min="4871" max="4871" width="8.6640625" style="38"/>
    <col min="4872" max="4872" width="25" style="38" customWidth="1"/>
    <col min="4873" max="4873" width="9.5546875" style="38" customWidth="1"/>
    <col min="4874" max="4874" width="8.6640625" style="38"/>
    <col min="4875" max="4875" width="15.6640625" style="38" customWidth="1"/>
    <col min="4876" max="4876" width="11.33203125" style="38" bestFit="1" customWidth="1"/>
    <col min="4877" max="4877" width="12.109375" style="38" customWidth="1"/>
    <col min="4878" max="4878" width="9.6640625" style="38" customWidth="1"/>
    <col min="4879" max="4879" width="26.5546875" style="38" bestFit="1" customWidth="1"/>
    <col min="4880" max="4880" width="29.33203125" style="38" bestFit="1" customWidth="1"/>
    <col min="4881" max="4890" width="6.6640625" style="38" customWidth="1"/>
    <col min="4891" max="5120" width="8.6640625" style="38"/>
    <col min="5121" max="5121" width="66" style="38" customWidth="1"/>
    <col min="5122" max="5122" width="15" style="38" customWidth="1"/>
    <col min="5123" max="5123" width="8.6640625" style="38"/>
    <col min="5124" max="5124" width="11.44140625" style="38" customWidth="1"/>
    <col min="5125" max="5125" width="9.44140625" style="38" customWidth="1"/>
    <col min="5126" max="5126" width="9.6640625" style="38" bestFit="1" customWidth="1"/>
    <col min="5127" max="5127" width="8.6640625" style="38"/>
    <col min="5128" max="5128" width="25" style="38" customWidth="1"/>
    <col min="5129" max="5129" width="9.5546875" style="38" customWidth="1"/>
    <col min="5130" max="5130" width="8.6640625" style="38"/>
    <col min="5131" max="5131" width="15.6640625" style="38" customWidth="1"/>
    <col min="5132" max="5132" width="11.33203125" style="38" bestFit="1" customWidth="1"/>
    <col min="5133" max="5133" width="12.109375" style="38" customWidth="1"/>
    <col min="5134" max="5134" width="9.6640625" style="38" customWidth="1"/>
    <col min="5135" max="5135" width="26.5546875" style="38" bestFit="1" customWidth="1"/>
    <col min="5136" max="5136" width="29.33203125" style="38" bestFit="1" customWidth="1"/>
    <col min="5137" max="5146" width="6.6640625" style="38" customWidth="1"/>
    <col min="5147" max="5376" width="8.6640625" style="38"/>
    <col min="5377" max="5377" width="66" style="38" customWidth="1"/>
    <col min="5378" max="5378" width="15" style="38" customWidth="1"/>
    <col min="5379" max="5379" width="8.6640625" style="38"/>
    <col min="5380" max="5380" width="11.44140625" style="38" customWidth="1"/>
    <col min="5381" max="5381" width="9.44140625" style="38" customWidth="1"/>
    <col min="5382" max="5382" width="9.6640625" style="38" bestFit="1" customWidth="1"/>
    <col min="5383" max="5383" width="8.6640625" style="38"/>
    <col min="5384" max="5384" width="25" style="38" customWidth="1"/>
    <col min="5385" max="5385" width="9.5546875" style="38" customWidth="1"/>
    <col min="5386" max="5386" width="8.6640625" style="38"/>
    <col min="5387" max="5387" width="15.6640625" style="38" customWidth="1"/>
    <col min="5388" max="5388" width="11.33203125" style="38" bestFit="1" customWidth="1"/>
    <col min="5389" max="5389" width="12.109375" style="38" customWidth="1"/>
    <col min="5390" max="5390" width="9.6640625" style="38" customWidth="1"/>
    <col min="5391" max="5391" width="26.5546875" style="38" bestFit="1" customWidth="1"/>
    <col min="5392" max="5392" width="29.33203125" style="38" bestFit="1" customWidth="1"/>
    <col min="5393" max="5402" width="6.6640625" style="38" customWidth="1"/>
    <col min="5403" max="5632" width="8.6640625" style="38"/>
    <col min="5633" max="5633" width="66" style="38" customWidth="1"/>
    <col min="5634" max="5634" width="15" style="38" customWidth="1"/>
    <col min="5635" max="5635" width="8.6640625" style="38"/>
    <col min="5636" max="5636" width="11.44140625" style="38" customWidth="1"/>
    <col min="5637" max="5637" width="9.44140625" style="38" customWidth="1"/>
    <col min="5638" max="5638" width="9.6640625" style="38" bestFit="1" customWidth="1"/>
    <col min="5639" max="5639" width="8.6640625" style="38"/>
    <col min="5640" max="5640" width="25" style="38" customWidth="1"/>
    <col min="5641" max="5641" width="9.5546875" style="38" customWidth="1"/>
    <col min="5642" max="5642" width="8.6640625" style="38"/>
    <col min="5643" max="5643" width="15.6640625" style="38" customWidth="1"/>
    <col min="5644" max="5644" width="11.33203125" style="38" bestFit="1" customWidth="1"/>
    <col min="5645" max="5645" width="12.109375" style="38" customWidth="1"/>
    <col min="5646" max="5646" width="9.6640625" style="38" customWidth="1"/>
    <col min="5647" max="5647" width="26.5546875" style="38" bestFit="1" customWidth="1"/>
    <col min="5648" max="5648" width="29.33203125" style="38" bestFit="1" customWidth="1"/>
    <col min="5649" max="5658" width="6.6640625" style="38" customWidth="1"/>
    <col min="5659" max="5888" width="8.6640625" style="38"/>
    <col min="5889" max="5889" width="66" style="38" customWidth="1"/>
    <col min="5890" max="5890" width="15" style="38" customWidth="1"/>
    <col min="5891" max="5891" width="8.6640625" style="38"/>
    <col min="5892" max="5892" width="11.44140625" style="38" customWidth="1"/>
    <col min="5893" max="5893" width="9.44140625" style="38" customWidth="1"/>
    <col min="5894" max="5894" width="9.6640625" style="38" bestFit="1" customWidth="1"/>
    <col min="5895" max="5895" width="8.6640625" style="38"/>
    <col min="5896" max="5896" width="25" style="38" customWidth="1"/>
    <col min="5897" max="5897" width="9.5546875" style="38" customWidth="1"/>
    <col min="5898" max="5898" width="8.6640625" style="38"/>
    <col min="5899" max="5899" width="15.6640625" style="38" customWidth="1"/>
    <col min="5900" max="5900" width="11.33203125" style="38" bestFit="1" customWidth="1"/>
    <col min="5901" max="5901" width="12.109375" style="38" customWidth="1"/>
    <col min="5902" max="5902" width="9.6640625" style="38" customWidth="1"/>
    <col min="5903" max="5903" width="26.5546875" style="38" bestFit="1" customWidth="1"/>
    <col min="5904" max="5904" width="29.33203125" style="38" bestFit="1" customWidth="1"/>
    <col min="5905" max="5914" width="6.6640625" style="38" customWidth="1"/>
    <col min="5915" max="6144" width="8.6640625" style="38"/>
    <col min="6145" max="6145" width="66" style="38" customWidth="1"/>
    <col min="6146" max="6146" width="15" style="38" customWidth="1"/>
    <col min="6147" max="6147" width="8.6640625" style="38"/>
    <col min="6148" max="6148" width="11.44140625" style="38" customWidth="1"/>
    <col min="6149" max="6149" width="9.44140625" style="38" customWidth="1"/>
    <col min="6150" max="6150" width="9.6640625" style="38" bestFit="1" customWidth="1"/>
    <col min="6151" max="6151" width="8.6640625" style="38"/>
    <col min="6152" max="6152" width="25" style="38" customWidth="1"/>
    <col min="6153" max="6153" width="9.5546875" style="38" customWidth="1"/>
    <col min="6154" max="6154" width="8.6640625" style="38"/>
    <col min="6155" max="6155" width="15.6640625" style="38" customWidth="1"/>
    <col min="6156" max="6156" width="11.33203125" style="38" bestFit="1" customWidth="1"/>
    <col min="6157" max="6157" width="12.109375" style="38" customWidth="1"/>
    <col min="6158" max="6158" width="9.6640625" style="38" customWidth="1"/>
    <col min="6159" max="6159" width="26.5546875" style="38" bestFit="1" customWidth="1"/>
    <col min="6160" max="6160" width="29.33203125" style="38" bestFit="1" customWidth="1"/>
    <col min="6161" max="6170" width="6.6640625" style="38" customWidth="1"/>
    <col min="6171" max="6400" width="8.6640625" style="38"/>
    <col min="6401" max="6401" width="66" style="38" customWidth="1"/>
    <col min="6402" max="6402" width="15" style="38" customWidth="1"/>
    <col min="6403" max="6403" width="8.6640625" style="38"/>
    <col min="6404" max="6404" width="11.44140625" style="38" customWidth="1"/>
    <col min="6405" max="6405" width="9.44140625" style="38" customWidth="1"/>
    <col min="6406" max="6406" width="9.6640625" style="38" bestFit="1" customWidth="1"/>
    <col min="6407" max="6407" width="8.6640625" style="38"/>
    <col min="6408" max="6408" width="25" style="38" customWidth="1"/>
    <col min="6409" max="6409" width="9.5546875" style="38" customWidth="1"/>
    <col min="6410" max="6410" width="8.6640625" style="38"/>
    <col min="6411" max="6411" width="15.6640625" style="38" customWidth="1"/>
    <col min="6412" max="6412" width="11.33203125" style="38" bestFit="1" customWidth="1"/>
    <col min="6413" max="6413" width="12.109375" style="38" customWidth="1"/>
    <col min="6414" max="6414" width="9.6640625" style="38" customWidth="1"/>
    <col min="6415" max="6415" width="26.5546875" style="38" bestFit="1" customWidth="1"/>
    <col min="6416" max="6416" width="29.33203125" style="38" bestFit="1" customWidth="1"/>
    <col min="6417" max="6426" width="6.6640625" style="38" customWidth="1"/>
    <col min="6427" max="6656" width="8.6640625" style="38"/>
    <col min="6657" max="6657" width="66" style="38" customWidth="1"/>
    <col min="6658" max="6658" width="15" style="38" customWidth="1"/>
    <col min="6659" max="6659" width="8.6640625" style="38"/>
    <col min="6660" max="6660" width="11.44140625" style="38" customWidth="1"/>
    <col min="6661" max="6661" width="9.44140625" style="38" customWidth="1"/>
    <col min="6662" max="6662" width="9.6640625" style="38" bestFit="1" customWidth="1"/>
    <col min="6663" max="6663" width="8.6640625" style="38"/>
    <col min="6664" max="6664" width="25" style="38" customWidth="1"/>
    <col min="6665" max="6665" width="9.5546875" style="38" customWidth="1"/>
    <col min="6666" max="6666" width="8.6640625" style="38"/>
    <col min="6667" max="6667" width="15.6640625" style="38" customWidth="1"/>
    <col min="6668" max="6668" width="11.33203125" style="38" bestFit="1" customWidth="1"/>
    <col min="6669" max="6669" width="12.109375" style="38" customWidth="1"/>
    <col min="6670" max="6670" width="9.6640625" style="38" customWidth="1"/>
    <col min="6671" max="6671" width="26.5546875" style="38" bestFit="1" customWidth="1"/>
    <col min="6672" max="6672" width="29.33203125" style="38" bestFit="1" customWidth="1"/>
    <col min="6673" max="6682" width="6.6640625" style="38" customWidth="1"/>
    <col min="6683" max="6912" width="8.6640625" style="38"/>
    <col min="6913" max="6913" width="66" style="38" customWidth="1"/>
    <col min="6914" max="6914" width="15" style="38" customWidth="1"/>
    <col min="6915" max="6915" width="8.6640625" style="38"/>
    <col min="6916" max="6916" width="11.44140625" style="38" customWidth="1"/>
    <col min="6917" max="6917" width="9.44140625" style="38" customWidth="1"/>
    <col min="6918" max="6918" width="9.6640625" style="38" bestFit="1" customWidth="1"/>
    <col min="6919" max="6919" width="8.6640625" style="38"/>
    <col min="6920" max="6920" width="25" style="38" customWidth="1"/>
    <col min="6921" max="6921" width="9.5546875" style="38" customWidth="1"/>
    <col min="6922" max="6922" width="8.6640625" style="38"/>
    <col min="6923" max="6923" width="15.6640625" style="38" customWidth="1"/>
    <col min="6924" max="6924" width="11.33203125" style="38" bestFit="1" customWidth="1"/>
    <col min="6925" max="6925" width="12.109375" style="38" customWidth="1"/>
    <col min="6926" max="6926" width="9.6640625" style="38" customWidth="1"/>
    <col min="6927" max="6927" width="26.5546875" style="38" bestFit="1" customWidth="1"/>
    <col min="6928" max="6928" width="29.33203125" style="38" bestFit="1" customWidth="1"/>
    <col min="6929" max="6938" width="6.6640625" style="38" customWidth="1"/>
    <col min="6939" max="7168" width="8.6640625" style="38"/>
    <col min="7169" max="7169" width="66" style="38" customWidth="1"/>
    <col min="7170" max="7170" width="15" style="38" customWidth="1"/>
    <col min="7171" max="7171" width="8.6640625" style="38"/>
    <col min="7172" max="7172" width="11.44140625" style="38" customWidth="1"/>
    <col min="7173" max="7173" width="9.44140625" style="38" customWidth="1"/>
    <col min="7174" max="7174" width="9.6640625" style="38" bestFit="1" customWidth="1"/>
    <col min="7175" max="7175" width="8.6640625" style="38"/>
    <col min="7176" max="7176" width="25" style="38" customWidth="1"/>
    <col min="7177" max="7177" width="9.5546875" style="38" customWidth="1"/>
    <col min="7178" max="7178" width="8.6640625" style="38"/>
    <col min="7179" max="7179" width="15.6640625" style="38" customWidth="1"/>
    <col min="7180" max="7180" width="11.33203125" style="38" bestFit="1" customWidth="1"/>
    <col min="7181" max="7181" width="12.109375" style="38" customWidth="1"/>
    <col min="7182" max="7182" width="9.6640625" style="38" customWidth="1"/>
    <col min="7183" max="7183" width="26.5546875" style="38" bestFit="1" customWidth="1"/>
    <col min="7184" max="7184" width="29.33203125" style="38" bestFit="1" customWidth="1"/>
    <col min="7185" max="7194" width="6.6640625" style="38" customWidth="1"/>
    <col min="7195" max="7424" width="8.6640625" style="38"/>
    <col min="7425" max="7425" width="66" style="38" customWidth="1"/>
    <col min="7426" max="7426" width="15" style="38" customWidth="1"/>
    <col min="7427" max="7427" width="8.6640625" style="38"/>
    <col min="7428" max="7428" width="11.44140625" style="38" customWidth="1"/>
    <col min="7429" max="7429" width="9.44140625" style="38" customWidth="1"/>
    <col min="7430" max="7430" width="9.6640625" style="38" bestFit="1" customWidth="1"/>
    <col min="7431" max="7431" width="8.6640625" style="38"/>
    <col min="7432" max="7432" width="25" style="38" customWidth="1"/>
    <col min="7433" max="7433" width="9.5546875" style="38" customWidth="1"/>
    <col min="7434" max="7434" width="8.6640625" style="38"/>
    <col min="7435" max="7435" width="15.6640625" style="38" customWidth="1"/>
    <col min="7436" max="7436" width="11.33203125" style="38" bestFit="1" customWidth="1"/>
    <col min="7437" max="7437" width="12.109375" style="38" customWidth="1"/>
    <col min="7438" max="7438" width="9.6640625" style="38" customWidth="1"/>
    <col min="7439" max="7439" width="26.5546875" style="38" bestFit="1" customWidth="1"/>
    <col min="7440" max="7440" width="29.33203125" style="38" bestFit="1" customWidth="1"/>
    <col min="7441" max="7450" width="6.6640625" style="38" customWidth="1"/>
    <col min="7451" max="7680" width="8.6640625" style="38"/>
    <col min="7681" max="7681" width="66" style="38" customWidth="1"/>
    <col min="7682" max="7682" width="15" style="38" customWidth="1"/>
    <col min="7683" max="7683" width="8.6640625" style="38"/>
    <col min="7684" max="7684" width="11.44140625" style="38" customWidth="1"/>
    <col min="7685" max="7685" width="9.44140625" style="38" customWidth="1"/>
    <col min="7686" max="7686" width="9.6640625" style="38" bestFit="1" customWidth="1"/>
    <col min="7687" max="7687" width="8.6640625" style="38"/>
    <col min="7688" max="7688" width="25" style="38" customWidth="1"/>
    <col min="7689" max="7689" width="9.5546875" style="38" customWidth="1"/>
    <col min="7690" max="7690" width="8.6640625" style="38"/>
    <col min="7691" max="7691" width="15.6640625" style="38" customWidth="1"/>
    <col min="7692" max="7692" width="11.33203125" style="38" bestFit="1" customWidth="1"/>
    <col min="7693" max="7693" width="12.109375" style="38" customWidth="1"/>
    <col min="7694" max="7694" width="9.6640625" style="38" customWidth="1"/>
    <col min="7695" max="7695" width="26.5546875" style="38" bestFit="1" customWidth="1"/>
    <col min="7696" max="7696" width="29.33203125" style="38" bestFit="1" customWidth="1"/>
    <col min="7697" max="7706" width="6.6640625" style="38" customWidth="1"/>
    <col min="7707" max="7936" width="8.6640625" style="38"/>
    <col min="7937" max="7937" width="66" style="38" customWidth="1"/>
    <col min="7938" max="7938" width="15" style="38" customWidth="1"/>
    <col min="7939" max="7939" width="8.6640625" style="38"/>
    <col min="7940" max="7940" width="11.44140625" style="38" customWidth="1"/>
    <col min="7941" max="7941" width="9.44140625" style="38" customWidth="1"/>
    <col min="7942" max="7942" width="9.6640625" style="38" bestFit="1" customWidth="1"/>
    <col min="7943" max="7943" width="8.6640625" style="38"/>
    <col min="7944" max="7944" width="25" style="38" customWidth="1"/>
    <col min="7945" max="7945" width="9.5546875" style="38" customWidth="1"/>
    <col min="7946" max="7946" width="8.6640625" style="38"/>
    <col min="7947" max="7947" width="15.6640625" style="38" customWidth="1"/>
    <col min="7948" max="7948" width="11.33203125" style="38" bestFit="1" customWidth="1"/>
    <col min="7949" max="7949" width="12.109375" style="38" customWidth="1"/>
    <col min="7950" max="7950" width="9.6640625" style="38" customWidth="1"/>
    <col min="7951" max="7951" width="26.5546875" style="38" bestFit="1" customWidth="1"/>
    <col min="7952" max="7952" width="29.33203125" style="38" bestFit="1" customWidth="1"/>
    <col min="7953" max="7962" width="6.6640625" style="38" customWidth="1"/>
    <col min="7963" max="8192" width="8.6640625" style="38"/>
    <col min="8193" max="8193" width="66" style="38" customWidth="1"/>
    <col min="8194" max="8194" width="15" style="38" customWidth="1"/>
    <col min="8195" max="8195" width="8.6640625" style="38"/>
    <col min="8196" max="8196" width="11.44140625" style="38" customWidth="1"/>
    <col min="8197" max="8197" width="9.44140625" style="38" customWidth="1"/>
    <col min="8198" max="8198" width="9.6640625" style="38" bestFit="1" customWidth="1"/>
    <col min="8199" max="8199" width="8.6640625" style="38"/>
    <col min="8200" max="8200" width="25" style="38" customWidth="1"/>
    <col min="8201" max="8201" width="9.5546875" style="38" customWidth="1"/>
    <col min="8202" max="8202" width="8.6640625" style="38"/>
    <col min="8203" max="8203" width="15.6640625" style="38" customWidth="1"/>
    <col min="8204" max="8204" width="11.33203125" style="38" bestFit="1" customWidth="1"/>
    <col min="8205" max="8205" width="12.109375" style="38" customWidth="1"/>
    <col min="8206" max="8206" width="9.6640625" style="38" customWidth="1"/>
    <col min="8207" max="8207" width="26.5546875" style="38" bestFit="1" customWidth="1"/>
    <col min="8208" max="8208" width="29.33203125" style="38" bestFit="1" customWidth="1"/>
    <col min="8209" max="8218" width="6.6640625" style="38" customWidth="1"/>
    <col min="8219" max="8448" width="8.6640625" style="38"/>
    <col min="8449" max="8449" width="66" style="38" customWidth="1"/>
    <col min="8450" max="8450" width="15" style="38" customWidth="1"/>
    <col min="8451" max="8451" width="8.6640625" style="38"/>
    <col min="8452" max="8452" width="11.44140625" style="38" customWidth="1"/>
    <col min="8453" max="8453" width="9.44140625" style="38" customWidth="1"/>
    <col min="8454" max="8454" width="9.6640625" style="38" bestFit="1" customWidth="1"/>
    <col min="8455" max="8455" width="8.6640625" style="38"/>
    <col min="8456" max="8456" width="25" style="38" customWidth="1"/>
    <col min="8457" max="8457" width="9.5546875" style="38" customWidth="1"/>
    <col min="8458" max="8458" width="8.6640625" style="38"/>
    <col min="8459" max="8459" width="15.6640625" style="38" customWidth="1"/>
    <col min="8460" max="8460" width="11.33203125" style="38" bestFit="1" customWidth="1"/>
    <col min="8461" max="8461" width="12.109375" style="38" customWidth="1"/>
    <col min="8462" max="8462" width="9.6640625" style="38" customWidth="1"/>
    <col min="8463" max="8463" width="26.5546875" style="38" bestFit="1" customWidth="1"/>
    <col min="8464" max="8464" width="29.33203125" style="38" bestFit="1" customWidth="1"/>
    <col min="8465" max="8474" width="6.6640625" style="38" customWidth="1"/>
    <col min="8475" max="8704" width="8.6640625" style="38"/>
    <col min="8705" max="8705" width="66" style="38" customWidth="1"/>
    <col min="8706" max="8706" width="15" style="38" customWidth="1"/>
    <col min="8707" max="8707" width="8.6640625" style="38"/>
    <col min="8708" max="8708" width="11.44140625" style="38" customWidth="1"/>
    <col min="8709" max="8709" width="9.44140625" style="38" customWidth="1"/>
    <col min="8710" max="8710" width="9.6640625" style="38" bestFit="1" customWidth="1"/>
    <col min="8711" max="8711" width="8.6640625" style="38"/>
    <col min="8712" max="8712" width="25" style="38" customWidth="1"/>
    <col min="8713" max="8713" width="9.5546875" style="38" customWidth="1"/>
    <col min="8714" max="8714" width="8.6640625" style="38"/>
    <col min="8715" max="8715" width="15.6640625" style="38" customWidth="1"/>
    <col min="8716" max="8716" width="11.33203125" style="38" bestFit="1" customWidth="1"/>
    <col min="8717" max="8717" width="12.109375" style="38" customWidth="1"/>
    <col min="8718" max="8718" width="9.6640625" style="38" customWidth="1"/>
    <col min="8719" max="8719" width="26.5546875" style="38" bestFit="1" customWidth="1"/>
    <col min="8720" max="8720" width="29.33203125" style="38" bestFit="1" customWidth="1"/>
    <col min="8721" max="8730" width="6.6640625" style="38" customWidth="1"/>
    <col min="8731" max="8960" width="8.6640625" style="38"/>
    <col min="8961" max="8961" width="66" style="38" customWidth="1"/>
    <col min="8962" max="8962" width="15" style="38" customWidth="1"/>
    <col min="8963" max="8963" width="8.6640625" style="38"/>
    <col min="8964" max="8964" width="11.44140625" style="38" customWidth="1"/>
    <col min="8965" max="8965" width="9.44140625" style="38" customWidth="1"/>
    <col min="8966" max="8966" width="9.6640625" style="38" bestFit="1" customWidth="1"/>
    <col min="8967" max="8967" width="8.6640625" style="38"/>
    <col min="8968" max="8968" width="25" style="38" customWidth="1"/>
    <col min="8969" max="8969" width="9.5546875" style="38" customWidth="1"/>
    <col min="8970" max="8970" width="8.6640625" style="38"/>
    <col min="8971" max="8971" width="15.6640625" style="38" customWidth="1"/>
    <col min="8972" max="8972" width="11.33203125" style="38" bestFit="1" customWidth="1"/>
    <col min="8973" max="8973" width="12.109375" style="38" customWidth="1"/>
    <col min="8974" max="8974" width="9.6640625" style="38" customWidth="1"/>
    <col min="8975" max="8975" width="26.5546875" style="38" bestFit="1" customWidth="1"/>
    <col min="8976" max="8976" width="29.33203125" style="38" bestFit="1" customWidth="1"/>
    <col min="8977" max="8986" width="6.6640625" style="38" customWidth="1"/>
    <col min="8987" max="9216" width="8.6640625" style="38"/>
    <col min="9217" max="9217" width="66" style="38" customWidth="1"/>
    <col min="9218" max="9218" width="15" style="38" customWidth="1"/>
    <col min="9219" max="9219" width="8.6640625" style="38"/>
    <col min="9220" max="9220" width="11.44140625" style="38" customWidth="1"/>
    <col min="9221" max="9221" width="9.44140625" style="38" customWidth="1"/>
    <col min="9222" max="9222" width="9.6640625" style="38" bestFit="1" customWidth="1"/>
    <col min="9223" max="9223" width="8.6640625" style="38"/>
    <col min="9224" max="9224" width="25" style="38" customWidth="1"/>
    <col min="9225" max="9225" width="9.5546875" style="38" customWidth="1"/>
    <col min="9226" max="9226" width="8.6640625" style="38"/>
    <col min="9227" max="9227" width="15.6640625" style="38" customWidth="1"/>
    <col min="9228" max="9228" width="11.33203125" style="38" bestFit="1" customWidth="1"/>
    <col min="9229" max="9229" width="12.109375" style="38" customWidth="1"/>
    <col min="9230" max="9230" width="9.6640625" style="38" customWidth="1"/>
    <col min="9231" max="9231" width="26.5546875" style="38" bestFit="1" customWidth="1"/>
    <col min="9232" max="9232" width="29.33203125" style="38" bestFit="1" customWidth="1"/>
    <col min="9233" max="9242" width="6.6640625" style="38" customWidth="1"/>
    <col min="9243" max="9472" width="8.6640625" style="38"/>
    <col min="9473" max="9473" width="66" style="38" customWidth="1"/>
    <col min="9474" max="9474" width="15" style="38" customWidth="1"/>
    <col min="9475" max="9475" width="8.6640625" style="38"/>
    <col min="9476" max="9476" width="11.44140625" style="38" customWidth="1"/>
    <col min="9477" max="9477" width="9.44140625" style="38" customWidth="1"/>
    <col min="9478" max="9478" width="9.6640625" style="38" bestFit="1" customWidth="1"/>
    <col min="9479" max="9479" width="8.6640625" style="38"/>
    <col min="9480" max="9480" width="25" style="38" customWidth="1"/>
    <col min="9481" max="9481" width="9.5546875" style="38" customWidth="1"/>
    <col min="9482" max="9482" width="8.6640625" style="38"/>
    <col min="9483" max="9483" width="15.6640625" style="38" customWidth="1"/>
    <col min="9484" max="9484" width="11.33203125" style="38" bestFit="1" customWidth="1"/>
    <col min="9485" max="9485" width="12.109375" style="38" customWidth="1"/>
    <col min="9486" max="9486" width="9.6640625" style="38" customWidth="1"/>
    <col min="9487" max="9487" width="26.5546875" style="38" bestFit="1" customWidth="1"/>
    <col min="9488" max="9488" width="29.33203125" style="38" bestFit="1" customWidth="1"/>
    <col min="9489" max="9498" width="6.6640625" style="38" customWidth="1"/>
    <col min="9499" max="9728" width="8.6640625" style="38"/>
    <col min="9729" max="9729" width="66" style="38" customWidth="1"/>
    <col min="9730" max="9730" width="15" style="38" customWidth="1"/>
    <col min="9731" max="9731" width="8.6640625" style="38"/>
    <col min="9732" max="9732" width="11.44140625" style="38" customWidth="1"/>
    <col min="9733" max="9733" width="9.44140625" style="38" customWidth="1"/>
    <col min="9734" max="9734" width="9.6640625" style="38" bestFit="1" customWidth="1"/>
    <col min="9735" max="9735" width="8.6640625" style="38"/>
    <col min="9736" max="9736" width="25" style="38" customWidth="1"/>
    <col min="9737" max="9737" width="9.5546875" style="38" customWidth="1"/>
    <col min="9738" max="9738" width="8.6640625" style="38"/>
    <col min="9739" max="9739" width="15.6640625" style="38" customWidth="1"/>
    <col min="9740" max="9740" width="11.33203125" style="38" bestFit="1" customWidth="1"/>
    <col min="9741" max="9741" width="12.109375" style="38" customWidth="1"/>
    <col min="9742" max="9742" width="9.6640625" style="38" customWidth="1"/>
    <col min="9743" max="9743" width="26.5546875" style="38" bestFit="1" customWidth="1"/>
    <col min="9744" max="9744" width="29.33203125" style="38" bestFit="1" customWidth="1"/>
    <col min="9745" max="9754" width="6.6640625" style="38" customWidth="1"/>
    <col min="9755" max="9984" width="8.6640625" style="38"/>
    <col min="9985" max="9985" width="66" style="38" customWidth="1"/>
    <col min="9986" max="9986" width="15" style="38" customWidth="1"/>
    <col min="9987" max="9987" width="8.6640625" style="38"/>
    <col min="9988" max="9988" width="11.44140625" style="38" customWidth="1"/>
    <col min="9989" max="9989" width="9.44140625" style="38" customWidth="1"/>
    <col min="9990" max="9990" width="9.6640625" style="38" bestFit="1" customWidth="1"/>
    <col min="9991" max="9991" width="8.6640625" style="38"/>
    <col min="9992" max="9992" width="25" style="38" customWidth="1"/>
    <col min="9993" max="9993" width="9.5546875" style="38" customWidth="1"/>
    <col min="9994" max="9994" width="8.6640625" style="38"/>
    <col min="9995" max="9995" width="15.6640625" style="38" customWidth="1"/>
    <col min="9996" max="9996" width="11.33203125" style="38" bestFit="1" customWidth="1"/>
    <col min="9997" max="9997" width="12.109375" style="38" customWidth="1"/>
    <col min="9998" max="9998" width="9.6640625" style="38" customWidth="1"/>
    <col min="9999" max="9999" width="26.5546875" style="38" bestFit="1" customWidth="1"/>
    <col min="10000" max="10000" width="29.33203125" style="38" bestFit="1" customWidth="1"/>
    <col min="10001" max="10010" width="6.6640625" style="38" customWidth="1"/>
    <col min="10011" max="10240" width="8.6640625" style="38"/>
    <col min="10241" max="10241" width="66" style="38" customWidth="1"/>
    <col min="10242" max="10242" width="15" style="38" customWidth="1"/>
    <col min="10243" max="10243" width="8.6640625" style="38"/>
    <col min="10244" max="10244" width="11.44140625" style="38" customWidth="1"/>
    <col min="10245" max="10245" width="9.44140625" style="38" customWidth="1"/>
    <col min="10246" max="10246" width="9.6640625" style="38" bestFit="1" customWidth="1"/>
    <col min="10247" max="10247" width="8.6640625" style="38"/>
    <col min="10248" max="10248" width="25" style="38" customWidth="1"/>
    <col min="10249" max="10249" width="9.5546875" style="38" customWidth="1"/>
    <col min="10250" max="10250" width="8.6640625" style="38"/>
    <col min="10251" max="10251" width="15.6640625" style="38" customWidth="1"/>
    <col min="10252" max="10252" width="11.33203125" style="38" bestFit="1" customWidth="1"/>
    <col min="10253" max="10253" width="12.109375" style="38" customWidth="1"/>
    <col min="10254" max="10254" width="9.6640625" style="38" customWidth="1"/>
    <col min="10255" max="10255" width="26.5546875" style="38" bestFit="1" customWidth="1"/>
    <col min="10256" max="10256" width="29.33203125" style="38" bestFit="1" customWidth="1"/>
    <col min="10257" max="10266" width="6.6640625" style="38" customWidth="1"/>
    <col min="10267" max="10496" width="8.6640625" style="38"/>
    <col min="10497" max="10497" width="66" style="38" customWidth="1"/>
    <col min="10498" max="10498" width="15" style="38" customWidth="1"/>
    <col min="10499" max="10499" width="8.6640625" style="38"/>
    <col min="10500" max="10500" width="11.44140625" style="38" customWidth="1"/>
    <col min="10501" max="10501" width="9.44140625" style="38" customWidth="1"/>
    <col min="10502" max="10502" width="9.6640625" style="38" bestFit="1" customWidth="1"/>
    <col min="10503" max="10503" width="8.6640625" style="38"/>
    <col min="10504" max="10504" width="25" style="38" customWidth="1"/>
    <col min="10505" max="10505" width="9.5546875" style="38" customWidth="1"/>
    <col min="10506" max="10506" width="8.6640625" style="38"/>
    <col min="10507" max="10507" width="15.6640625" style="38" customWidth="1"/>
    <col min="10508" max="10508" width="11.33203125" style="38" bestFit="1" customWidth="1"/>
    <col min="10509" max="10509" width="12.109375" style="38" customWidth="1"/>
    <col min="10510" max="10510" width="9.6640625" style="38" customWidth="1"/>
    <col min="10511" max="10511" width="26.5546875" style="38" bestFit="1" customWidth="1"/>
    <col min="10512" max="10512" width="29.33203125" style="38" bestFit="1" customWidth="1"/>
    <col min="10513" max="10522" width="6.6640625" style="38" customWidth="1"/>
    <col min="10523" max="10752" width="8.6640625" style="38"/>
    <col min="10753" max="10753" width="66" style="38" customWidth="1"/>
    <col min="10754" max="10754" width="15" style="38" customWidth="1"/>
    <col min="10755" max="10755" width="8.6640625" style="38"/>
    <col min="10756" max="10756" width="11.44140625" style="38" customWidth="1"/>
    <col min="10757" max="10757" width="9.44140625" style="38" customWidth="1"/>
    <col min="10758" max="10758" width="9.6640625" style="38" bestFit="1" customWidth="1"/>
    <col min="10759" max="10759" width="8.6640625" style="38"/>
    <col min="10760" max="10760" width="25" style="38" customWidth="1"/>
    <col min="10761" max="10761" width="9.5546875" style="38" customWidth="1"/>
    <col min="10762" max="10762" width="8.6640625" style="38"/>
    <col min="10763" max="10763" width="15.6640625" style="38" customWidth="1"/>
    <col min="10764" max="10764" width="11.33203125" style="38" bestFit="1" customWidth="1"/>
    <col min="10765" max="10765" width="12.109375" style="38" customWidth="1"/>
    <col min="10766" max="10766" width="9.6640625" style="38" customWidth="1"/>
    <col min="10767" max="10767" width="26.5546875" style="38" bestFit="1" customWidth="1"/>
    <col min="10768" max="10768" width="29.33203125" style="38" bestFit="1" customWidth="1"/>
    <col min="10769" max="10778" width="6.6640625" style="38" customWidth="1"/>
    <col min="10779" max="11008" width="8.6640625" style="38"/>
    <col min="11009" max="11009" width="66" style="38" customWidth="1"/>
    <col min="11010" max="11010" width="15" style="38" customWidth="1"/>
    <col min="11011" max="11011" width="8.6640625" style="38"/>
    <col min="11012" max="11012" width="11.44140625" style="38" customWidth="1"/>
    <col min="11013" max="11013" width="9.44140625" style="38" customWidth="1"/>
    <col min="11014" max="11014" width="9.6640625" style="38" bestFit="1" customWidth="1"/>
    <col min="11015" max="11015" width="8.6640625" style="38"/>
    <col min="11016" max="11016" width="25" style="38" customWidth="1"/>
    <col min="11017" max="11017" width="9.5546875" style="38" customWidth="1"/>
    <col min="11018" max="11018" width="8.6640625" style="38"/>
    <col min="11019" max="11019" width="15.6640625" style="38" customWidth="1"/>
    <col min="11020" max="11020" width="11.33203125" style="38" bestFit="1" customWidth="1"/>
    <col min="11021" max="11021" width="12.109375" style="38" customWidth="1"/>
    <col min="11022" max="11022" width="9.6640625" style="38" customWidth="1"/>
    <col min="11023" max="11023" width="26.5546875" style="38" bestFit="1" customWidth="1"/>
    <col min="11024" max="11024" width="29.33203125" style="38" bestFit="1" customWidth="1"/>
    <col min="11025" max="11034" width="6.6640625" style="38" customWidth="1"/>
    <col min="11035" max="11264" width="8.6640625" style="38"/>
    <col min="11265" max="11265" width="66" style="38" customWidth="1"/>
    <col min="11266" max="11266" width="15" style="38" customWidth="1"/>
    <col min="11267" max="11267" width="8.6640625" style="38"/>
    <col min="11268" max="11268" width="11.44140625" style="38" customWidth="1"/>
    <col min="11269" max="11269" width="9.44140625" style="38" customWidth="1"/>
    <col min="11270" max="11270" width="9.6640625" style="38" bestFit="1" customWidth="1"/>
    <col min="11271" max="11271" width="8.6640625" style="38"/>
    <col min="11272" max="11272" width="25" style="38" customWidth="1"/>
    <col min="11273" max="11273" width="9.5546875" style="38" customWidth="1"/>
    <col min="11274" max="11274" width="8.6640625" style="38"/>
    <col min="11275" max="11275" width="15.6640625" style="38" customWidth="1"/>
    <col min="11276" max="11276" width="11.33203125" style="38" bestFit="1" customWidth="1"/>
    <col min="11277" max="11277" width="12.109375" style="38" customWidth="1"/>
    <col min="11278" max="11278" width="9.6640625" style="38" customWidth="1"/>
    <col min="11279" max="11279" width="26.5546875" style="38" bestFit="1" customWidth="1"/>
    <col min="11280" max="11280" width="29.33203125" style="38" bestFit="1" customWidth="1"/>
    <col min="11281" max="11290" width="6.6640625" style="38" customWidth="1"/>
    <col min="11291" max="11520" width="8.6640625" style="38"/>
    <col min="11521" max="11521" width="66" style="38" customWidth="1"/>
    <col min="11522" max="11522" width="15" style="38" customWidth="1"/>
    <col min="11523" max="11523" width="8.6640625" style="38"/>
    <col min="11524" max="11524" width="11.44140625" style="38" customWidth="1"/>
    <col min="11525" max="11525" width="9.44140625" style="38" customWidth="1"/>
    <col min="11526" max="11526" width="9.6640625" style="38" bestFit="1" customWidth="1"/>
    <col min="11527" max="11527" width="8.6640625" style="38"/>
    <col min="11528" max="11528" width="25" style="38" customWidth="1"/>
    <col min="11529" max="11529" width="9.5546875" style="38" customWidth="1"/>
    <col min="11530" max="11530" width="8.6640625" style="38"/>
    <col min="11531" max="11531" width="15.6640625" style="38" customWidth="1"/>
    <col min="11532" max="11532" width="11.33203125" style="38" bestFit="1" customWidth="1"/>
    <col min="11533" max="11533" width="12.109375" style="38" customWidth="1"/>
    <col min="11534" max="11534" width="9.6640625" style="38" customWidth="1"/>
    <col min="11535" max="11535" width="26.5546875" style="38" bestFit="1" customWidth="1"/>
    <col min="11536" max="11536" width="29.33203125" style="38" bestFit="1" customWidth="1"/>
    <col min="11537" max="11546" width="6.6640625" style="38" customWidth="1"/>
    <col min="11547" max="11776" width="8.6640625" style="38"/>
    <col min="11777" max="11777" width="66" style="38" customWidth="1"/>
    <col min="11778" max="11778" width="15" style="38" customWidth="1"/>
    <col min="11779" max="11779" width="8.6640625" style="38"/>
    <col min="11780" max="11780" width="11.44140625" style="38" customWidth="1"/>
    <col min="11781" max="11781" width="9.44140625" style="38" customWidth="1"/>
    <col min="11782" max="11782" width="9.6640625" style="38" bestFit="1" customWidth="1"/>
    <col min="11783" max="11783" width="8.6640625" style="38"/>
    <col min="11784" max="11784" width="25" style="38" customWidth="1"/>
    <col min="11785" max="11785" width="9.5546875" style="38" customWidth="1"/>
    <col min="11786" max="11786" width="8.6640625" style="38"/>
    <col min="11787" max="11787" width="15.6640625" style="38" customWidth="1"/>
    <col min="11788" max="11788" width="11.33203125" style="38" bestFit="1" customWidth="1"/>
    <col min="11789" max="11789" width="12.109375" style="38" customWidth="1"/>
    <col min="11790" max="11790" width="9.6640625" style="38" customWidth="1"/>
    <col min="11791" max="11791" width="26.5546875" style="38" bestFit="1" customWidth="1"/>
    <col min="11792" max="11792" width="29.33203125" style="38" bestFit="1" customWidth="1"/>
    <col min="11793" max="11802" width="6.6640625" style="38" customWidth="1"/>
    <col min="11803" max="12032" width="8.6640625" style="38"/>
    <col min="12033" max="12033" width="66" style="38" customWidth="1"/>
    <col min="12034" max="12034" width="15" style="38" customWidth="1"/>
    <col min="12035" max="12035" width="8.6640625" style="38"/>
    <col min="12036" max="12036" width="11.44140625" style="38" customWidth="1"/>
    <col min="12037" max="12037" width="9.44140625" style="38" customWidth="1"/>
    <col min="12038" max="12038" width="9.6640625" style="38" bestFit="1" customWidth="1"/>
    <col min="12039" max="12039" width="8.6640625" style="38"/>
    <col min="12040" max="12040" width="25" style="38" customWidth="1"/>
    <col min="12041" max="12041" width="9.5546875" style="38" customWidth="1"/>
    <col min="12042" max="12042" width="8.6640625" style="38"/>
    <col min="12043" max="12043" width="15.6640625" style="38" customWidth="1"/>
    <col min="12044" max="12044" width="11.33203125" style="38" bestFit="1" customWidth="1"/>
    <col min="12045" max="12045" width="12.109375" style="38" customWidth="1"/>
    <col min="12046" max="12046" width="9.6640625" style="38" customWidth="1"/>
    <col min="12047" max="12047" width="26.5546875" style="38" bestFit="1" customWidth="1"/>
    <col min="12048" max="12048" width="29.33203125" style="38" bestFit="1" customWidth="1"/>
    <col min="12049" max="12058" width="6.6640625" style="38" customWidth="1"/>
    <col min="12059" max="12288" width="8.6640625" style="38"/>
    <col min="12289" max="12289" width="66" style="38" customWidth="1"/>
    <col min="12290" max="12290" width="15" style="38" customWidth="1"/>
    <col min="12291" max="12291" width="8.6640625" style="38"/>
    <col min="12292" max="12292" width="11.44140625" style="38" customWidth="1"/>
    <col min="12293" max="12293" width="9.44140625" style="38" customWidth="1"/>
    <col min="12294" max="12294" width="9.6640625" style="38" bestFit="1" customWidth="1"/>
    <col min="12295" max="12295" width="8.6640625" style="38"/>
    <col min="12296" max="12296" width="25" style="38" customWidth="1"/>
    <col min="12297" max="12297" width="9.5546875" style="38" customWidth="1"/>
    <col min="12298" max="12298" width="8.6640625" style="38"/>
    <col min="12299" max="12299" width="15.6640625" style="38" customWidth="1"/>
    <col min="12300" max="12300" width="11.33203125" style="38" bestFit="1" customWidth="1"/>
    <col min="12301" max="12301" width="12.109375" style="38" customWidth="1"/>
    <col min="12302" max="12302" width="9.6640625" style="38" customWidth="1"/>
    <col min="12303" max="12303" width="26.5546875" style="38" bestFit="1" customWidth="1"/>
    <col min="12304" max="12304" width="29.33203125" style="38" bestFit="1" customWidth="1"/>
    <col min="12305" max="12314" width="6.6640625" style="38" customWidth="1"/>
    <col min="12315" max="12544" width="8.6640625" style="38"/>
    <col min="12545" max="12545" width="66" style="38" customWidth="1"/>
    <col min="12546" max="12546" width="15" style="38" customWidth="1"/>
    <col min="12547" max="12547" width="8.6640625" style="38"/>
    <col min="12548" max="12548" width="11.44140625" style="38" customWidth="1"/>
    <col min="12549" max="12549" width="9.44140625" style="38" customWidth="1"/>
    <col min="12550" max="12550" width="9.6640625" style="38" bestFit="1" customWidth="1"/>
    <col min="12551" max="12551" width="8.6640625" style="38"/>
    <col min="12552" max="12552" width="25" style="38" customWidth="1"/>
    <col min="12553" max="12553" width="9.5546875" style="38" customWidth="1"/>
    <col min="12554" max="12554" width="8.6640625" style="38"/>
    <col min="12555" max="12555" width="15.6640625" style="38" customWidth="1"/>
    <col min="12556" max="12556" width="11.33203125" style="38" bestFit="1" customWidth="1"/>
    <col min="12557" max="12557" width="12.109375" style="38" customWidth="1"/>
    <col min="12558" max="12558" width="9.6640625" style="38" customWidth="1"/>
    <col min="12559" max="12559" width="26.5546875" style="38" bestFit="1" customWidth="1"/>
    <col min="12560" max="12560" width="29.33203125" style="38" bestFit="1" customWidth="1"/>
    <col min="12561" max="12570" width="6.6640625" style="38" customWidth="1"/>
    <col min="12571" max="12800" width="8.6640625" style="38"/>
    <col min="12801" max="12801" width="66" style="38" customWidth="1"/>
    <col min="12802" max="12802" width="15" style="38" customWidth="1"/>
    <col min="12803" max="12803" width="8.6640625" style="38"/>
    <col min="12804" max="12804" width="11.44140625" style="38" customWidth="1"/>
    <col min="12805" max="12805" width="9.44140625" style="38" customWidth="1"/>
    <col min="12806" max="12806" width="9.6640625" style="38" bestFit="1" customWidth="1"/>
    <col min="12807" max="12807" width="8.6640625" style="38"/>
    <col min="12808" max="12808" width="25" style="38" customWidth="1"/>
    <col min="12809" max="12809" width="9.5546875" style="38" customWidth="1"/>
    <col min="12810" max="12810" width="8.6640625" style="38"/>
    <col min="12811" max="12811" width="15.6640625" style="38" customWidth="1"/>
    <col min="12812" max="12812" width="11.33203125" style="38" bestFit="1" customWidth="1"/>
    <col min="12813" max="12813" width="12.109375" style="38" customWidth="1"/>
    <col min="12814" max="12814" width="9.6640625" style="38" customWidth="1"/>
    <col min="12815" max="12815" width="26.5546875" style="38" bestFit="1" customWidth="1"/>
    <col min="12816" max="12816" width="29.33203125" style="38" bestFit="1" customWidth="1"/>
    <col min="12817" max="12826" width="6.6640625" style="38" customWidth="1"/>
    <col min="12827" max="13056" width="8.6640625" style="38"/>
    <col min="13057" max="13057" width="66" style="38" customWidth="1"/>
    <col min="13058" max="13058" width="15" style="38" customWidth="1"/>
    <col min="13059" max="13059" width="8.6640625" style="38"/>
    <col min="13060" max="13060" width="11.44140625" style="38" customWidth="1"/>
    <col min="13061" max="13061" width="9.44140625" style="38" customWidth="1"/>
    <col min="13062" max="13062" width="9.6640625" style="38" bestFit="1" customWidth="1"/>
    <col min="13063" max="13063" width="8.6640625" style="38"/>
    <col min="13064" max="13064" width="25" style="38" customWidth="1"/>
    <col min="13065" max="13065" width="9.5546875" style="38" customWidth="1"/>
    <col min="13066" max="13066" width="8.6640625" style="38"/>
    <col min="13067" max="13067" width="15.6640625" style="38" customWidth="1"/>
    <col min="13068" max="13068" width="11.33203125" style="38" bestFit="1" customWidth="1"/>
    <col min="13069" max="13069" width="12.109375" style="38" customWidth="1"/>
    <col min="13070" max="13070" width="9.6640625" style="38" customWidth="1"/>
    <col min="13071" max="13071" width="26.5546875" style="38" bestFit="1" customWidth="1"/>
    <col min="13072" max="13072" width="29.33203125" style="38" bestFit="1" customWidth="1"/>
    <col min="13073" max="13082" width="6.6640625" style="38" customWidth="1"/>
    <col min="13083" max="13312" width="8.6640625" style="38"/>
    <col min="13313" max="13313" width="66" style="38" customWidth="1"/>
    <col min="13314" max="13314" width="15" style="38" customWidth="1"/>
    <col min="13315" max="13315" width="8.6640625" style="38"/>
    <col min="13316" max="13316" width="11.44140625" style="38" customWidth="1"/>
    <col min="13317" max="13317" width="9.44140625" style="38" customWidth="1"/>
    <col min="13318" max="13318" width="9.6640625" style="38" bestFit="1" customWidth="1"/>
    <col min="13319" max="13319" width="8.6640625" style="38"/>
    <col min="13320" max="13320" width="25" style="38" customWidth="1"/>
    <col min="13321" max="13321" width="9.5546875" style="38" customWidth="1"/>
    <col min="13322" max="13322" width="8.6640625" style="38"/>
    <col min="13323" max="13323" width="15.6640625" style="38" customWidth="1"/>
    <col min="13324" max="13324" width="11.33203125" style="38" bestFit="1" customWidth="1"/>
    <col min="13325" max="13325" width="12.109375" style="38" customWidth="1"/>
    <col min="13326" max="13326" width="9.6640625" style="38" customWidth="1"/>
    <col min="13327" max="13327" width="26.5546875" style="38" bestFit="1" customWidth="1"/>
    <col min="13328" max="13328" width="29.33203125" style="38" bestFit="1" customWidth="1"/>
    <col min="13329" max="13338" width="6.6640625" style="38" customWidth="1"/>
    <col min="13339" max="13568" width="8.6640625" style="38"/>
    <col min="13569" max="13569" width="66" style="38" customWidth="1"/>
    <col min="13570" max="13570" width="15" style="38" customWidth="1"/>
    <col min="13571" max="13571" width="8.6640625" style="38"/>
    <col min="13572" max="13572" width="11.44140625" style="38" customWidth="1"/>
    <col min="13573" max="13573" width="9.44140625" style="38" customWidth="1"/>
    <col min="13574" max="13574" width="9.6640625" style="38" bestFit="1" customWidth="1"/>
    <col min="13575" max="13575" width="8.6640625" style="38"/>
    <col min="13576" max="13576" width="25" style="38" customWidth="1"/>
    <col min="13577" max="13577" width="9.5546875" style="38" customWidth="1"/>
    <col min="13578" max="13578" width="8.6640625" style="38"/>
    <col min="13579" max="13579" width="15.6640625" style="38" customWidth="1"/>
    <col min="13580" max="13580" width="11.33203125" style="38" bestFit="1" customWidth="1"/>
    <col min="13581" max="13581" width="12.109375" style="38" customWidth="1"/>
    <col min="13582" max="13582" width="9.6640625" style="38" customWidth="1"/>
    <col min="13583" max="13583" width="26.5546875" style="38" bestFit="1" customWidth="1"/>
    <col min="13584" max="13584" width="29.33203125" style="38" bestFit="1" customWidth="1"/>
    <col min="13585" max="13594" width="6.6640625" style="38" customWidth="1"/>
    <col min="13595" max="13824" width="8.6640625" style="38"/>
    <col min="13825" max="13825" width="66" style="38" customWidth="1"/>
    <col min="13826" max="13826" width="15" style="38" customWidth="1"/>
    <col min="13827" max="13827" width="8.6640625" style="38"/>
    <col min="13828" max="13828" width="11.44140625" style="38" customWidth="1"/>
    <col min="13829" max="13829" width="9.44140625" style="38" customWidth="1"/>
    <col min="13830" max="13830" width="9.6640625" style="38" bestFit="1" customWidth="1"/>
    <col min="13831" max="13831" width="8.6640625" style="38"/>
    <col min="13832" max="13832" width="25" style="38" customWidth="1"/>
    <col min="13833" max="13833" width="9.5546875" style="38" customWidth="1"/>
    <col min="13834" max="13834" width="8.6640625" style="38"/>
    <col min="13835" max="13835" width="15.6640625" style="38" customWidth="1"/>
    <col min="13836" max="13836" width="11.33203125" style="38" bestFit="1" customWidth="1"/>
    <col min="13837" max="13837" width="12.109375" style="38" customWidth="1"/>
    <col min="13838" max="13838" width="9.6640625" style="38" customWidth="1"/>
    <col min="13839" max="13839" width="26.5546875" style="38" bestFit="1" customWidth="1"/>
    <col min="13840" max="13840" width="29.33203125" style="38" bestFit="1" customWidth="1"/>
    <col min="13841" max="13850" width="6.6640625" style="38" customWidth="1"/>
    <col min="13851" max="14080" width="8.6640625" style="38"/>
    <col min="14081" max="14081" width="66" style="38" customWidth="1"/>
    <col min="14082" max="14082" width="15" style="38" customWidth="1"/>
    <col min="14083" max="14083" width="8.6640625" style="38"/>
    <col min="14084" max="14084" width="11.44140625" style="38" customWidth="1"/>
    <col min="14085" max="14085" width="9.44140625" style="38" customWidth="1"/>
    <col min="14086" max="14086" width="9.6640625" style="38" bestFit="1" customWidth="1"/>
    <col min="14087" max="14087" width="8.6640625" style="38"/>
    <col min="14088" max="14088" width="25" style="38" customWidth="1"/>
    <col min="14089" max="14089" width="9.5546875" style="38" customWidth="1"/>
    <col min="14090" max="14090" width="8.6640625" style="38"/>
    <col min="14091" max="14091" width="15.6640625" style="38" customWidth="1"/>
    <col min="14092" max="14092" width="11.33203125" style="38" bestFit="1" customWidth="1"/>
    <col min="14093" max="14093" width="12.109375" style="38" customWidth="1"/>
    <col min="14094" max="14094" width="9.6640625" style="38" customWidth="1"/>
    <col min="14095" max="14095" width="26.5546875" style="38" bestFit="1" customWidth="1"/>
    <col min="14096" max="14096" width="29.33203125" style="38" bestFit="1" customWidth="1"/>
    <col min="14097" max="14106" width="6.6640625" style="38" customWidth="1"/>
    <col min="14107" max="14336" width="8.6640625" style="38"/>
    <col min="14337" max="14337" width="66" style="38" customWidth="1"/>
    <col min="14338" max="14338" width="15" style="38" customWidth="1"/>
    <col min="14339" max="14339" width="8.6640625" style="38"/>
    <col min="14340" max="14340" width="11.44140625" style="38" customWidth="1"/>
    <col min="14341" max="14341" width="9.44140625" style="38" customWidth="1"/>
    <col min="14342" max="14342" width="9.6640625" style="38" bestFit="1" customWidth="1"/>
    <col min="14343" max="14343" width="8.6640625" style="38"/>
    <col min="14344" max="14344" width="25" style="38" customWidth="1"/>
    <col min="14345" max="14345" width="9.5546875" style="38" customWidth="1"/>
    <col min="14346" max="14346" width="8.6640625" style="38"/>
    <col min="14347" max="14347" width="15.6640625" style="38" customWidth="1"/>
    <col min="14348" max="14348" width="11.33203125" style="38" bestFit="1" customWidth="1"/>
    <col min="14349" max="14349" width="12.109375" style="38" customWidth="1"/>
    <col min="14350" max="14350" width="9.6640625" style="38" customWidth="1"/>
    <col min="14351" max="14351" width="26.5546875" style="38" bestFit="1" customWidth="1"/>
    <col min="14352" max="14352" width="29.33203125" style="38" bestFit="1" customWidth="1"/>
    <col min="14353" max="14362" width="6.6640625" style="38" customWidth="1"/>
    <col min="14363" max="14592" width="8.6640625" style="38"/>
    <col min="14593" max="14593" width="66" style="38" customWidth="1"/>
    <col min="14594" max="14594" width="15" style="38" customWidth="1"/>
    <col min="14595" max="14595" width="8.6640625" style="38"/>
    <col min="14596" max="14596" width="11.44140625" style="38" customWidth="1"/>
    <col min="14597" max="14597" width="9.44140625" style="38" customWidth="1"/>
    <col min="14598" max="14598" width="9.6640625" style="38" bestFit="1" customWidth="1"/>
    <col min="14599" max="14599" width="8.6640625" style="38"/>
    <col min="14600" max="14600" width="25" style="38" customWidth="1"/>
    <col min="14601" max="14601" width="9.5546875" style="38" customWidth="1"/>
    <col min="14602" max="14602" width="8.6640625" style="38"/>
    <col min="14603" max="14603" width="15.6640625" style="38" customWidth="1"/>
    <col min="14604" max="14604" width="11.33203125" style="38" bestFit="1" customWidth="1"/>
    <col min="14605" max="14605" width="12.109375" style="38" customWidth="1"/>
    <col min="14606" max="14606" width="9.6640625" style="38" customWidth="1"/>
    <col min="14607" max="14607" width="26.5546875" style="38" bestFit="1" customWidth="1"/>
    <col min="14608" max="14608" width="29.33203125" style="38" bestFit="1" customWidth="1"/>
    <col min="14609" max="14618" width="6.6640625" style="38" customWidth="1"/>
    <col min="14619" max="14848" width="8.6640625" style="38"/>
    <col min="14849" max="14849" width="66" style="38" customWidth="1"/>
    <col min="14850" max="14850" width="15" style="38" customWidth="1"/>
    <col min="14851" max="14851" width="8.6640625" style="38"/>
    <col min="14852" max="14852" width="11.44140625" style="38" customWidth="1"/>
    <col min="14853" max="14853" width="9.44140625" style="38" customWidth="1"/>
    <col min="14854" max="14854" width="9.6640625" style="38" bestFit="1" customWidth="1"/>
    <col min="14855" max="14855" width="8.6640625" style="38"/>
    <col min="14856" max="14856" width="25" style="38" customWidth="1"/>
    <col min="14857" max="14857" width="9.5546875" style="38" customWidth="1"/>
    <col min="14858" max="14858" width="8.6640625" style="38"/>
    <col min="14859" max="14859" width="15.6640625" style="38" customWidth="1"/>
    <col min="14860" max="14860" width="11.33203125" style="38" bestFit="1" customWidth="1"/>
    <col min="14861" max="14861" width="12.109375" style="38" customWidth="1"/>
    <col min="14862" max="14862" width="9.6640625" style="38" customWidth="1"/>
    <col min="14863" max="14863" width="26.5546875" style="38" bestFit="1" customWidth="1"/>
    <col min="14864" max="14864" width="29.33203125" style="38" bestFit="1" customWidth="1"/>
    <col min="14865" max="14874" width="6.6640625" style="38" customWidth="1"/>
    <col min="14875" max="15104" width="8.6640625" style="38"/>
    <col min="15105" max="15105" width="66" style="38" customWidth="1"/>
    <col min="15106" max="15106" width="15" style="38" customWidth="1"/>
    <col min="15107" max="15107" width="8.6640625" style="38"/>
    <col min="15108" max="15108" width="11.44140625" style="38" customWidth="1"/>
    <col min="15109" max="15109" width="9.44140625" style="38" customWidth="1"/>
    <col min="15110" max="15110" width="9.6640625" style="38" bestFit="1" customWidth="1"/>
    <col min="15111" max="15111" width="8.6640625" style="38"/>
    <col min="15112" max="15112" width="25" style="38" customWidth="1"/>
    <col min="15113" max="15113" width="9.5546875" style="38" customWidth="1"/>
    <col min="15114" max="15114" width="8.6640625" style="38"/>
    <col min="15115" max="15115" width="15.6640625" style="38" customWidth="1"/>
    <col min="15116" max="15116" width="11.33203125" style="38" bestFit="1" customWidth="1"/>
    <col min="15117" max="15117" width="12.109375" style="38" customWidth="1"/>
    <col min="15118" max="15118" width="9.6640625" style="38" customWidth="1"/>
    <col min="15119" max="15119" width="26.5546875" style="38" bestFit="1" customWidth="1"/>
    <col min="15120" max="15120" width="29.33203125" style="38" bestFit="1" customWidth="1"/>
    <col min="15121" max="15130" width="6.6640625" style="38" customWidth="1"/>
    <col min="15131" max="15360" width="8.6640625" style="38"/>
    <col min="15361" max="15361" width="66" style="38" customWidth="1"/>
    <col min="15362" max="15362" width="15" style="38" customWidth="1"/>
    <col min="15363" max="15363" width="8.6640625" style="38"/>
    <col min="15364" max="15364" width="11.44140625" style="38" customWidth="1"/>
    <col min="15365" max="15365" width="9.44140625" style="38" customWidth="1"/>
    <col min="15366" max="15366" width="9.6640625" style="38" bestFit="1" customWidth="1"/>
    <col min="15367" max="15367" width="8.6640625" style="38"/>
    <col min="15368" max="15368" width="25" style="38" customWidth="1"/>
    <col min="15369" max="15369" width="9.5546875" style="38" customWidth="1"/>
    <col min="15370" max="15370" width="8.6640625" style="38"/>
    <col min="15371" max="15371" width="15.6640625" style="38" customWidth="1"/>
    <col min="15372" max="15372" width="11.33203125" style="38" bestFit="1" customWidth="1"/>
    <col min="15373" max="15373" width="12.109375" style="38" customWidth="1"/>
    <col min="15374" max="15374" width="9.6640625" style="38" customWidth="1"/>
    <col min="15375" max="15375" width="26.5546875" style="38" bestFit="1" customWidth="1"/>
    <col min="15376" max="15376" width="29.33203125" style="38" bestFit="1" customWidth="1"/>
    <col min="15377" max="15386" width="6.6640625" style="38" customWidth="1"/>
    <col min="15387" max="15616" width="8.6640625" style="38"/>
    <col min="15617" max="15617" width="66" style="38" customWidth="1"/>
    <col min="15618" max="15618" width="15" style="38" customWidth="1"/>
    <col min="15619" max="15619" width="8.6640625" style="38"/>
    <col min="15620" max="15620" width="11.44140625" style="38" customWidth="1"/>
    <col min="15621" max="15621" width="9.44140625" style="38" customWidth="1"/>
    <col min="15622" max="15622" width="9.6640625" style="38" bestFit="1" customWidth="1"/>
    <col min="15623" max="15623" width="8.6640625" style="38"/>
    <col min="15624" max="15624" width="25" style="38" customWidth="1"/>
    <col min="15625" max="15625" width="9.5546875" style="38" customWidth="1"/>
    <col min="15626" max="15626" width="8.6640625" style="38"/>
    <col min="15627" max="15627" width="15.6640625" style="38" customWidth="1"/>
    <col min="15628" max="15628" width="11.33203125" style="38" bestFit="1" customWidth="1"/>
    <col min="15629" max="15629" width="12.109375" style="38" customWidth="1"/>
    <col min="15630" max="15630" width="9.6640625" style="38" customWidth="1"/>
    <col min="15631" max="15631" width="26.5546875" style="38" bestFit="1" customWidth="1"/>
    <col min="15632" max="15632" width="29.33203125" style="38" bestFit="1" customWidth="1"/>
    <col min="15633" max="15642" width="6.6640625" style="38" customWidth="1"/>
    <col min="15643" max="15872" width="8.6640625" style="38"/>
    <col min="15873" max="15873" width="66" style="38" customWidth="1"/>
    <col min="15874" max="15874" width="15" style="38" customWidth="1"/>
    <col min="15875" max="15875" width="8.6640625" style="38"/>
    <col min="15876" max="15876" width="11.44140625" style="38" customWidth="1"/>
    <col min="15877" max="15877" width="9.44140625" style="38" customWidth="1"/>
    <col min="15878" max="15878" width="9.6640625" style="38" bestFit="1" customWidth="1"/>
    <col min="15879" max="15879" width="8.6640625" style="38"/>
    <col min="15880" max="15880" width="25" style="38" customWidth="1"/>
    <col min="15881" max="15881" width="9.5546875" style="38" customWidth="1"/>
    <col min="15882" max="15882" width="8.6640625" style="38"/>
    <col min="15883" max="15883" width="15.6640625" style="38" customWidth="1"/>
    <col min="15884" max="15884" width="11.33203125" style="38" bestFit="1" customWidth="1"/>
    <col min="15885" max="15885" width="12.109375" style="38" customWidth="1"/>
    <col min="15886" max="15886" width="9.6640625" style="38" customWidth="1"/>
    <col min="15887" max="15887" width="26.5546875" style="38" bestFit="1" customWidth="1"/>
    <col min="15888" max="15888" width="29.33203125" style="38" bestFit="1" customWidth="1"/>
    <col min="15889" max="15898" width="6.6640625" style="38" customWidth="1"/>
    <col min="15899" max="16128" width="8.6640625" style="38"/>
    <col min="16129" max="16129" width="66" style="38" customWidth="1"/>
    <col min="16130" max="16130" width="15" style="38" customWidth="1"/>
    <col min="16131" max="16131" width="8.6640625" style="38"/>
    <col min="16132" max="16132" width="11.44140625" style="38" customWidth="1"/>
    <col min="16133" max="16133" width="9.44140625" style="38" customWidth="1"/>
    <col min="16134" max="16134" width="9.6640625" style="38" bestFit="1" customWidth="1"/>
    <col min="16135" max="16135" width="8.6640625" style="38"/>
    <col min="16136" max="16136" width="25" style="38" customWidth="1"/>
    <col min="16137" max="16137" width="9.5546875" style="38" customWidth="1"/>
    <col min="16138" max="16138" width="8.6640625" style="38"/>
    <col min="16139" max="16139" width="15.6640625" style="38" customWidth="1"/>
    <col min="16140" max="16140" width="11.33203125" style="38" bestFit="1" customWidth="1"/>
    <col min="16141" max="16141" width="12.109375" style="38" customWidth="1"/>
    <col min="16142" max="16142" width="9.6640625" style="38" customWidth="1"/>
    <col min="16143" max="16143" width="26.5546875" style="38" bestFit="1" customWidth="1"/>
    <col min="16144" max="16144" width="29.33203125" style="38" bestFit="1" customWidth="1"/>
    <col min="16145" max="16154" width="6.6640625" style="38" customWidth="1"/>
    <col min="16155" max="16384" width="8.6640625" style="38"/>
  </cols>
  <sheetData>
    <row r="1" spans="1:14" ht="24.9" customHeight="1">
      <c r="A1" s="1" t="s">
        <v>0</v>
      </c>
      <c r="B1" s="1">
        <v>1</v>
      </c>
      <c r="C1" s="2" t="s">
        <v>361</v>
      </c>
      <c r="H1" s="4" t="s">
        <v>1</v>
      </c>
      <c r="I1" s="5"/>
      <c r="J1" s="3"/>
      <c r="K1" s="3"/>
      <c r="L1" s="3"/>
      <c r="M1" s="3"/>
      <c r="N1" s="3"/>
    </row>
    <row r="2" spans="1:14" ht="15" customHeight="1">
      <c r="A2" s="6"/>
      <c r="B2" s="7" t="s">
        <v>2</v>
      </c>
      <c r="C2" s="8"/>
      <c r="D2" s="254" t="s">
        <v>3</v>
      </c>
      <c r="E2" s="255"/>
      <c r="F2" s="256" t="s">
        <v>4</v>
      </c>
      <c r="H2" s="3"/>
      <c r="I2" s="3"/>
      <c r="J2" s="3"/>
      <c r="K2" s="3"/>
      <c r="L2" s="3"/>
      <c r="M2" s="3"/>
      <c r="N2" s="3"/>
    </row>
    <row r="3" spans="1:14" ht="15" customHeight="1">
      <c r="A3" s="9" t="s">
        <v>5</v>
      </c>
      <c r="B3" s="253">
        <v>55819.208484096103</v>
      </c>
      <c r="C3" s="10">
        <f>SUM(C4:C5)</f>
        <v>1</v>
      </c>
      <c r="D3" s="258">
        <f>SUM(D4:D5)</f>
        <v>2631.900000000001</v>
      </c>
      <c r="E3" s="257">
        <f>D3/$D$3</f>
        <v>1</v>
      </c>
      <c r="F3" s="259" t="s">
        <v>6</v>
      </c>
      <c r="H3" s="9" t="s">
        <v>7</v>
      </c>
      <c r="I3" s="11">
        <v>0</v>
      </c>
      <c r="J3" s="12" t="s">
        <v>8</v>
      </c>
      <c r="K3" s="3"/>
      <c r="L3" s="13" t="s">
        <v>9</v>
      </c>
      <c r="M3" s="14">
        <v>0.45</v>
      </c>
      <c r="N3" s="15">
        <f>M3*B3</f>
        <v>25118.643817843247</v>
      </c>
    </row>
    <row r="4" spans="1:14" ht="15" customHeight="1">
      <c r="A4" s="16" t="s">
        <v>10</v>
      </c>
      <c r="B4" s="17">
        <f>C4*B3</f>
        <v>47739.377702622754</v>
      </c>
      <c r="C4" s="18">
        <v>0.85524999366883825</v>
      </c>
      <c r="D4" s="260">
        <f>SUMIFS([13]Ram!G2:G978,[13]Ram!C2:C978,230,[13]Ram!F2:F978,"S")</f>
        <v>2357.1400000000008</v>
      </c>
      <c r="E4" s="261">
        <f>D4/$D$3</f>
        <v>0.89560393631976898</v>
      </c>
      <c r="F4" s="262">
        <f>B4/D4</f>
        <v>20.253093877590103</v>
      </c>
      <c r="H4" s="3"/>
      <c r="I4" s="3"/>
      <c r="J4" s="3"/>
      <c r="K4" s="3"/>
      <c r="L4" s="13" t="s">
        <v>11</v>
      </c>
      <c r="M4" s="14">
        <v>0.55000000000000004</v>
      </c>
      <c r="N4" s="15">
        <f>M4*B3</f>
        <v>30700.56466625286</v>
      </c>
    </row>
    <row r="5" spans="1:14" ht="15" customHeight="1">
      <c r="A5" s="19" t="s">
        <v>12</v>
      </c>
      <c r="B5" s="20">
        <f>C5*B3</f>
        <v>8079.8307814733489</v>
      </c>
      <c r="C5" s="21">
        <f>1-C4</f>
        <v>0.14475000633116175</v>
      </c>
      <c r="D5" s="263">
        <f>SUMIFS([13]Ram!G2:G978,[13]Ram!C2:C978,115,[13]Ram!F2:F978,"S")</f>
        <v>274.76000000000005</v>
      </c>
      <c r="E5" s="264">
        <f>D5/$D$3</f>
        <v>0.10439606368023099</v>
      </c>
      <c r="F5" s="265">
        <f>B5/D5</f>
        <v>29.40686701657209</v>
      </c>
      <c r="H5" s="3"/>
      <c r="I5" s="3"/>
      <c r="J5" s="3"/>
      <c r="K5" s="3"/>
      <c r="L5" s="3"/>
      <c r="M5" s="3"/>
      <c r="N5" s="3"/>
    </row>
    <row r="6" spans="1:14" ht="15" customHeight="1">
      <c r="A6" s="22"/>
      <c r="B6" s="22"/>
      <c r="C6" s="23"/>
      <c r="E6" s="266"/>
      <c r="H6" s="3"/>
      <c r="I6" s="3"/>
      <c r="J6" s="3"/>
      <c r="K6" s="3"/>
      <c r="L6" s="24" t="s">
        <v>13</v>
      </c>
      <c r="M6" s="25">
        <f>[13]ENERGIA!L17</f>
        <v>0</v>
      </c>
      <c r="N6" s="26" t="s">
        <v>14</v>
      </c>
    </row>
    <row r="7" spans="1:14" ht="15" customHeight="1">
      <c r="A7" s="27" t="s">
        <v>15</v>
      </c>
      <c r="B7" s="253">
        <v>62034.604491010214</v>
      </c>
      <c r="C7" s="10">
        <v>1</v>
      </c>
      <c r="D7" s="267">
        <f>SUMIF([13]Ram!F3:F978,"SD",[13]Ram!G3:G978)</f>
        <v>604.92000000000007</v>
      </c>
      <c r="E7" s="257">
        <v>1</v>
      </c>
      <c r="F7" s="268">
        <f>IF(B7&gt;0,B7/D7,0)</f>
        <v>102.55009669214145</v>
      </c>
      <c r="G7" s="38" t="s">
        <v>184</v>
      </c>
      <c r="H7" s="9" t="s">
        <v>16</v>
      </c>
      <c r="I7" s="11">
        <v>0</v>
      </c>
      <c r="J7" s="12" t="s">
        <v>8</v>
      </c>
      <c r="K7" s="3"/>
      <c r="L7" s="28" t="s">
        <v>17</v>
      </c>
      <c r="M7" s="29">
        <f>[13]ENERGIA!L2</f>
        <v>0</v>
      </c>
      <c r="N7" s="30" t="s">
        <v>14</v>
      </c>
    </row>
    <row r="9" spans="1:14" ht="15" customHeight="1">
      <c r="A9" s="363" t="s">
        <v>18</v>
      </c>
      <c r="B9" s="363"/>
      <c r="C9" s="363"/>
      <c r="D9" s="363"/>
      <c r="E9" s="363"/>
      <c r="F9" s="363"/>
      <c r="G9" s="363"/>
      <c r="H9" s="363"/>
      <c r="I9" s="363"/>
      <c r="J9" s="363"/>
      <c r="K9" s="363"/>
      <c r="L9" s="363"/>
    </row>
    <row r="10" spans="1:14" ht="15" customHeight="1">
      <c r="A10" s="269" t="s">
        <v>19</v>
      </c>
      <c r="B10" s="270">
        <v>1</v>
      </c>
      <c r="C10" s="271">
        <v>2</v>
      </c>
      <c r="D10" s="271">
        <v>3</v>
      </c>
      <c r="E10" s="271">
        <v>4</v>
      </c>
      <c r="F10" s="271">
        <v>5</v>
      </c>
      <c r="G10" s="271">
        <v>6</v>
      </c>
      <c r="H10" s="271">
        <v>7</v>
      </c>
      <c r="I10" s="271">
        <v>8</v>
      </c>
      <c r="J10" s="271">
        <v>9</v>
      </c>
      <c r="K10" s="272">
        <v>10</v>
      </c>
      <c r="L10" s="273" t="s">
        <v>20</v>
      </c>
    </row>
    <row r="11" spans="1:14" ht="15" customHeight="1">
      <c r="A11" s="274" t="s">
        <v>21</v>
      </c>
      <c r="B11" s="275">
        <f t="shared" ref="B11:K11" si="0">SUMIF($G$17:$G$1079,B$10,$D$17:$D$1079)</f>
        <v>545.61</v>
      </c>
      <c r="C11" s="275">
        <f t="shared" si="0"/>
        <v>616.73000000000013</v>
      </c>
      <c r="D11" s="275">
        <f t="shared" si="0"/>
        <v>178.73000000000005</v>
      </c>
      <c r="E11" s="275">
        <f t="shared" si="0"/>
        <v>594.92099999999982</v>
      </c>
      <c r="F11" s="275">
        <f t="shared" si="0"/>
        <v>798.6099999999999</v>
      </c>
      <c r="G11" s="275">
        <f t="shared" si="0"/>
        <v>231.41000000000003</v>
      </c>
      <c r="H11" s="275">
        <f t="shared" si="0"/>
        <v>154.33000000000001</v>
      </c>
      <c r="I11" s="275">
        <f t="shared" si="0"/>
        <v>260</v>
      </c>
      <c r="J11" s="275">
        <f>SUMIF($G$17:$G$1079,J$10,$D$17:$D$1079)</f>
        <v>1565.45</v>
      </c>
      <c r="K11" s="275">
        <f t="shared" si="0"/>
        <v>222.17</v>
      </c>
      <c r="L11" s="276">
        <f>SUM(B11:K11)</f>
        <v>5167.9609999999993</v>
      </c>
      <c r="M11" s="284">
        <f>SUM(D17,D63,D84,D95,D142,D204,D225,D232,D235,D247)</f>
        <v>5197.9609999999993</v>
      </c>
    </row>
    <row r="12" spans="1:14" ht="15" customHeight="1">
      <c r="A12" s="278" t="s">
        <v>22</v>
      </c>
      <c r="B12" s="279">
        <f t="shared" ref="B12:K12" si="1">SUMIF($M$18:$M$1019,B$10,$K$18:$K$1019)</f>
        <v>22.390507703014958</v>
      </c>
      <c r="C12" s="279">
        <f t="shared" si="1"/>
        <v>0</v>
      </c>
      <c r="D12" s="279">
        <f t="shared" si="1"/>
        <v>4.2893724068778262E-2</v>
      </c>
      <c r="E12" s="279">
        <f t="shared" si="1"/>
        <v>145.58380196503975</v>
      </c>
      <c r="F12" s="279">
        <f t="shared" si="1"/>
        <v>328.63219262793052</v>
      </c>
      <c r="G12" s="279">
        <f t="shared" si="1"/>
        <v>202.86898067054378</v>
      </c>
      <c r="H12" s="279">
        <f t="shared" si="1"/>
        <v>1146.3041065888617</v>
      </c>
      <c r="I12" s="279">
        <f t="shared" si="1"/>
        <v>2.4</v>
      </c>
      <c r="J12" s="279">
        <f t="shared" si="1"/>
        <v>123.54162415471392</v>
      </c>
      <c r="K12" s="279">
        <f t="shared" si="1"/>
        <v>55.695402220951536</v>
      </c>
      <c r="L12" s="280">
        <f>SUM(B12:K12)</f>
        <v>2027.459509655125</v>
      </c>
      <c r="M12" s="277">
        <f>SUM(K17,K22,K24,K28,K33,K44,K51,K71,K75,K82)</f>
        <v>2027.459509655125</v>
      </c>
    </row>
    <row r="13" spans="1:14" ht="15" customHeight="1">
      <c r="M13" s="281"/>
    </row>
    <row r="15" spans="1:14" ht="15" customHeight="1">
      <c r="A15" s="285" t="s">
        <v>23</v>
      </c>
      <c r="B15" s="286"/>
      <c r="C15" s="286"/>
      <c r="D15" s="286"/>
      <c r="E15" s="286"/>
      <c r="F15" s="286"/>
      <c r="G15" s="287"/>
      <c r="H15" s="285" t="s">
        <v>24</v>
      </c>
      <c r="I15" s="286"/>
      <c r="J15" s="286"/>
      <c r="K15" s="286"/>
      <c r="L15" s="286"/>
      <c r="M15" s="286"/>
    </row>
    <row r="16" spans="1:14" ht="26.4">
      <c r="A16" s="288" t="s">
        <v>25</v>
      </c>
      <c r="B16" s="289"/>
      <c r="C16" s="290" t="s">
        <v>26</v>
      </c>
      <c r="D16" s="32" t="s">
        <v>21</v>
      </c>
      <c r="E16" s="32" t="s">
        <v>27</v>
      </c>
      <c r="F16" s="282"/>
      <c r="G16" s="282"/>
      <c r="H16" s="291" t="s">
        <v>25</v>
      </c>
      <c r="I16" s="292"/>
      <c r="J16" s="293" t="s">
        <v>26</v>
      </c>
      <c r="K16" s="294" t="s">
        <v>22</v>
      </c>
      <c r="L16" s="283">
        <f>+K17+K22+K24+K28+K33+K44+K51+K71+K75+K82</f>
        <v>2027.459509655125</v>
      </c>
      <c r="M16" s="282"/>
    </row>
    <row r="17" spans="1:13" ht="15" customHeight="1">
      <c r="A17" s="33">
        <v>1</v>
      </c>
      <c r="B17" s="34"/>
      <c r="C17" s="45"/>
      <c r="D17" s="46">
        <f>SUM(D18:D61)</f>
        <v>545.61</v>
      </c>
      <c r="E17" s="297"/>
      <c r="F17" s="31"/>
      <c r="G17" s="31"/>
      <c r="H17" s="298">
        <v>1</v>
      </c>
      <c r="I17" s="299"/>
      <c r="J17" s="327"/>
      <c r="K17" s="300">
        <f>SUM(K18:K20)</f>
        <v>22.390507703014958</v>
      </c>
      <c r="L17" s="281"/>
      <c r="M17" s="281"/>
    </row>
    <row r="18" spans="1:13" ht="15" customHeight="1">
      <c r="A18" s="301" t="s">
        <v>28</v>
      </c>
      <c r="C18" s="39">
        <v>6014</v>
      </c>
      <c r="D18" s="358">
        <v>87.6</v>
      </c>
      <c r="E18" s="302">
        <v>0</v>
      </c>
      <c r="F18" s="31" t="str">
        <f>IFERROR(VLOOKUP($C18,[13]Nod!$A$3:$E$979,4,FALSE)," ")</f>
        <v>PRO230</v>
      </c>
      <c r="G18" s="31">
        <f>IFERROR(VLOOKUP($C18,[13]Nod!$A$3:$E$979,5,FALSE)," ")</f>
        <v>1</v>
      </c>
      <c r="H18" s="296" t="s">
        <v>29</v>
      </c>
      <c r="I18" s="67"/>
      <c r="J18" s="68"/>
      <c r="K18" s="68"/>
      <c r="L18" s="281"/>
      <c r="M18" s="281"/>
    </row>
    <row r="19" spans="1:13" ht="15" customHeight="1">
      <c r="A19" s="301" t="s">
        <v>30</v>
      </c>
      <c r="C19" s="39">
        <v>6014</v>
      </c>
      <c r="D19" s="358">
        <v>57.4</v>
      </c>
      <c r="E19" s="302">
        <v>0</v>
      </c>
      <c r="F19" s="31" t="str">
        <f>IFERROR(VLOOKUP($C19,[13]Nod!$A$3:$E$979,4,FALSE)," ")</f>
        <v>PRO230</v>
      </c>
      <c r="G19" s="31">
        <f>IFERROR(VLOOKUP($C19,[13]Nod!$A$3:$E$979,5,FALSE)," ")</f>
        <v>1</v>
      </c>
      <c r="H19" s="69" t="s">
        <v>31</v>
      </c>
      <c r="I19" s="67"/>
      <c r="J19" s="68">
        <v>6014</v>
      </c>
      <c r="K19" s="65">
        <v>22.25873312253178</v>
      </c>
      <c r="L19" s="281" t="str">
        <f>VLOOKUP($J19,[13]Nod!$A$3:$E$978,4,FALSE)</f>
        <v>PRO230</v>
      </c>
      <c r="M19" s="281">
        <f>VLOOKUP($J19,[13]Nod!$A$3:$E$978,5,FALSE)</f>
        <v>1</v>
      </c>
    </row>
    <row r="20" spans="1:13" ht="15" customHeight="1">
      <c r="A20" s="301" t="s">
        <v>32</v>
      </c>
      <c r="C20" s="39">
        <v>6014</v>
      </c>
      <c r="D20" s="358">
        <v>30</v>
      </c>
      <c r="E20" s="302">
        <v>0</v>
      </c>
      <c r="F20" s="31" t="str">
        <f>IFERROR(VLOOKUP($C20,[13]Nod!$A$3:$E$979,4,FALSE)," ")</f>
        <v>PRO230</v>
      </c>
      <c r="G20" s="31">
        <f>IFERROR(VLOOKUP($C20,[13]Nod!$A$3:$E$979,5,FALSE)," ")</f>
        <v>1</v>
      </c>
      <c r="H20" s="69" t="s">
        <v>33</v>
      </c>
      <c r="I20" s="67"/>
      <c r="J20" s="68">
        <v>6014</v>
      </c>
      <c r="K20" s="65">
        <v>0.13177458048317736</v>
      </c>
      <c r="L20" s="281" t="str">
        <f>VLOOKUP($J20,[13]Nod!$A$3:$E$978,4,FALSE)</f>
        <v>PRO230</v>
      </c>
      <c r="M20" s="281">
        <f>VLOOKUP($J20,[13]Nod!$A$3:$E$978,5,FALSE)</f>
        <v>1</v>
      </c>
    </row>
    <row r="21" spans="1:13" ht="15" customHeight="1">
      <c r="A21" s="301" t="s">
        <v>34</v>
      </c>
      <c r="C21" s="39">
        <v>6014</v>
      </c>
      <c r="D21" s="358">
        <v>27.9</v>
      </c>
      <c r="E21" s="302">
        <v>0</v>
      </c>
      <c r="F21" s="31" t="str">
        <f>IFERROR(VLOOKUP($C21,[13]Nod!$A$3:$E$979,4,FALSE)," ")</f>
        <v>PRO230</v>
      </c>
      <c r="G21" s="31">
        <f>IFERROR(VLOOKUP($C21,[13]Nod!$A$3:$E$979,5,FALSE)," ")</f>
        <v>1</v>
      </c>
      <c r="H21" s="303" t="s">
        <v>35</v>
      </c>
      <c r="I21" s="304"/>
      <c r="J21" s="306"/>
      <c r="K21" s="306"/>
      <c r="L21" s="281"/>
      <c r="M21" s="281"/>
    </row>
    <row r="22" spans="1:13" ht="15" customHeight="1">
      <c r="A22" s="301" t="s">
        <v>36</v>
      </c>
      <c r="C22" s="39">
        <v>6014</v>
      </c>
      <c r="D22" s="358">
        <v>10</v>
      </c>
      <c r="E22" s="302">
        <v>0</v>
      </c>
      <c r="F22" s="31" t="str">
        <f>IFERROR(VLOOKUP($C22,[13]Nod!$A$3:$E$979,4,FALSE)," ")</f>
        <v>PRO230</v>
      </c>
      <c r="G22" s="31">
        <f>IFERROR(VLOOKUP($C22,[13]Nod!$A$3:$E$979,5,FALSE)," ")</f>
        <v>1</v>
      </c>
      <c r="H22" s="307">
        <v>2</v>
      </c>
      <c r="I22" s="299"/>
      <c r="J22" s="327"/>
      <c r="K22" s="300">
        <v>0</v>
      </c>
      <c r="L22" s="281"/>
      <c r="M22" s="281"/>
    </row>
    <row r="23" spans="1:13" ht="15" customHeight="1">
      <c r="A23" s="301" t="s">
        <v>189</v>
      </c>
      <c r="C23" s="39">
        <v>6014</v>
      </c>
      <c r="D23" s="358">
        <v>9.99</v>
      </c>
      <c r="E23" s="302">
        <v>0</v>
      </c>
      <c r="F23" s="31" t="str">
        <f>IFERROR(VLOOKUP($C23,[13]Nod!$A$3:$E$979,4,FALSE)," ")</f>
        <v>PRO230</v>
      </c>
      <c r="G23" s="31">
        <f>IFERROR(VLOOKUP($C23,[13]Nod!$A$3:$E$979,5,FALSE)," ")</f>
        <v>1</v>
      </c>
      <c r="H23" s="303" t="s">
        <v>35</v>
      </c>
      <c r="I23" s="304"/>
      <c r="J23" s="306"/>
      <c r="K23" s="306"/>
      <c r="L23" s="281"/>
      <c r="M23" s="281"/>
    </row>
    <row r="24" spans="1:13" ht="15" customHeight="1">
      <c r="A24" s="301" t="s">
        <v>190</v>
      </c>
      <c r="C24" s="39">
        <v>6014</v>
      </c>
      <c r="D24" s="358">
        <v>5.5</v>
      </c>
      <c r="E24" s="302">
        <v>0</v>
      </c>
      <c r="F24" s="31" t="str">
        <f>IFERROR(VLOOKUP($C24,[13]Nod!$A$3:$E$979,4,FALSE)," ")</f>
        <v>PRO230</v>
      </c>
      <c r="G24" s="31">
        <f>IFERROR(VLOOKUP($C24,[13]Nod!$A$3:$E$979,5,FALSE)," ")</f>
        <v>1</v>
      </c>
      <c r="H24" s="298">
        <v>3</v>
      </c>
      <c r="I24" s="299"/>
      <c r="J24" s="327"/>
      <c r="K24" s="300">
        <f>SUM(K25:K27)</f>
        <v>4.2893724068778262E-2</v>
      </c>
      <c r="L24" s="281"/>
      <c r="M24" s="281"/>
    </row>
    <row r="25" spans="1:13" ht="15" customHeight="1">
      <c r="A25" s="301" t="s">
        <v>359</v>
      </c>
      <c r="C25" s="39">
        <v>6014</v>
      </c>
      <c r="D25" s="358">
        <v>10</v>
      </c>
      <c r="E25" s="302">
        <v>0</v>
      </c>
      <c r="F25" s="31" t="str">
        <f>IFERROR(VLOOKUP($C25,[13]Nod!$A$3:$E$979,4,FALSE)," ")</f>
        <v>PRO230</v>
      </c>
      <c r="G25" s="31">
        <f>IFERROR(VLOOKUP($C25,[13]Nod!$A$3:$E$979,5,FALSE)," ")</f>
        <v>1</v>
      </c>
      <c r="H25" s="296" t="s">
        <v>29</v>
      </c>
      <c r="I25" s="67"/>
      <c r="J25" s="68"/>
      <c r="K25" s="68"/>
      <c r="L25" s="281"/>
      <c r="M25" s="281"/>
    </row>
    <row r="26" spans="1:13" ht="15" customHeight="1">
      <c r="A26" s="301" t="s">
        <v>358</v>
      </c>
      <c r="C26" s="39">
        <v>6014</v>
      </c>
      <c r="D26" s="358">
        <v>10</v>
      </c>
      <c r="E26" s="302">
        <v>0</v>
      </c>
      <c r="F26" s="31" t="str">
        <f>IFERROR(VLOOKUP($C26,[13]Nod!$A$3:$E$979,4,FALSE)," ")</f>
        <v>PRO230</v>
      </c>
      <c r="G26" s="31">
        <f>IFERROR(VLOOKUP($C26,[13]Nod!$A$3:$E$979,5,FALSE)," ")</f>
        <v>1</v>
      </c>
      <c r="H26" s="69" t="s">
        <v>37</v>
      </c>
      <c r="I26" s="67"/>
      <c r="J26" s="68">
        <v>6087</v>
      </c>
      <c r="K26" s="65">
        <v>4.2893724068778262E-2</v>
      </c>
      <c r="L26" s="281" t="str">
        <f>VLOOKUP($J26,[13]Nod!$A$3:$E$978,4,FALSE)</f>
        <v>CAL115</v>
      </c>
      <c r="M26" s="281">
        <f>VLOOKUP($J26,[13]Nod!$A$3:$E$978,5,FALSE)</f>
        <v>3</v>
      </c>
    </row>
    <row r="27" spans="1:13" ht="15" customHeight="1">
      <c r="A27" s="301" t="s">
        <v>357</v>
      </c>
      <c r="C27" s="39">
        <v>6014</v>
      </c>
      <c r="D27" s="358">
        <v>10</v>
      </c>
      <c r="E27" s="302">
        <v>0</v>
      </c>
      <c r="F27" s="31" t="str">
        <f>IFERROR(VLOOKUP($C27,[13]Nod!$A$3:$E$979,4,FALSE)," ")</f>
        <v>PRO230</v>
      </c>
      <c r="G27" s="31">
        <f>IFERROR(VLOOKUP($C27,[13]Nod!$A$3:$E$979,5,FALSE)," ")</f>
        <v>1</v>
      </c>
      <c r="H27" s="303" t="s">
        <v>35</v>
      </c>
      <c r="I27" s="304"/>
      <c r="J27" s="306"/>
      <c r="K27" s="306"/>
      <c r="L27" s="281"/>
      <c r="M27" s="281"/>
    </row>
    <row r="28" spans="1:13" ht="15" customHeight="1">
      <c r="A28" s="301" t="s">
        <v>356</v>
      </c>
      <c r="C28" s="39">
        <v>6014</v>
      </c>
      <c r="D28" s="358">
        <v>10</v>
      </c>
      <c r="E28" s="302">
        <v>0</v>
      </c>
      <c r="F28" s="31" t="str">
        <f>IFERROR(VLOOKUP($C28,[13]Nod!$A$3:$E$979,4,FALSE)," ")</f>
        <v>PRO230</v>
      </c>
      <c r="G28" s="31">
        <f>IFERROR(VLOOKUP($C28,[13]Nod!$A$3:$E$979,5,FALSE)," ")</f>
        <v>1</v>
      </c>
      <c r="H28" s="298">
        <v>4</v>
      </c>
      <c r="I28" s="299"/>
      <c r="J28" s="327"/>
      <c r="K28" s="300">
        <f>SUM(K29:K32)</f>
        <v>145.58380196503975</v>
      </c>
      <c r="L28" s="281"/>
      <c r="M28" s="281"/>
    </row>
    <row r="29" spans="1:13" ht="15" customHeight="1">
      <c r="A29" s="301" t="s">
        <v>355</v>
      </c>
      <c r="C29" s="39">
        <v>6014</v>
      </c>
      <c r="D29" s="358">
        <v>10</v>
      </c>
      <c r="E29" s="302">
        <v>0</v>
      </c>
      <c r="F29" s="31" t="str">
        <f>IFERROR(VLOOKUP($C29,[13]Nod!$A$3:$E$979,4,FALSE)," ")</f>
        <v>PRO230</v>
      </c>
      <c r="G29" s="31">
        <f>IFERROR(VLOOKUP($C29,[13]Nod!$A$3:$E$979,5,FALSE)," ")</f>
        <v>1</v>
      </c>
      <c r="H29" s="296" t="s">
        <v>29</v>
      </c>
      <c r="I29" s="67"/>
      <c r="J29" s="68"/>
      <c r="K29" s="68"/>
      <c r="L29" s="281"/>
      <c r="M29" s="281"/>
    </row>
    <row r="30" spans="1:13" ht="15" customHeight="1">
      <c r="A30" s="301" t="s">
        <v>354</v>
      </c>
      <c r="C30" s="39">
        <v>6014</v>
      </c>
      <c r="D30" s="358">
        <v>19.88</v>
      </c>
      <c r="E30" s="302">
        <v>0</v>
      </c>
      <c r="F30" s="31" t="str">
        <f>IFERROR(VLOOKUP($C30,[13]Nod!$A$3:$E$979,4,FALSE)," ")</f>
        <v>PRO230</v>
      </c>
      <c r="G30" s="31">
        <f>IFERROR(VLOOKUP($C30,[13]Nod!$A$3:$E$979,5,FALSE)," ")</f>
        <v>1</v>
      </c>
      <c r="H30" s="57" t="s">
        <v>38</v>
      </c>
      <c r="I30" s="67"/>
      <c r="J30" s="68">
        <v>6013</v>
      </c>
      <c r="K30" s="65">
        <v>0</v>
      </c>
      <c r="L30" s="281" t="str">
        <f>VLOOKUP($J30,[13]Nod!$A$3:$E$978,4,FALSE)</f>
        <v>MDN34</v>
      </c>
      <c r="M30" s="281">
        <f>VLOOKUP($J30,[13]Nod!$A$3:$E$978,5,FALSE)</f>
        <v>4</v>
      </c>
    </row>
    <row r="31" spans="1:13" ht="15" customHeight="1">
      <c r="A31" s="301" t="s">
        <v>188</v>
      </c>
      <c r="C31" s="39">
        <v>6014</v>
      </c>
      <c r="D31" s="358">
        <v>25.9</v>
      </c>
      <c r="E31" s="302">
        <v>0</v>
      </c>
      <c r="F31" s="31" t="str">
        <f>IFERROR(VLOOKUP($C31,[13]Nod!$A$3:$E$979,4,FALSE)," ")</f>
        <v>PRO230</v>
      </c>
      <c r="G31" s="31">
        <f>IFERROR(VLOOKUP($C31,[13]Nod!$A$3:$E$979,5,FALSE)," ")</f>
        <v>1</v>
      </c>
      <c r="H31" s="57" t="s">
        <v>39</v>
      </c>
      <c r="I31" s="67"/>
      <c r="J31" s="68">
        <v>6013</v>
      </c>
      <c r="K31" s="344">
        <v>145.58380196503975</v>
      </c>
      <c r="L31" s="281" t="str">
        <f>VLOOKUP($J31,[13]Nod!$A$3:$E$978,4,FALSE)</f>
        <v>MDN34</v>
      </c>
      <c r="M31" s="281">
        <f>VLOOKUP($J31,[13]Nod!$A$3:$E$978,5,FALSE)</f>
        <v>4</v>
      </c>
    </row>
    <row r="32" spans="1:13" ht="15" customHeight="1">
      <c r="A32" s="301" t="s">
        <v>353</v>
      </c>
      <c r="C32" s="39">
        <v>6014</v>
      </c>
      <c r="D32" s="358">
        <v>23.9</v>
      </c>
      <c r="E32" s="302">
        <v>0</v>
      </c>
      <c r="F32" s="31" t="str">
        <f>IFERROR(VLOOKUP($C32,[13]Nod!$A$3:$E$979,4,FALSE)," ")</f>
        <v>PRO230</v>
      </c>
      <c r="G32" s="31">
        <f>IFERROR(VLOOKUP($C32,[13]Nod!$A$3:$E$979,5,FALSE)," ")</f>
        <v>1</v>
      </c>
      <c r="H32" s="303" t="s">
        <v>35</v>
      </c>
      <c r="I32" s="304"/>
      <c r="J32" s="306"/>
      <c r="K32" s="308"/>
      <c r="L32" s="281"/>
      <c r="M32" s="281"/>
    </row>
    <row r="33" spans="1:13" ht="15" customHeight="1">
      <c r="A33" s="301" t="s">
        <v>352</v>
      </c>
      <c r="C33" s="39">
        <v>6014</v>
      </c>
      <c r="D33" s="358">
        <v>9.9</v>
      </c>
      <c r="E33" s="302">
        <v>0</v>
      </c>
      <c r="F33" s="31" t="str">
        <f>IFERROR(VLOOKUP($C33,[13]Nod!$A$3:$E$979,4,FALSE)," ")</f>
        <v>PRO230</v>
      </c>
      <c r="G33" s="31">
        <f>IFERROR(VLOOKUP($C33,[13]Nod!$A$3:$E$979,5,FALSE)," ")</f>
        <v>1</v>
      </c>
      <c r="H33" s="309">
        <v>5</v>
      </c>
      <c r="I33" s="310"/>
      <c r="J33" s="326"/>
      <c r="K33" s="311">
        <f>SUM(K34:K43)</f>
        <v>328.63219262793052</v>
      </c>
      <c r="L33" s="281"/>
      <c r="M33" s="281"/>
    </row>
    <row r="34" spans="1:13" ht="15" customHeight="1">
      <c r="A34" s="301" t="s">
        <v>191</v>
      </c>
      <c r="C34" s="39">
        <v>6014</v>
      </c>
      <c r="D34" s="358">
        <v>10</v>
      </c>
      <c r="E34" s="48">
        <v>0</v>
      </c>
      <c r="F34" s="31" t="str">
        <f>IFERROR(VLOOKUP($C34,[13]Nod!$A$3:$E$979,4,FALSE)," ")</f>
        <v>PRO230</v>
      </c>
      <c r="G34" s="31">
        <f>IFERROR(VLOOKUP($C34,[13]Nod!$A$3:$E$979,5,FALSE)," ")</f>
        <v>1</v>
      </c>
      <c r="H34" s="296" t="s">
        <v>40</v>
      </c>
      <c r="I34" s="67"/>
      <c r="J34" s="68"/>
      <c r="K34" s="312"/>
      <c r="L34" s="281"/>
      <c r="M34" s="281"/>
    </row>
    <row r="35" spans="1:13" ht="15" customHeight="1">
      <c r="A35" s="301" t="s">
        <v>192</v>
      </c>
      <c r="C35" s="39">
        <v>6014</v>
      </c>
      <c r="D35" s="358">
        <v>10</v>
      </c>
      <c r="E35" s="48">
        <v>0</v>
      </c>
      <c r="F35" s="31" t="str">
        <f>IFERROR(VLOOKUP($C35,[13]Nod!$A$3:$E$979,4,FALSE)," ")</f>
        <v>PRO230</v>
      </c>
      <c r="G35" s="31">
        <f>IFERROR(VLOOKUP($C35,[13]Nod!$A$3:$E$979,5,FALSE)," ")</f>
        <v>1</v>
      </c>
      <c r="H35" s="313" t="s">
        <v>41</v>
      </c>
      <c r="I35" s="67"/>
      <c r="J35" s="68">
        <v>6460</v>
      </c>
      <c r="K35" s="65">
        <v>243.67515083210273</v>
      </c>
      <c r="L35" s="281" t="str">
        <f>VLOOKUP($J35,[13]Nod!$A$3:$E$978,4,FALSE)</f>
        <v>ECO230</v>
      </c>
      <c r="M35" s="281">
        <f>VLOOKUP($J35,[13]Nod!$A$3:$E$978,5,FALSE)</f>
        <v>5</v>
      </c>
    </row>
    <row r="36" spans="1:13" ht="15" customHeight="1">
      <c r="A36" s="301" t="s">
        <v>193</v>
      </c>
      <c r="C36" s="39">
        <v>6014</v>
      </c>
      <c r="D36" s="358">
        <v>19.88</v>
      </c>
      <c r="E36" s="48">
        <v>0</v>
      </c>
      <c r="F36" s="31" t="str">
        <f>IFERROR(VLOOKUP($C36,[13]Nod!$A$3:$E$979,4,FALSE)," ")</f>
        <v>PRO230</v>
      </c>
      <c r="G36" s="31">
        <f>IFERROR(VLOOKUP($C36,[13]Nod!$A$3:$E$979,5,FALSE)," ")</f>
        <v>1</v>
      </c>
      <c r="H36" s="313" t="s">
        <v>104</v>
      </c>
      <c r="I36" s="67"/>
      <c r="J36" s="68">
        <v>6460</v>
      </c>
      <c r="K36" s="65">
        <v>18.655041795827746</v>
      </c>
      <c r="L36" s="281" t="str">
        <f>VLOOKUP($J36,[13]Nod!$A$3:$E$978,4,FALSE)</f>
        <v>ECO230</v>
      </c>
      <c r="M36" s="281">
        <f>VLOOKUP($J36,[13]Nod!$A$3:$E$978,5,FALSE)</f>
        <v>5</v>
      </c>
    </row>
    <row r="37" spans="1:13" ht="15" customHeight="1">
      <c r="A37" s="301" t="s">
        <v>351</v>
      </c>
      <c r="C37" s="39">
        <v>6014</v>
      </c>
      <c r="D37" s="358">
        <v>1.05</v>
      </c>
      <c r="E37" s="48">
        <v>0</v>
      </c>
      <c r="F37" s="31" t="str">
        <f>IFERROR(VLOOKUP($C37,[13]Nod!$A$3:$E$979,4,FALSE)," ")</f>
        <v>PRO230</v>
      </c>
      <c r="G37" s="31">
        <f>IFERROR(VLOOKUP($C37,[13]Nod!$A$3:$E$979,5,FALSE)," ")</f>
        <v>1</v>
      </c>
      <c r="H37" s="296" t="s">
        <v>42</v>
      </c>
      <c r="I37" s="67"/>
      <c r="J37" s="68"/>
      <c r="K37" s="68"/>
      <c r="L37" s="281"/>
      <c r="M37" s="281"/>
    </row>
    <row r="38" spans="1:13" ht="15" customHeight="1">
      <c r="A38" s="314" t="s">
        <v>350</v>
      </c>
      <c r="C38" s="39">
        <v>6014</v>
      </c>
      <c r="D38" s="358">
        <v>9.99</v>
      </c>
      <c r="E38" s="48">
        <v>0</v>
      </c>
      <c r="F38" s="31" t="str">
        <f>IFERROR(VLOOKUP($C38,[13]Nod!$A$3:$E$979,4,FALSE)," ")</f>
        <v>PRO230</v>
      </c>
      <c r="G38" s="31">
        <f>IFERROR(VLOOKUP($C38,[13]Nod!$A$3:$E$979,5,FALSE)," ")</f>
        <v>1</v>
      </c>
      <c r="H38" s="69" t="s">
        <v>44</v>
      </c>
      <c r="I38" s="67"/>
      <c r="J38" s="68">
        <v>6460</v>
      </c>
      <c r="K38" s="65">
        <v>0.93199999999999994</v>
      </c>
      <c r="L38" s="281" t="str">
        <f>VLOOKUP($J38,[13]Nod!$A$3:$E$978,4,FALSE)</f>
        <v>ECO230</v>
      </c>
      <c r="M38" s="281">
        <f>VLOOKUP($J38,[13]Nod!$A$3:$E$978,5,FALSE)</f>
        <v>5</v>
      </c>
    </row>
    <row r="39" spans="1:13" ht="15" customHeight="1">
      <c r="A39" s="314" t="s">
        <v>349</v>
      </c>
      <c r="C39" s="39">
        <v>6014</v>
      </c>
      <c r="D39" s="358">
        <v>9.99</v>
      </c>
      <c r="E39" s="48">
        <v>0</v>
      </c>
      <c r="F39" s="31" t="str">
        <f>IFERROR(VLOOKUP($C39,[13]Nod!$A$3:$E$979,4,FALSE)," ")</f>
        <v>PRO230</v>
      </c>
      <c r="G39" s="31">
        <f>IFERROR(VLOOKUP($C39,[13]Nod!$A$3:$E$979,5,FALSE)," ")</f>
        <v>1</v>
      </c>
      <c r="H39" s="69" t="s">
        <v>45</v>
      </c>
      <c r="I39" s="67"/>
      <c r="J39" s="68"/>
      <c r="K39" s="65"/>
      <c r="L39" s="281"/>
      <c r="M39" s="281"/>
    </row>
    <row r="40" spans="1:13" ht="15" customHeight="1">
      <c r="A40" s="314" t="s">
        <v>348</v>
      </c>
      <c r="C40" s="39">
        <v>6014</v>
      </c>
      <c r="D40" s="358">
        <v>9.99</v>
      </c>
      <c r="E40" s="48">
        <v>0</v>
      </c>
      <c r="F40" s="31" t="str">
        <f>IFERROR(VLOOKUP($C40,[13]Nod!$A$3:$E$979,4,FALSE)," ")</f>
        <v>PRO230</v>
      </c>
      <c r="G40" s="31">
        <f>IFERROR(VLOOKUP($C40,[13]Nod!$A$3:$E$979,5,FALSE)," ")</f>
        <v>1</v>
      </c>
      <c r="H40" s="69" t="s">
        <v>47</v>
      </c>
      <c r="I40" s="67"/>
      <c r="J40" s="68">
        <v>6460</v>
      </c>
      <c r="K40" s="65">
        <v>1.37</v>
      </c>
      <c r="L40" s="281" t="str">
        <f>VLOOKUP($J40,[13]Nod!$A$3:$E$978,4,FALSE)</f>
        <v>ECO230</v>
      </c>
      <c r="M40" s="281">
        <f>VLOOKUP($J40,[13]Nod!$A$3:$E$978,5,FALSE)</f>
        <v>5</v>
      </c>
    </row>
    <row r="41" spans="1:13" ht="15" customHeight="1">
      <c r="A41" s="314" t="s">
        <v>347</v>
      </c>
      <c r="C41" s="39">
        <v>6014</v>
      </c>
      <c r="D41" s="358">
        <v>9.99</v>
      </c>
      <c r="E41" s="48">
        <v>0</v>
      </c>
      <c r="F41" s="31" t="str">
        <f>IFERROR(VLOOKUP($C41,[13]Nod!$A$3:$E$979,4,FALSE)," ")</f>
        <v>PRO230</v>
      </c>
      <c r="G41" s="31">
        <f>IFERROR(VLOOKUP($C41,[13]Nod!$A$3:$E$979,5,FALSE)," ")</f>
        <v>1</v>
      </c>
      <c r="H41" s="354" t="s">
        <v>49</v>
      </c>
      <c r="I41" s="67"/>
      <c r="J41" s="68"/>
      <c r="K41" s="68"/>
      <c r="L41" s="281"/>
      <c r="M41" s="281"/>
    </row>
    <row r="42" spans="1:13" ht="15" customHeight="1">
      <c r="A42" s="314" t="s">
        <v>346</v>
      </c>
      <c r="C42" s="39">
        <v>6014</v>
      </c>
      <c r="D42" s="358">
        <v>9.99</v>
      </c>
      <c r="E42" s="48">
        <v>0</v>
      </c>
      <c r="F42" s="31" t="str">
        <f>IFERROR(VLOOKUP($C42,[13]Nod!$A$3:$E$979,4,FALSE)," ")</f>
        <v>PRO230</v>
      </c>
      <c r="G42" s="31">
        <f>IFERROR(VLOOKUP($C42,[13]Nod!$A$3:$E$979,5,FALSE)," ")</f>
        <v>1</v>
      </c>
      <c r="H42" s="69" t="s">
        <v>51</v>
      </c>
      <c r="I42" s="67"/>
      <c r="J42" s="68">
        <v>6460</v>
      </c>
      <c r="K42" s="65">
        <v>64</v>
      </c>
      <c r="L42" s="281" t="str">
        <f>VLOOKUP($J42,[13]Nod!$A$3:$E$978,4,FALSE)</f>
        <v>ECO230</v>
      </c>
      <c r="M42" s="281">
        <f>VLOOKUP($J42,[13]Nod!$A$3:$E$978,5,FALSE)</f>
        <v>5</v>
      </c>
    </row>
    <row r="43" spans="1:13" ht="15" customHeight="1">
      <c r="A43" s="314" t="s">
        <v>345</v>
      </c>
      <c r="C43" s="39">
        <v>6014</v>
      </c>
      <c r="D43" s="358">
        <v>9.99</v>
      </c>
      <c r="E43" s="48">
        <v>0</v>
      </c>
      <c r="F43" s="31" t="str">
        <f>IFERROR(VLOOKUP($C43,[13]Nod!$A$3:$E$979,4,FALSE)," ")</f>
        <v>PRO230</v>
      </c>
      <c r="G43" s="31">
        <f>IFERROR(VLOOKUP($C43,[13]Nod!$A$3:$E$979,5,FALSE)," ")</f>
        <v>1</v>
      </c>
      <c r="H43" s="316" t="s">
        <v>35</v>
      </c>
      <c r="I43" s="67"/>
      <c r="J43" s="68"/>
      <c r="K43" s="68"/>
      <c r="L43" s="281"/>
      <c r="M43" s="281"/>
    </row>
    <row r="44" spans="1:13" ht="15" customHeight="1">
      <c r="A44" s="314" t="s">
        <v>344</v>
      </c>
      <c r="C44" s="39">
        <v>6014</v>
      </c>
      <c r="D44" s="358">
        <v>9.99</v>
      </c>
      <c r="E44" s="48">
        <v>0</v>
      </c>
      <c r="F44" s="31" t="str">
        <f>IFERROR(VLOOKUP($C44,[13]Nod!$A$3:$E$979,4,FALSE)," ")</f>
        <v>PRO230</v>
      </c>
      <c r="G44" s="31">
        <f>IFERROR(VLOOKUP($C44,[13]Nod!$A$3:$E$979,5,FALSE)," ")</f>
        <v>1</v>
      </c>
      <c r="H44" s="307">
        <v>6</v>
      </c>
      <c r="I44" s="299"/>
      <c r="J44" s="327"/>
      <c r="K44" s="300">
        <f>SUM(K45:K50)</f>
        <v>202.86898067054378</v>
      </c>
      <c r="L44" s="281"/>
      <c r="M44" s="281"/>
    </row>
    <row r="45" spans="1:13" ht="15" customHeight="1">
      <c r="A45" s="314" t="s">
        <v>343</v>
      </c>
      <c r="C45" s="39">
        <v>6014</v>
      </c>
      <c r="D45" s="358">
        <v>17</v>
      </c>
      <c r="E45" s="48">
        <v>0</v>
      </c>
      <c r="F45" s="31" t="str">
        <f>IFERROR(VLOOKUP($C45,[13]Nod!$A$3:$E$979,4,FALSE)," ")</f>
        <v>PRO230</v>
      </c>
      <c r="G45" s="31">
        <f>IFERROR(VLOOKUP($C45,[13]Nod!$A$3:$E$979,5,FALSE)," ")</f>
        <v>1</v>
      </c>
      <c r="H45" s="296" t="s">
        <v>40</v>
      </c>
      <c r="I45" s="67"/>
      <c r="J45" s="68"/>
      <c r="K45" s="68"/>
      <c r="L45" s="281"/>
      <c r="M45" s="281"/>
    </row>
    <row r="46" spans="1:13" ht="15" customHeight="1">
      <c r="A46" s="314" t="s">
        <v>342</v>
      </c>
      <c r="C46" s="39">
        <v>6014</v>
      </c>
      <c r="D46" s="358">
        <v>10</v>
      </c>
      <c r="E46" s="48">
        <v>0</v>
      </c>
      <c r="F46" s="31" t="str">
        <f>IFERROR(VLOOKUP($C46,[13]Nod!$A$3:$E$979,4,FALSE)," ")</f>
        <v>PRO230</v>
      </c>
      <c r="G46" s="31">
        <f>IFERROR(VLOOKUP($C46,[13]Nod!$A$3:$E$979,5,FALSE)," ")</f>
        <v>1</v>
      </c>
      <c r="H46" s="69" t="s">
        <v>53</v>
      </c>
      <c r="I46" s="67"/>
      <c r="J46" s="68">
        <v>6005</v>
      </c>
      <c r="K46" s="65">
        <v>202.21498067054378</v>
      </c>
      <c r="L46" s="281" t="str">
        <f>VLOOKUP($J46,[13]Nod!$A$3:$E$978,4,FALSE)</f>
        <v>CHO230</v>
      </c>
      <c r="M46" s="281">
        <f>VLOOKUP($J46,[13]Nod!$A$3:$E$978,5,FALSE)</f>
        <v>6</v>
      </c>
    </row>
    <row r="47" spans="1:13" ht="15" customHeight="1">
      <c r="A47" s="314" t="s">
        <v>341</v>
      </c>
      <c r="C47" s="39">
        <v>6014</v>
      </c>
      <c r="D47" s="358">
        <v>10</v>
      </c>
      <c r="E47" s="48">
        <v>0</v>
      </c>
      <c r="F47" s="31" t="str">
        <f>IFERROR(VLOOKUP($C47,[13]Nod!$A$3:$E$979,4,FALSE)," ")</f>
        <v>PRO230</v>
      </c>
      <c r="G47" s="31">
        <f>IFERROR(VLOOKUP($C47,[13]Nod!$A$3:$E$979,5,FALSE)," ")</f>
        <v>1</v>
      </c>
      <c r="H47" s="296" t="s">
        <v>42</v>
      </c>
      <c r="I47" s="67"/>
      <c r="J47" s="68"/>
      <c r="K47" s="68"/>
      <c r="L47" s="281"/>
      <c r="M47" s="281"/>
    </row>
    <row r="48" spans="1:13" ht="15" customHeight="1">
      <c r="A48" s="314" t="s">
        <v>340</v>
      </c>
      <c r="C48" s="39">
        <v>6014</v>
      </c>
      <c r="D48" s="358">
        <v>9.9</v>
      </c>
      <c r="E48" s="302">
        <v>6</v>
      </c>
      <c r="F48" s="31" t="str">
        <f>IFERROR(VLOOKUP($C48,[13]Nod!$A$3:$E$979,4,FALSE)," ")</f>
        <v>PRO230</v>
      </c>
      <c r="G48" s="31">
        <f>IFERROR(VLOOKUP($C48,[13]Nod!$A$3:$E$979,5,FALSE)," ")</f>
        <v>1</v>
      </c>
      <c r="H48" s="69" t="s">
        <v>44</v>
      </c>
      <c r="I48" s="67"/>
      <c r="J48" s="68">
        <v>6005</v>
      </c>
      <c r="K48" s="65">
        <v>0.32100000000000001</v>
      </c>
      <c r="L48" s="281" t="str">
        <f>VLOOKUP($J48,[13]Nod!$A$3:$E$978,4,FALSE)</f>
        <v>CHO230</v>
      </c>
      <c r="M48" s="281">
        <f>VLOOKUP($J48,[13]Nod!$A$3:$E$978,5,FALSE)</f>
        <v>6</v>
      </c>
    </row>
    <row r="49" spans="1:13" ht="15" customHeight="1">
      <c r="A49" s="314" t="s">
        <v>339</v>
      </c>
      <c r="C49" s="39">
        <v>6014</v>
      </c>
      <c r="D49" s="358">
        <v>9.99</v>
      </c>
      <c r="E49" s="302">
        <v>6</v>
      </c>
      <c r="F49" s="31" t="str">
        <f>IFERROR(VLOOKUP($C49,[13]Nod!$A$3:$E$979,4,FALSE)," ")</f>
        <v>PRO230</v>
      </c>
      <c r="G49" s="31">
        <f>IFERROR(VLOOKUP($C49,[13]Nod!$A$3:$E$979,5,FALSE)," ")</f>
        <v>1</v>
      </c>
      <c r="H49" s="69" t="s">
        <v>57</v>
      </c>
      <c r="I49" s="67"/>
      <c r="J49" s="68">
        <v>6005</v>
      </c>
      <c r="K49" s="65">
        <v>0.33300000000000002</v>
      </c>
      <c r="L49" s="281" t="str">
        <f>VLOOKUP($J49,[13]Nod!$A$3:$E$978,4,FALSE)</f>
        <v>CHO230</v>
      </c>
      <c r="M49" s="281">
        <f>VLOOKUP($J49,[13]Nod!$A$3:$E$978,5,FALSE)</f>
        <v>6</v>
      </c>
    </row>
    <row r="50" spans="1:13" ht="15" customHeight="1">
      <c r="A50" s="314" t="s">
        <v>338</v>
      </c>
      <c r="C50" s="39">
        <v>6014</v>
      </c>
      <c r="D50" s="358">
        <v>9.99</v>
      </c>
      <c r="E50" s="302">
        <v>12</v>
      </c>
      <c r="F50" s="31" t="str">
        <f>IFERROR(VLOOKUP($C50,[13]Nod!$A$3:$E$979,4,FALSE)," ")</f>
        <v>PRO230</v>
      </c>
      <c r="G50" s="31">
        <f>IFERROR(VLOOKUP($C50,[13]Nod!$A$3:$E$979,5,FALSE)," ")</f>
        <v>1</v>
      </c>
      <c r="H50" s="303" t="s">
        <v>35</v>
      </c>
      <c r="I50" s="304"/>
      <c r="J50" s="306"/>
      <c r="K50" s="306"/>
      <c r="L50" s="281"/>
      <c r="M50" s="281"/>
    </row>
    <row r="51" spans="1:13" ht="15" customHeight="1">
      <c r="A51" s="314" t="s">
        <v>337</v>
      </c>
      <c r="C51" s="39">
        <v>6014</v>
      </c>
      <c r="D51" s="358">
        <v>9.9</v>
      </c>
      <c r="E51" s="302">
        <v>12</v>
      </c>
      <c r="F51" s="31" t="str">
        <f>IFERROR(VLOOKUP($C51,[13]Nod!$A$3:$E$979,4,FALSE)," ")</f>
        <v>PRO230</v>
      </c>
      <c r="G51" s="31">
        <f>IFERROR(VLOOKUP($C51,[13]Nod!$A$3:$E$979,5,FALSE)," ")</f>
        <v>1</v>
      </c>
      <c r="H51" s="307">
        <v>7</v>
      </c>
      <c r="I51" s="299"/>
      <c r="J51" s="327"/>
      <c r="K51" s="300">
        <f>SUM(K52:K69)</f>
        <v>1146.3041065888617</v>
      </c>
      <c r="L51" s="281"/>
      <c r="M51" s="281"/>
    </row>
    <row r="52" spans="1:13" ht="15" customHeight="1">
      <c r="A52" s="314" t="s">
        <v>336</v>
      </c>
      <c r="C52" s="39"/>
      <c r="D52" s="358" t="s">
        <v>362</v>
      </c>
      <c r="E52" s="48"/>
      <c r="F52" s="31" t="str">
        <f>IFERROR(VLOOKUP($C52,[13]Nod!$A$3:$E$979,4,FALSE)," ")</f>
        <v xml:space="preserve"> </v>
      </c>
      <c r="G52" s="31" t="str">
        <f>IFERROR(VLOOKUP($C52,[13]Nod!$A$3:$E$979,5,FALSE)," ")</f>
        <v xml:space="preserve"> </v>
      </c>
      <c r="H52" s="296" t="s">
        <v>40</v>
      </c>
      <c r="I52" s="67"/>
      <c r="J52" s="68"/>
      <c r="K52" s="68"/>
      <c r="L52" s="281"/>
      <c r="M52" s="281"/>
    </row>
    <row r="53" spans="1:13" ht="15" customHeight="1">
      <c r="A53" s="314" t="s">
        <v>335</v>
      </c>
      <c r="C53" s="39"/>
      <c r="D53" s="358" t="s">
        <v>362</v>
      </c>
      <c r="E53" s="48"/>
      <c r="F53" s="31" t="str">
        <f>IFERROR(VLOOKUP($C53,[13]Nod!$A$3:$E$979,4,FALSE)," ")</f>
        <v xml:space="preserve"> </v>
      </c>
      <c r="G53" s="31" t="str">
        <f>IFERROR(VLOOKUP($C53,[13]Nod!$A$3:$E$979,5,FALSE)," ")</f>
        <v xml:space="preserve"> </v>
      </c>
      <c r="H53" s="57" t="s">
        <v>61</v>
      </c>
      <c r="I53" s="67"/>
      <c r="J53" s="68">
        <v>6002</v>
      </c>
      <c r="K53" s="65">
        <v>478.30485517454628</v>
      </c>
      <c r="L53" s="281" t="str">
        <f>VLOOKUP($J53,[13]Nod!$A$3:$E$978,4,FALSE)</f>
        <v>PAN115</v>
      </c>
      <c r="M53" s="281">
        <f>VLOOKUP($J53,[13]Nod!$A$3:$E$978,5,FALSE)</f>
        <v>7</v>
      </c>
    </row>
    <row r="54" spans="1:13" ht="15" customHeight="1">
      <c r="A54" s="314" t="s">
        <v>334</v>
      </c>
      <c r="C54" s="39"/>
      <c r="D54" s="358" t="s">
        <v>362</v>
      </c>
      <c r="E54" s="48"/>
      <c r="F54" s="31" t="str">
        <f>IFERROR(VLOOKUP($C54,[13]Nod!$A$3:$E$979,4,FALSE)," ")</f>
        <v xml:space="preserve"> </v>
      </c>
      <c r="G54" s="31" t="str">
        <f>IFERROR(VLOOKUP($C54,[13]Nod!$A$3:$E$979,5,FALSE)," ")</f>
        <v xml:space="preserve"> </v>
      </c>
      <c r="H54" s="351" t="s">
        <v>186</v>
      </c>
      <c r="I54" s="67"/>
      <c r="J54" s="68"/>
      <c r="K54" s="65"/>
      <c r="L54" s="281"/>
      <c r="M54" s="281"/>
    </row>
    <row r="55" spans="1:13" ht="15" customHeight="1">
      <c r="A55" s="314" t="s">
        <v>333</v>
      </c>
      <c r="C55" s="39"/>
      <c r="D55" s="358" t="s">
        <v>362</v>
      </c>
      <c r="E55" s="48"/>
      <c r="F55" s="31" t="str">
        <f>IFERROR(VLOOKUP($C55,[13]Nod!$A$3:$E$979,4,FALSE)," ")</f>
        <v xml:space="preserve"> </v>
      </c>
      <c r="G55" s="31" t="str">
        <f>IFERROR(VLOOKUP($C55,[13]Nod!$A$3:$E$979,5,FALSE)," ")</f>
        <v xml:space="preserve"> </v>
      </c>
      <c r="H55" s="57" t="s">
        <v>69</v>
      </c>
      <c r="I55" s="67"/>
      <c r="J55" s="68">
        <v>6002</v>
      </c>
      <c r="K55" s="65">
        <v>0.36599999999999999</v>
      </c>
      <c r="L55" s="281" t="str">
        <f>VLOOKUP($J55,[13]Nod!$A$3:$E$978,4,FALSE)</f>
        <v>PAN115</v>
      </c>
      <c r="M55" s="281">
        <f>VLOOKUP($J55,[13]Nod!$A$3:$E$978,5,FALSE)</f>
        <v>7</v>
      </c>
    </row>
    <row r="56" spans="1:13" ht="15" customHeight="1">
      <c r="A56" s="314" t="s">
        <v>332</v>
      </c>
      <c r="C56" s="39"/>
      <c r="D56" s="358" t="s">
        <v>362</v>
      </c>
      <c r="E56" s="48"/>
      <c r="F56" s="31" t="str">
        <f>IFERROR(VLOOKUP($C56,[13]Nod!$A$3:$E$979,4,FALSE)," ")</f>
        <v xml:space="preserve"> </v>
      </c>
      <c r="G56" s="31" t="str">
        <f>IFERROR(VLOOKUP($C56,[13]Nod!$A$3:$E$979,5,FALSE)," ")</f>
        <v xml:space="preserve"> </v>
      </c>
      <c r="H56" s="57" t="s">
        <v>331</v>
      </c>
      <c r="I56" s="67"/>
      <c r="J56" s="68">
        <v>6002</v>
      </c>
      <c r="K56" s="65">
        <v>1.2148865</v>
      </c>
      <c r="L56" s="281" t="str">
        <f>VLOOKUP($J56,[13]Nod!$A$3:$E$978,4,FALSE)</f>
        <v>PAN115</v>
      </c>
      <c r="M56" s="281">
        <f>VLOOKUP($J56,[13]Nod!$A$3:$E$978,5,FALSE)</f>
        <v>7</v>
      </c>
    </row>
    <row r="57" spans="1:13" ht="15" customHeight="1">
      <c r="A57" s="314" t="s">
        <v>330</v>
      </c>
      <c r="C57" s="39"/>
      <c r="D57" s="358" t="s">
        <v>362</v>
      </c>
      <c r="E57" s="48"/>
      <c r="F57" s="31" t="str">
        <f>IFERROR(VLOOKUP($C57,[13]Nod!$A$3:$E$979,4,FALSE)," ")</f>
        <v xml:space="preserve"> </v>
      </c>
      <c r="G57" s="31" t="str">
        <f>IFERROR(VLOOKUP($C57,[13]Nod!$A$3:$E$979,5,FALSE)," ")</f>
        <v xml:space="preserve"> </v>
      </c>
      <c r="H57" s="57" t="s">
        <v>74</v>
      </c>
      <c r="I57" s="67"/>
      <c r="J57" s="68">
        <v>6002</v>
      </c>
      <c r="K57" s="65">
        <v>0.32300000000000001</v>
      </c>
      <c r="L57" s="281" t="str">
        <f>VLOOKUP($J57,[13]Nod!$A$3:$E$978,4,FALSE)</f>
        <v>PAN115</v>
      </c>
      <c r="M57" s="281">
        <f>VLOOKUP($J57,[13]Nod!$A$3:$E$978,5,FALSE)</f>
        <v>7</v>
      </c>
    </row>
    <row r="58" spans="1:13" ht="15" customHeight="1">
      <c r="A58" s="314" t="s">
        <v>329</v>
      </c>
      <c r="C58" s="39"/>
      <c r="D58" s="358" t="s">
        <v>362</v>
      </c>
      <c r="E58" s="48"/>
      <c r="F58" s="31" t="str">
        <f>IFERROR(VLOOKUP($C58,[13]Nod!$A$3:$E$979,4,FALSE)," ")</f>
        <v xml:space="preserve"> </v>
      </c>
      <c r="G58" s="31" t="str">
        <f>IFERROR(VLOOKUP($C58,[13]Nod!$A$3:$E$979,5,FALSE)," ")</f>
        <v xml:space="preserve"> </v>
      </c>
      <c r="H58" s="57" t="s">
        <v>76</v>
      </c>
      <c r="I58" s="67"/>
      <c r="J58" s="68">
        <v>6002</v>
      </c>
      <c r="K58" s="65">
        <v>0</v>
      </c>
      <c r="L58" s="281" t="str">
        <f>VLOOKUP($J58,[13]Nod!$A$3:$E$978,4,FALSE)</f>
        <v>PAN115</v>
      </c>
      <c r="M58" s="281">
        <f>VLOOKUP($J58,[13]Nod!$A$3:$E$978,5,FALSE)</f>
        <v>7</v>
      </c>
    </row>
    <row r="59" spans="1:13" ht="15" customHeight="1">
      <c r="A59" s="314" t="s">
        <v>328</v>
      </c>
      <c r="C59" s="39"/>
      <c r="D59" s="358" t="s">
        <v>362</v>
      </c>
      <c r="E59" s="48"/>
      <c r="F59" s="31" t="str">
        <f>IFERROR(VLOOKUP($C59,[13]Nod!$A$3:$E$979,4,FALSE)," ")</f>
        <v xml:space="preserve"> </v>
      </c>
      <c r="G59" s="31" t="str">
        <f>IFERROR(VLOOKUP($C59,[13]Nod!$A$3:$E$979,5,FALSE)," ")</f>
        <v xml:space="preserve"> </v>
      </c>
      <c r="H59" s="350" t="s">
        <v>44</v>
      </c>
      <c r="I59" s="67"/>
      <c r="J59" s="68">
        <v>6002</v>
      </c>
      <c r="K59" s="65">
        <v>2.7757200000000002</v>
      </c>
      <c r="L59" s="281" t="str">
        <f>VLOOKUP($J59,[13]Nod!$A$3:$E$978,4,FALSE)</f>
        <v>PAN115</v>
      </c>
      <c r="M59" s="281">
        <f>VLOOKUP($J59,[13]Nod!$A$3:$E$978,5,FALSE)</f>
        <v>7</v>
      </c>
    </row>
    <row r="60" spans="1:13" ht="15" customHeight="1">
      <c r="A60" s="314" t="s">
        <v>327</v>
      </c>
      <c r="C60" s="39"/>
      <c r="D60" s="358" t="s">
        <v>362</v>
      </c>
      <c r="E60" s="48"/>
      <c r="F60" s="31" t="str">
        <f>IFERROR(VLOOKUP($C60,[13]Nod!$A$3:$E$979,4,FALSE)," ")</f>
        <v xml:space="preserve"> </v>
      </c>
      <c r="G60" s="31" t="str">
        <f>IFERROR(VLOOKUP($C60,[13]Nod!$A$3:$E$979,5,FALSE)," ")</f>
        <v xml:space="preserve"> </v>
      </c>
      <c r="H60" s="352"/>
      <c r="I60" s="67"/>
      <c r="J60" s="68"/>
      <c r="K60" s="65"/>
      <c r="L60" s="281"/>
      <c r="M60" s="281"/>
    </row>
    <row r="61" spans="1:13" ht="15" customHeight="1">
      <c r="A61" s="314" t="s">
        <v>326</v>
      </c>
      <c r="C61" s="39"/>
      <c r="D61" s="358" t="s">
        <v>362</v>
      </c>
      <c r="E61" s="48"/>
      <c r="F61" s="31" t="str">
        <f>IFERROR(VLOOKUP($C61,[13]Nod!$A$3:$E$979,4,FALSE)," ")</f>
        <v xml:space="preserve"> </v>
      </c>
      <c r="G61" s="31" t="str">
        <f>IFERROR(VLOOKUP($C61,[13]Nod!$A$3:$E$979,5,FALSE)," ")</f>
        <v xml:space="preserve"> </v>
      </c>
      <c r="H61" s="351" t="s">
        <v>60</v>
      </c>
      <c r="I61" s="67"/>
      <c r="J61" s="68"/>
      <c r="K61" s="65"/>
      <c r="L61" s="281"/>
      <c r="M61" s="281"/>
    </row>
    <row r="62" spans="1:13" ht="15" customHeight="1">
      <c r="A62" s="49" t="s">
        <v>35</v>
      </c>
      <c r="B62" s="3"/>
      <c r="C62" s="40"/>
      <c r="D62" s="43"/>
      <c r="E62" s="302"/>
      <c r="F62" s="31" t="str">
        <f>IFERROR(VLOOKUP($C62,[13]Nod!$A$3:$E$979,4,FALSE)," ")</f>
        <v xml:space="preserve"> </v>
      </c>
      <c r="G62" s="31" t="str">
        <f>IFERROR(VLOOKUP($C62,[13]Nod!$A$3:$E$979,5,FALSE)," ")</f>
        <v xml:space="preserve"> </v>
      </c>
      <c r="H62" s="57" t="s">
        <v>61</v>
      </c>
      <c r="I62" s="67"/>
      <c r="J62" s="68">
        <v>6002</v>
      </c>
      <c r="K62" s="65">
        <v>271.44996425705625</v>
      </c>
      <c r="L62" s="281" t="str">
        <f>VLOOKUP($J62,[13]Nod!$A$3:$E$978,4,FALSE)</f>
        <v>PAN115</v>
      </c>
      <c r="M62" s="281">
        <f>VLOOKUP($J62,[13]Nod!$A$3:$E$978,5,FALSE)</f>
        <v>7</v>
      </c>
    </row>
    <row r="63" spans="1:13" ht="15" customHeight="1">
      <c r="A63" s="50">
        <v>2</v>
      </c>
      <c r="B63" s="44"/>
      <c r="C63" s="45"/>
      <c r="D63" s="46">
        <f>SUM(D64:D82)</f>
        <v>616.73000000000013</v>
      </c>
      <c r="E63" s="297"/>
      <c r="F63" s="31" t="str">
        <f>IFERROR(VLOOKUP($C63,[13]Nod!$A$3:$E$979,4,FALSE)," ")</f>
        <v xml:space="preserve"> </v>
      </c>
      <c r="G63" s="31" t="str">
        <f>IFERROR(VLOOKUP($C63,[13]Nod!$A$3:$E$979,5,FALSE)," ")</f>
        <v xml:space="preserve"> </v>
      </c>
      <c r="H63" s="57" t="s">
        <v>63</v>
      </c>
      <c r="I63" s="67"/>
      <c r="J63" s="68">
        <v>6002</v>
      </c>
      <c r="K63" s="65">
        <v>308.47780065725925</v>
      </c>
      <c r="L63" s="281" t="str">
        <f>VLOOKUP($J63,[13]Nod!$A$3:$E$978,4,FALSE)</f>
        <v>PAN115</v>
      </c>
      <c r="M63" s="281">
        <f>VLOOKUP($J63,[13]Nod!$A$3:$E$978,5,FALSE)</f>
        <v>7</v>
      </c>
    </row>
    <row r="64" spans="1:13" ht="15" customHeight="1">
      <c r="A64" s="301" t="s">
        <v>43</v>
      </c>
      <c r="B64" s="3"/>
      <c r="C64" s="40">
        <v>6096</v>
      </c>
      <c r="D64" s="358">
        <v>300</v>
      </c>
      <c r="E64" s="302">
        <v>0</v>
      </c>
      <c r="F64" s="31" t="str">
        <f>IFERROR(VLOOKUP($C64,[13]Nod!$A$3:$E$979,4,FALSE)," ")</f>
        <v>FOR230</v>
      </c>
      <c r="G64" s="31">
        <f>IFERROR(VLOOKUP($C64,[13]Nod!$A$3:$E$979,5,FALSE)," ")</f>
        <v>2</v>
      </c>
      <c r="H64" s="57" t="s">
        <v>65</v>
      </c>
      <c r="I64" s="67"/>
      <c r="J64" s="68">
        <v>6470</v>
      </c>
      <c r="K64" s="65">
        <v>59.631500000000003</v>
      </c>
      <c r="L64" s="281" t="str">
        <f>VLOOKUP($J64,[13]Nod!$A$3:$E$978,4,FALSE)</f>
        <v>24DIC230</v>
      </c>
      <c r="M64" s="281">
        <f>VLOOKUP($J64,[13]Nod!$A$3:$E$978,5,FALSE)</f>
        <v>7</v>
      </c>
    </row>
    <row r="65" spans="1:13" ht="15" customHeight="1">
      <c r="A65" s="301" t="s">
        <v>194</v>
      </c>
      <c r="B65" s="3"/>
      <c r="C65" s="40">
        <v>6179</v>
      </c>
      <c r="D65" s="358">
        <v>120</v>
      </c>
      <c r="E65" s="302">
        <v>0</v>
      </c>
      <c r="F65" s="31" t="str">
        <f>IFERROR(VLOOKUP($C65,[13]Nod!$A$3:$E$979,4,FALSE)," ")</f>
        <v>GUA230</v>
      </c>
      <c r="G65" s="31">
        <f>IFERROR(VLOOKUP($C65,[13]Nod!$A$3:$E$979,5,FALSE)," ")</f>
        <v>2</v>
      </c>
      <c r="H65" s="351" t="s">
        <v>185</v>
      </c>
      <c r="I65" s="67"/>
      <c r="J65" s="68"/>
      <c r="K65" s="65"/>
      <c r="L65" s="281"/>
      <c r="M65" s="281"/>
    </row>
    <row r="66" spans="1:13" ht="15" customHeight="1">
      <c r="A66" s="301" t="s">
        <v>46</v>
      </c>
      <c r="B66" s="3"/>
      <c r="C66" s="40">
        <v>6179</v>
      </c>
      <c r="D66" s="358">
        <v>25.34</v>
      </c>
      <c r="E66" s="302">
        <v>0</v>
      </c>
      <c r="F66" s="31" t="str">
        <f>IFERROR(VLOOKUP($C66,[13]Nod!$A$3:$E$979,4,FALSE)," ")</f>
        <v>GUA230</v>
      </c>
      <c r="G66" s="31">
        <f>IFERROR(VLOOKUP($C66,[13]Nod!$A$3:$E$979,5,FALSE)," ")</f>
        <v>2</v>
      </c>
      <c r="H66" s="57" t="s">
        <v>68</v>
      </c>
      <c r="I66" s="67"/>
      <c r="J66" s="68">
        <v>6024</v>
      </c>
      <c r="K66" s="65">
        <v>22.221779999999999</v>
      </c>
      <c r="L66" s="281" t="str">
        <f>VLOOKUP($J66,[13]Nod!$A$3:$E$978,4,FALSE)</f>
        <v>CHI115</v>
      </c>
      <c r="M66" s="281">
        <f>VLOOKUP($J66,[13]Nod!$A$3:$E$978,5,FALSE)</f>
        <v>7</v>
      </c>
    </row>
    <row r="67" spans="1:13" ht="15" customHeight="1">
      <c r="A67" s="301" t="s">
        <v>48</v>
      </c>
      <c r="B67" s="3"/>
      <c r="C67" s="40">
        <v>6179</v>
      </c>
      <c r="D67" s="358">
        <v>35</v>
      </c>
      <c r="E67" s="302">
        <v>0</v>
      </c>
      <c r="F67" s="31" t="str">
        <f>IFERROR(VLOOKUP($C67,[13]Nod!$A$3:$E$979,4,FALSE)," ")</f>
        <v>GUA230</v>
      </c>
      <c r="G67" s="31">
        <f>IFERROR(VLOOKUP($C67,[13]Nod!$A$3:$E$979,5,FALSE)," ")</f>
        <v>2</v>
      </c>
      <c r="H67" s="57" t="s">
        <v>72</v>
      </c>
      <c r="I67" s="67"/>
      <c r="J67" s="68">
        <v>6002</v>
      </c>
      <c r="K67" s="65">
        <v>0.18659999999999999</v>
      </c>
      <c r="L67" s="281" t="str">
        <f>VLOOKUP($J67,[13]Nod!$A$3:$E$978,4,FALSE)</f>
        <v>PAN115</v>
      </c>
      <c r="M67" s="281">
        <f>VLOOKUP($J67,[13]Nod!$A$3:$E$978,5,FALSE)</f>
        <v>7</v>
      </c>
    </row>
    <row r="68" spans="1:13" ht="15" customHeight="1">
      <c r="A68" s="301" t="s">
        <v>50</v>
      </c>
      <c r="B68" s="3"/>
      <c r="C68" s="40">
        <v>6179</v>
      </c>
      <c r="D68" s="358">
        <v>58.66</v>
      </c>
      <c r="E68" s="302">
        <v>0</v>
      </c>
      <c r="F68" s="31" t="str">
        <f>IFERROR(VLOOKUP($C68,[13]Nod!$A$3:$E$979,4,FALSE)," ")</f>
        <v>GUA230</v>
      </c>
      <c r="G68" s="31">
        <f>IFERROR(VLOOKUP($C68,[13]Nod!$A$3:$E$979,5,FALSE)," ")</f>
        <v>2</v>
      </c>
      <c r="H68" s="57" t="s">
        <v>78</v>
      </c>
      <c r="I68" s="67"/>
      <c r="J68" s="68">
        <v>6002</v>
      </c>
      <c r="K68" s="65">
        <v>0</v>
      </c>
      <c r="L68" s="281" t="str">
        <f>VLOOKUP($J68,[13]Nod!$A$3:$E$978,4,FALSE)</f>
        <v>PAN115</v>
      </c>
      <c r="M68" s="281">
        <f>VLOOKUP($J68,[13]Nod!$A$3:$E$978,5,FALSE)</f>
        <v>7</v>
      </c>
    </row>
    <row r="69" spans="1:13" ht="15" customHeight="1">
      <c r="A69" s="301" t="s">
        <v>325</v>
      </c>
      <c r="B69" s="3"/>
      <c r="C69" s="40">
        <v>6179</v>
      </c>
      <c r="D69" s="358">
        <v>9.69</v>
      </c>
      <c r="E69" s="302">
        <v>0</v>
      </c>
      <c r="F69" s="31" t="str">
        <f>IFERROR(VLOOKUP($C69,[13]Nod!$A$3:$E$979,4,FALSE)," ")</f>
        <v>GUA230</v>
      </c>
      <c r="G69" s="31">
        <f>IFERROR(VLOOKUP($C69,[13]Nod!$A$3:$E$979,5,FALSE)," ")</f>
        <v>2</v>
      </c>
      <c r="H69" s="350" t="s">
        <v>44</v>
      </c>
      <c r="I69" s="67"/>
      <c r="J69" s="68">
        <v>6002</v>
      </c>
      <c r="K69" s="65">
        <v>1.3520000000000001</v>
      </c>
      <c r="L69" s="281" t="str">
        <f>VLOOKUP($J69,[13]Nod!$A$3:$E$978,4,FALSE)</f>
        <v>PAN115</v>
      </c>
      <c r="M69" s="281">
        <f>VLOOKUP($J69,[13]Nod!$A$3:$E$978,5,FALSE)</f>
        <v>7</v>
      </c>
    </row>
    <row r="70" spans="1:13" ht="15" customHeight="1">
      <c r="A70" s="301" t="s">
        <v>324</v>
      </c>
      <c r="B70" s="3"/>
      <c r="C70" s="40">
        <v>6179</v>
      </c>
      <c r="D70" s="358">
        <v>8.1</v>
      </c>
      <c r="E70" s="302">
        <v>0</v>
      </c>
      <c r="F70" s="31" t="str">
        <f>IFERROR(VLOOKUP($C70,[13]Nod!$A$3:$E$979,4,FALSE)," ")</f>
        <v>GUA230</v>
      </c>
      <c r="G70" s="31">
        <f>IFERROR(VLOOKUP($C70,[13]Nod!$A$3:$E$979,5,FALSE)," ")</f>
        <v>2</v>
      </c>
      <c r="H70" s="303" t="s">
        <v>35</v>
      </c>
      <c r="I70" s="304"/>
      <c r="J70" s="306"/>
      <c r="K70" s="306"/>
      <c r="L70" s="281"/>
      <c r="M70" s="281"/>
    </row>
    <row r="71" spans="1:13" ht="15" customHeight="1">
      <c r="A71" s="301" t="s">
        <v>323</v>
      </c>
      <c r="B71" s="3"/>
      <c r="C71" s="40">
        <v>6179</v>
      </c>
      <c r="D71" s="358">
        <v>9.99</v>
      </c>
      <c r="E71" s="302">
        <v>0</v>
      </c>
      <c r="F71" s="31" t="str">
        <f>IFERROR(VLOOKUP($C71,[13]Nod!$A$3:$E$979,4,FALSE)," ")</f>
        <v>GUA230</v>
      </c>
      <c r="G71" s="31">
        <f>IFERROR(VLOOKUP($C71,[13]Nod!$A$3:$E$979,5,FALSE)," ")</f>
        <v>2</v>
      </c>
      <c r="H71" s="307">
        <v>8</v>
      </c>
      <c r="I71" s="299"/>
      <c r="J71" s="328"/>
      <c r="K71" s="300">
        <f>SUM(K72:K74)</f>
        <v>2.4</v>
      </c>
      <c r="L71" s="281"/>
      <c r="M71" s="281"/>
    </row>
    <row r="72" spans="1:13" ht="15" customHeight="1">
      <c r="A72" s="301" t="s">
        <v>322</v>
      </c>
      <c r="B72" s="3"/>
      <c r="C72" s="40">
        <v>6179</v>
      </c>
      <c r="D72" s="358">
        <v>7.5</v>
      </c>
      <c r="E72" s="302">
        <v>0</v>
      </c>
      <c r="F72" s="31" t="str">
        <f>IFERROR(VLOOKUP($C72,[13]Nod!$A$3:$E$979,4,FALSE)," ")</f>
        <v>GUA230</v>
      </c>
      <c r="G72" s="31">
        <f>IFERROR(VLOOKUP($C72,[13]Nod!$A$3:$E$979,5,FALSE)," ")</f>
        <v>2</v>
      </c>
      <c r="H72" s="296" t="s">
        <v>60</v>
      </c>
      <c r="I72" s="67"/>
      <c r="J72" s="68"/>
      <c r="K72" s="68"/>
      <c r="L72" s="281"/>
      <c r="M72" s="281"/>
    </row>
    <row r="73" spans="1:13" ht="15" customHeight="1">
      <c r="A73" s="301" t="s">
        <v>321</v>
      </c>
      <c r="B73" s="3"/>
      <c r="C73" s="40">
        <v>6179</v>
      </c>
      <c r="D73" s="358">
        <v>2.5</v>
      </c>
      <c r="E73" s="302">
        <v>0</v>
      </c>
      <c r="F73" s="31" t="str">
        <f>IFERROR(VLOOKUP($C73,[13]Nod!$A$3:$E$979,4,FALSE)," ")</f>
        <v>GUA230</v>
      </c>
      <c r="G73" s="31">
        <f>IFERROR(VLOOKUP($C73,[13]Nod!$A$3:$E$979,5,FALSE)," ")</f>
        <v>2</v>
      </c>
      <c r="H73" s="349" t="s">
        <v>82</v>
      </c>
      <c r="I73" s="67"/>
      <c r="J73" s="68">
        <v>6100</v>
      </c>
      <c r="K73" s="348">
        <v>2.4</v>
      </c>
      <c r="L73" s="281" t="str">
        <f>VLOOKUP($J73,[13]Nod!$A$3:$E$978,4,FALSE)</f>
        <v>BAY230</v>
      </c>
      <c r="M73" s="281">
        <f>VLOOKUP($J73,[13]Nod!$A$3:$E$978,5,FALSE)</f>
        <v>8</v>
      </c>
    </row>
    <row r="74" spans="1:13" ht="15" customHeight="1">
      <c r="A74" s="314" t="s">
        <v>320</v>
      </c>
      <c r="B74" s="3"/>
      <c r="C74" s="40">
        <v>6179</v>
      </c>
      <c r="D74" s="358">
        <v>9.98</v>
      </c>
      <c r="E74" s="302">
        <v>0</v>
      </c>
      <c r="F74" s="31" t="str">
        <f>IFERROR(VLOOKUP($C74,[13]Nod!$A$3:$E$979,4,FALSE)," ")</f>
        <v>GUA230</v>
      </c>
      <c r="G74" s="31">
        <f>IFERROR(VLOOKUP($C74,[13]Nod!$A$3:$E$979,5,FALSE)," ")</f>
        <v>2</v>
      </c>
      <c r="H74" s="303" t="s">
        <v>35</v>
      </c>
      <c r="I74" s="304"/>
      <c r="J74" s="306"/>
      <c r="K74" s="306"/>
      <c r="L74" s="281"/>
      <c r="M74" s="281"/>
    </row>
    <row r="75" spans="1:13" ht="15" customHeight="1">
      <c r="A75" s="347" t="s">
        <v>319</v>
      </c>
      <c r="B75" s="3"/>
      <c r="C75" s="40">
        <v>6179</v>
      </c>
      <c r="D75" s="358">
        <v>9.99</v>
      </c>
      <c r="E75" s="302">
        <v>0</v>
      </c>
      <c r="F75" s="31" t="str">
        <f>IFERROR(VLOOKUP($C75,[13]Nod!$A$3:$E$979,4,FALSE)," ")</f>
        <v>GUA230</v>
      </c>
      <c r="G75" s="31">
        <f>IFERROR(VLOOKUP($C75,[13]Nod!$A$3:$E$979,5,FALSE)," ")</f>
        <v>2</v>
      </c>
      <c r="H75" s="307">
        <v>9</v>
      </c>
      <c r="I75" s="299"/>
      <c r="J75" s="327"/>
      <c r="K75" s="300">
        <f>SUM(K76:K81)</f>
        <v>123.54162415471392</v>
      </c>
      <c r="L75" s="281"/>
      <c r="M75" s="281"/>
    </row>
    <row r="76" spans="1:13" ht="15" customHeight="1">
      <c r="A76" s="347" t="s">
        <v>318</v>
      </c>
      <c r="B76" s="3"/>
      <c r="C76" s="40">
        <v>6179</v>
      </c>
      <c r="D76" s="358">
        <v>9.99</v>
      </c>
      <c r="E76" s="302">
        <v>0</v>
      </c>
      <c r="F76" s="31" t="str">
        <f>IFERROR(VLOOKUP($C76,[13]Nod!$A$3:$E$979,4,FALSE)," ")</f>
        <v>GUA230</v>
      </c>
      <c r="G76" s="31">
        <f>IFERROR(VLOOKUP($C76,[13]Nod!$A$3:$E$979,5,FALSE)," ")</f>
        <v>2</v>
      </c>
      <c r="H76" s="296" t="s">
        <v>60</v>
      </c>
      <c r="I76" s="67"/>
      <c r="J76" s="68"/>
      <c r="K76" s="68"/>
      <c r="L76" s="281"/>
      <c r="M76" s="281"/>
    </row>
    <row r="77" spans="1:13" ht="15" customHeight="1">
      <c r="A77" s="347" t="s">
        <v>317</v>
      </c>
      <c r="B77" s="3"/>
      <c r="C77" s="40">
        <v>6179</v>
      </c>
      <c r="D77" s="358">
        <v>9.99</v>
      </c>
      <c r="E77" s="302">
        <v>0</v>
      </c>
      <c r="F77" s="31" t="str">
        <f>IFERROR(VLOOKUP($C77,[13]Nod!$A$3:$E$979,4,FALSE)," ")</f>
        <v>GUA230</v>
      </c>
      <c r="G77" s="31">
        <f>IFERROR(VLOOKUP($C77,[13]Nod!$A$3:$E$979,5,FALSE)," ")</f>
        <v>2</v>
      </c>
      <c r="H77" s="69" t="s">
        <v>85</v>
      </c>
      <c r="I77" s="67"/>
      <c r="J77" s="68">
        <v>6059</v>
      </c>
      <c r="K77" s="65">
        <v>115.59962415471392</v>
      </c>
      <c r="L77" s="281" t="str">
        <f>VLOOKUP($J77,[13]Nod!$A$3:$E$978,4,FALSE)</f>
        <v>LM1115</v>
      </c>
      <c r="M77" s="281">
        <f>VLOOKUP($J77,[13]Nod!$A$3:$E$978,5,FALSE)</f>
        <v>9</v>
      </c>
    </row>
    <row r="78" spans="1:13" ht="15" customHeight="1">
      <c r="A78" s="314" t="s">
        <v>316</v>
      </c>
      <c r="B78" s="3"/>
      <c r="C78" s="40"/>
      <c r="D78" s="358" t="s">
        <v>362</v>
      </c>
      <c r="E78" s="302"/>
      <c r="F78" s="31"/>
      <c r="G78" s="31"/>
      <c r="H78" s="296" t="s">
        <v>42</v>
      </c>
      <c r="I78" s="67"/>
      <c r="J78" s="68"/>
      <c r="K78" s="68"/>
      <c r="L78" s="281"/>
      <c r="M78" s="281"/>
    </row>
    <row r="79" spans="1:13" ht="15" customHeight="1">
      <c r="A79" s="314" t="s">
        <v>315</v>
      </c>
      <c r="B79" s="3"/>
      <c r="C79" s="40"/>
      <c r="D79" s="358" t="s">
        <v>362</v>
      </c>
      <c r="E79" s="302"/>
      <c r="F79" s="31"/>
      <c r="G79" s="31"/>
      <c r="H79" s="69" t="s">
        <v>88</v>
      </c>
      <c r="I79" s="67"/>
      <c r="J79" s="68">
        <v>6170</v>
      </c>
      <c r="K79" s="65">
        <v>7.25</v>
      </c>
      <c r="L79" s="281" t="str">
        <f>VLOOKUP($J79,[13]Nod!$A$3:$E$978,4,FALSE)</f>
        <v>CPA115</v>
      </c>
      <c r="M79" s="281">
        <f>VLOOKUP($J79,[13]Nod!$A$3:$E$978,5,FALSE)</f>
        <v>9</v>
      </c>
    </row>
    <row r="80" spans="1:13" ht="15" customHeight="1">
      <c r="A80" s="314" t="s">
        <v>314</v>
      </c>
      <c r="B80" s="3"/>
      <c r="C80" s="40"/>
      <c r="D80" s="358" t="s">
        <v>362</v>
      </c>
      <c r="E80" s="302"/>
      <c r="F80" s="31"/>
      <c r="G80" s="31"/>
      <c r="H80" s="69" t="s">
        <v>44</v>
      </c>
      <c r="I80" s="67"/>
      <c r="J80" s="68">
        <v>6059</v>
      </c>
      <c r="K80" s="65">
        <v>0.69199999999999995</v>
      </c>
      <c r="L80" s="281" t="str">
        <f>VLOOKUP($J80,[13]Nod!$A$3:$E$978,4,FALSE)</f>
        <v>LM1115</v>
      </c>
      <c r="M80" s="281">
        <f>VLOOKUP($J80,[13]Nod!$A$3:$E$978,5,FALSE)</f>
        <v>9</v>
      </c>
    </row>
    <row r="81" spans="1:13" ht="15" customHeight="1">
      <c r="A81" s="314" t="s">
        <v>313</v>
      </c>
      <c r="B81" s="3"/>
      <c r="C81" s="40"/>
      <c r="D81" s="358" t="s">
        <v>362</v>
      </c>
      <c r="E81" s="302"/>
      <c r="F81" s="31"/>
      <c r="G81" s="31"/>
      <c r="H81" s="303" t="s">
        <v>35</v>
      </c>
      <c r="I81" s="304"/>
      <c r="J81" s="306"/>
      <c r="K81" s="306"/>
      <c r="L81" s="281"/>
      <c r="M81" s="281"/>
    </row>
    <row r="82" spans="1:13" ht="15" customHeight="1">
      <c r="A82" s="314" t="s">
        <v>312</v>
      </c>
      <c r="B82" s="3"/>
      <c r="C82" s="40"/>
      <c r="D82" s="358" t="s">
        <v>362</v>
      </c>
      <c r="E82" s="302"/>
      <c r="F82" s="31"/>
      <c r="G82" s="31"/>
      <c r="H82" s="309">
        <v>10</v>
      </c>
      <c r="I82" s="310"/>
      <c r="J82" s="326"/>
      <c r="K82" s="300">
        <f>SUM(K83:K85)</f>
        <v>55.695402220951536</v>
      </c>
      <c r="L82" s="281"/>
      <c r="M82" s="281"/>
    </row>
    <row r="83" spans="1:13" ht="15" customHeight="1">
      <c r="A83" s="53" t="s">
        <v>35</v>
      </c>
      <c r="B83" s="42"/>
      <c r="C83" s="43"/>
      <c r="D83" s="43"/>
      <c r="E83" s="315"/>
      <c r="F83" s="31" t="str">
        <f>IFERROR(VLOOKUP($C83,[13]Nod!$A$3:$E$979,4,FALSE)," ")</f>
        <v xml:space="preserve"> </v>
      </c>
      <c r="G83" s="31" t="str">
        <f>IFERROR(VLOOKUP($C83,[13]Nod!$A$3:$E$979,5,FALSE)," ")</f>
        <v xml:space="preserve"> </v>
      </c>
      <c r="H83" s="296" t="s">
        <v>29</v>
      </c>
      <c r="I83" s="67"/>
      <c r="J83" s="68"/>
      <c r="K83" s="68"/>
      <c r="L83" s="281"/>
      <c r="M83" s="281"/>
    </row>
    <row r="84" spans="1:13" ht="15" customHeight="1">
      <c r="A84" s="33">
        <v>3</v>
      </c>
      <c r="B84" s="34"/>
      <c r="C84" s="35"/>
      <c r="D84" s="66">
        <f>SUM(D85:D93)</f>
        <v>178.73000000000005</v>
      </c>
      <c r="E84" s="317"/>
      <c r="F84" s="31" t="str">
        <f>IFERROR(VLOOKUP($C84,[13]Nod!$A$3:$E$979,4,FALSE)," ")</f>
        <v xml:space="preserve"> </v>
      </c>
      <c r="G84" s="31" t="str">
        <f>IFERROR(VLOOKUP($C84,[13]Nod!$A$3:$E$979,5,FALSE)," ")</f>
        <v xml:space="preserve"> </v>
      </c>
      <c r="H84" s="69" t="s">
        <v>208</v>
      </c>
      <c r="I84" s="67"/>
      <c r="J84" s="68">
        <v>6340</v>
      </c>
      <c r="K84" s="65">
        <v>28.768875464335053</v>
      </c>
      <c r="L84" s="281" t="str">
        <f>VLOOKUP($J84,[13]Nod!$A$3:$E$978,4,FALSE)</f>
        <v>CAN230</v>
      </c>
      <c r="M84" s="281">
        <f>VLOOKUP($J84,[13]Nod!$A$3:$E$978,5,FALSE)</f>
        <v>10</v>
      </c>
    </row>
    <row r="85" spans="1:13" ht="15" customHeight="1">
      <c r="A85" s="301" t="s">
        <v>52</v>
      </c>
      <c r="B85" s="3"/>
      <c r="C85" s="40">
        <v>6087</v>
      </c>
      <c r="D85" s="329">
        <v>47.2</v>
      </c>
      <c r="E85" s="302">
        <v>0</v>
      </c>
      <c r="F85" s="31" t="str">
        <f>IFERROR(VLOOKUP($C85,[13]Nod!$A$3:$E$979,4,FALSE)," ")</f>
        <v>CAL115</v>
      </c>
      <c r="G85" s="31">
        <f>IFERROR(VLOOKUP($C85,[13]Nod!$A$3:$E$979,5,FALSE)," ")</f>
        <v>3</v>
      </c>
      <c r="H85" s="69" t="s">
        <v>99</v>
      </c>
      <c r="I85" s="67"/>
      <c r="J85" s="68">
        <v>6340</v>
      </c>
      <c r="K85" s="65">
        <v>26.926526756616479</v>
      </c>
      <c r="L85" s="281" t="str">
        <f>VLOOKUP($J85,[13]Nod!$A$3:$E$978,4,FALSE)</f>
        <v>CAN230</v>
      </c>
      <c r="M85" s="281">
        <f>VLOOKUP($J85,[13]Nod!$A$3:$E$978,5,FALSE)</f>
        <v>10</v>
      </c>
    </row>
    <row r="86" spans="1:13" ht="15" customHeight="1">
      <c r="A86" s="301" t="s">
        <v>54</v>
      </c>
      <c r="B86" s="3"/>
      <c r="C86" s="40">
        <v>6087</v>
      </c>
      <c r="D86" s="329">
        <v>54.76</v>
      </c>
      <c r="E86" s="302">
        <v>0</v>
      </c>
      <c r="F86" s="31" t="str">
        <f>IFERROR(VLOOKUP($C86,[13]Nod!$A$3:$E$979,4,FALSE)," ")</f>
        <v>CAL115</v>
      </c>
      <c r="G86" s="31">
        <f>IFERROR(VLOOKUP($C86,[13]Nod!$A$3:$E$979,5,FALSE)," ")</f>
        <v>3</v>
      </c>
      <c r="H86" s="303" t="s">
        <v>35</v>
      </c>
      <c r="I86" s="304"/>
      <c r="J86" s="305"/>
      <c r="K86" s="325"/>
      <c r="L86" s="281"/>
      <c r="M86" s="281"/>
    </row>
    <row r="87" spans="1:13" ht="15" customHeight="1">
      <c r="A87" s="301" t="s">
        <v>55</v>
      </c>
      <c r="B87" s="3"/>
      <c r="C87" s="40">
        <v>6087</v>
      </c>
      <c r="D87" s="329">
        <v>18</v>
      </c>
      <c r="E87" s="302">
        <v>0</v>
      </c>
      <c r="F87" s="31" t="str">
        <f>IFERROR(VLOOKUP($C87,[13]Nod!$A$3:$E$979,4,FALSE)," ")</f>
        <v>CAL115</v>
      </c>
      <c r="G87" s="31">
        <f>IFERROR(VLOOKUP($C87,[13]Nod!$A$3:$E$979,5,FALSE)," ")</f>
        <v>3</v>
      </c>
    </row>
    <row r="88" spans="1:13" ht="15" customHeight="1">
      <c r="A88" s="301" t="s">
        <v>56</v>
      </c>
      <c r="B88" s="3"/>
      <c r="C88" s="40">
        <v>6087</v>
      </c>
      <c r="D88" s="329">
        <v>15.5</v>
      </c>
      <c r="E88" s="302">
        <v>0</v>
      </c>
      <c r="F88" s="31" t="str">
        <f>IFERROR(VLOOKUP($C88,[13]Nod!$A$3:$E$979,4,FALSE)," ")</f>
        <v>CAL115</v>
      </c>
      <c r="G88" s="31">
        <f>IFERROR(VLOOKUP($C88,[13]Nod!$A$3:$E$979,5,FALSE)," ")</f>
        <v>3</v>
      </c>
      <c r="L88" s="281"/>
      <c r="M88" s="281"/>
    </row>
    <row r="89" spans="1:13" ht="15" customHeight="1">
      <c r="A89" s="301" t="s">
        <v>59</v>
      </c>
      <c r="B89" s="3"/>
      <c r="C89" s="40">
        <v>6087</v>
      </c>
      <c r="D89" s="329">
        <v>9.73</v>
      </c>
      <c r="E89" s="302">
        <v>0</v>
      </c>
      <c r="F89" s="31" t="str">
        <f>IFERROR(VLOOKUP($C89,[13]Nod!$A$3:$E$979,4,FALSE)," ")</f>
        <v>CAL115</v>
      </c>
      <c r="G89" s="31">
        <f>IFERROR(VLOOKUP($C89,[13]Nod!$A$3:$E$979,5,FALSE)," ")</f>
        <v>3</v>
      </c>
      <c r="L89" s="281"/>
      <c r="M89" s="281"/>
    </row>
    <row r="90" spans="1:13" ht="15" customHeight="1">
      <c r="A90" s="314" t="s">
        <v>58</v>
      </c>
      <c r="B90" s="3"/>
      <c r="C90" s="40">
        <v>6087</v>
      </c>
      <c r="D90" s="329">
        <v>7.8</v>
      </c>
      <c r="E90" s="302">
        <v>0</v>
      </c>
      <c r="F90" s="31" t="str">
        <f>IFERROR(VLOOKUP($C90,[13]Nod!$A$3:$E$979,4,FALSE)," ")</f>
        <v>CAL115</v>
      </c>
      <c r="G90" s="31">
        <f>IFERROR(VLOOKUP($C90,[13]Nod!$A$3:$E$979,5,FALSE)," ")</f>
        <v>3</v>
      </c>
      <c r="L90" s="281"/>
      <c r="M90" s="281"/>
    </row>
    <row r="91" spans="1:13" ht="15" customHeight="1">
      <c r="A91" s="314" t="s">
        <v>311</v>
      </c>
      <c r="B91" s="3"/>
      <c r="C91" s="40">
        <v>6087</v>
      </c>
      <c r="D91" s="329">
        <v>8.58</v>
      </c>
      <c r="E91" s="302">
        <v>0</v>
      </c>
      <c r="F91" s="31" t="str">
        <f>IFERROR(VLOOKUP($C91,[13]Nod!$A$3:$E$979,4,FALSE)," ")</f>
        <v>CAL115</v>
      </c>
      <c r="G91" s="31">
        <f>IFERROR(VLOOKUP($C91,[13]Nod!$A$3:$E$979,5,FALSE)," ")</f>
        <v>3</v>
      </c>
      <c r="L91" s="281"/>
      <c r="M91" s="281"/>
    </row>
    <row r="92" spans="1:13" ht="15" customHeight="1">
      <c r="A92" s="314" t="s">
        <v>310</v>
      </c>
      <c r="B92" s="3"/>
      <c r="C92" s="40">
        <v>6087</v>
      </c>
      <c r="D92" s="329">
        <v>8.58</v>
      </c>
      <c r="E92" s="302">
        <v>0</v>
      </c>
      <c r="F92" s="31" t="str">
        <f>IFERROR(VLOOKUP($C92,[13]Nod!$A$3:$E$979,4,FALSE)," ")</f>
        <v>CAL115</v>
      </c>
      <c r="G92" s="31">
        <f>IFERROR(VLOOKUP($C92,[13]Nod!$A$3:$E$979,5,FALSE)," ")</f>
        <v>3</v>
      </c>
      <c r="L92" s="281"/>
      <c r="M92" s="281"/>
    </row>
    <row r="93" spans="1:13" ht="15" customHeight="1">
      <c r="A93" s="314" t="s">
        <v>309</v>
      </c>
      <c r="B93" s="3"/>
      <c r="C93" s="40">
        <v>6087</v>
      </c>
      <c r="D93" s="329">
        <v>8.58</v>
      </c>
      <c r="E93" s="302">
        <v>0</v>
      </c>
      <c r="F93" s="31" t="str">
        <f>IFERROR(VLOOKUP($C93,[13]Nod!$A$3:$E$979,4,FALSE)," ")</f>
        <v>CAL115</v>
      </c>
      <c r="G93" s="31">
        <f>IFERROR(VLOOKUP($C93,[13]Nod!$A$3:$E$979,5,FALSE)," ")</f>
        <v>3</v>
      </c>
      <c r="L93" s="281"/>
      <c r="M93" s="281"/>
    </row>
    <row r="94" spans="1:13" ht="15" customHeight="1">
      <c r="A94" s="49" t="s">
        <v>35</v>
      </c>
      <c r="B94" s="3"/>
      <c r="C94" s="40"/>
      <c r="D94" s="40"/>
      <c r="E94" s="302"/>
      <c r="F94" s="31" t="str">
        <f>IFERROR(VLOOKUP($C94,[13]Nod!$A$3:$E$979,4,FALSE)," ")</f>
        <v xml:space="preserve"> </v>
      </c>
      <c r="G94" s="31" t="str">
        <f>IFERROR(VLOOKUP($C94,[13]Nod!$A$3:$E$979,5,FALSE)," ")</f>
        <v xml:space="preserve"> </v>
      </c>
      <c r="L94" s="281"/>
      <c r="M94" s="281"/>
    </row>
    <row r="95" spans="1:13" ht="15" customHeight="1">
      <c r="A95" s="47">
        <v>4</v>
      </c>
      <c r="B95" s="44"/>
      <c r="C95" s="45"/>
      <c r="D95" s="46">
        <f>SUM(D96:D141)</f>
        <v>594.92099999999982</v>
      </c>
      <c r="E95" s="297"/>
      <c r="F95" s="31" t="str">
        <f>IFERROR(VLOOKUP($C95,[13]Nod!$A$3:$E$979,4,FALSE)," ")</f>
        <v xml:space="preserve"> </v>
      </c>
      <c r="G95" s="31" t="str">
        <f>IFERROR(VLOOKUP($C95,[13]Nod!$A$3:$E$979,5,FALSE)," ")</f>
        <v xml:space="preserve"> </v>
      </c>
      <c r="L95" s="281"/>
      <c r="M95" s="281"/>
    </row>
    <row r="96" spans="1:13" ht="15" customHeight="1">
      <c r="A96" s="301" t="s">
        <v>62</v>
      </c>
      <c r="B96" s="3"/>
      <c r="C96" s="40">
        <v>6380</v>
      </c>
      <c r="D96" s="329">
        <v>10</v>
      </c>
      <c r="E96" s="302">
        <v>0</v>
      </c>
      <c r="F96" s="31" t="str">
        <f>IFERROR(VLOOKUP($C96,[13]Nod!$A$3:$E$979,4,FALSE)," ")</f>
        <v>BOQIII230</v>
      </c>
      <c r="G96" s="31">
        <f>IFERROR(VLOOKUP($C96,[13]Nod!$A$3:$E$979,5,FALSE)," ")</f>
        <v>4</v>
      </c>
      <c r="L96" s="281"/>
      <c r="M96" s="281"/>
    </row>
    <row r="97" spans="1:13" ht="15" customHeight="1">
      <c r="A97" s="301" t="s">
        <v>64</v>
      </c>
      <c r="B97" s="3"/>
      <c r="C97" s="40">
        <v>6380</v>
      </c>
      <c r="D97" s="329">
        <v>5.8</v>
      </c>
      <c r="E97" s="302">
        <v>0</v>
      </c>
      <c r="F97" s="31" t="str">
        <f>IFERROR(VLOOKUP($C97,[13]Nod!$A$3:$E$979,4,FALSE)," ")</f>
        <v>BOQIII230</v>
      </c>
      <c r="G97" s="31">
        <f>IFERROR(VLOOKUP($C97,[13]Nod!$A$3:$E$979,5,FALSE)," ")</f>
        <v>4</v>
      </c>
      <c r="L97" s="281"/>
      <c r="M97" s="281"/>
    </row>
    <row r="98" spans="1:13" ht="15" customHeight="1">
      <c r="A98" s="301" t="s">
        <v>66</v>
      </c>
      <c r="B98" s="3"/>
      <c r="C98" s="40">
        <v>6013</v>
      </c>
      <c r="D98" s="329">
        <v>6</v>
      </c>
      <c r="E98" s="302">
        <v>0</v>
      </c>
      <c r="F98" s="31" t="str">
        <f>IFERROR(VLOOKUP($C98,[13]Nod!$A$3:$E$979,4,FALSE)," ")</f>
        <v>MDN34</v>
      </c>
      <c r="G98" s="31">
        <f>IFERROR(VLOOKUP($C98,[13]Nod!$A$3:$E$979,5,FALSE)," ")</f>
        <v>4</v>
      </c>
      <c r="L98" s="281"/>
      <c r="M98" s="281"/>
    </row>
    <row r="99" spans="1:13" ht="15" customHeight="1">
      <c r="A99" s="320" t="s">
        <v>206</v>
      </c>
      <c r="B99" s="3"/>
      <c r="C99" s="40">
        <v>6013</v>
      </c>
      <c r="D99" s="329">
        <v>4.75</v>
      </c>
      <c r="E99" s="302">
        <v>0</v>
      </c>
      <c r="F99" s="31" t="str">
        <f>IFERROR(VLOOKUP($C99,[13]Nod!$A$3:$E$979,4,FALSE)," ")</f>
        <v>MDN34</v>
      </c>
      <c r="G99" s="31">
        <f>IFERROR(VLOOKUP($C99,[13]Nod!$A$3:$E$979,5,FALSE)," ")</f>
        <v>4</v>
      </c>
      <c r="L99" s="281"/>
      <c r="M99" s="281"/>
    </row>
    <row r="100" spans="1:13" ht="15" customHeight="1">
      <c r="A100" s="301" t="s">
        <v>187</v>
      </c>
      <c r="B100" s="3"/>
      <c r="C100" s="40">
        <v>6380</v>
      </c>
      <c r="D100" s="329">
        <v>20.91</v>
      </c>
      <c r="E100" s="302">
        <v>0</v>
      </c>
      <c r="F100" s="31" t="str">
        <f>IFERROR(VLOOKUP($C100,[13]Nod!$A$3:$E$979,4,FALSE)," ")</f>
        <v>BOQIII230</v>
      </c>
      <c r="G100" s="31">
        <f>IFERROR(VLOOKUP($C100,[13]Nod!$A$3:$E$979,5,FALSE)," ")</f>
        <v>4</v>
      </c>
      <c r="L100" s="281"/>
      <c r="M100" s="281"/>
    </row>
    <row r="101" spans="1:13" ht="15" customHeight="1">
      <c r="A101" s="301" t="s">
        <v>308</v>
      </c>
      <c r="B101" s="3"/>
      <c r="C101" s="40">
        <v>6380</v>
      </c>
      <c r="D101" s="329">
        <v>13.18</v>
      </c>
      <c r="E101" s="302">
        <v>0</v>
      </c>
      <c r="F101" s="31" t="str">
        <f>IFERROR(VLOOKUP($C101,[13]Nod!$A$3:$E$979,4,FALSE)," ")</f>
        <v>BOQIII230</v>
      </c>
      <c r="G101" s="31">
        <f>IFERROR(VLOOKUP($C101,[13]Nod!$A$3:$E$979,5,FALSE)," ")</f>
        <v>4</v>
      </c>
      <c r="L101" s="281"/>
      <c r="M101" s="281"/>
    </row>
    <row r="102" spans="1:13" ht="15" customHeight="1">
      <c r="A102" s="301" t="s">
        <v>67</v>
      </c>
      <c r="B102" s="3"/>
      <c r="C102" s="40">
        <v>6380</v>
      </c>
      <c r="D102" s="329">
        <v>14</v>
      </c>
      <c r="E102" s="302">
        <v>0</v>
      </c>
      <c r="F102" s="31" t="str">
        <f>IFERROR(VLOOKUP($C102,[13]Nod!$A$3:$E$979,4,FALSE)," ")</f>
        <v>BOQIII230</v>
      </c>
      <c r="G102" s="31">
        <f>IFERROR(VLOOKUP($C102,[13]Nod!$A$3:$E$979,5,FALSE)," ")</f>
        <v>4</v>
      </c>
      <c r="L102" s="281"/>
      <c r="M102" s="281"/>
    </row>
    <row r="103" spans="1:13" ht="15" customHeight="1">
      <c r="A103" s="301" t="s">
        <v>207</v>
      </c>
      <c r="B103" s="3"/>
      <c r="C103" s="54">
        <v>6013</v>
      </c>
      <c r="D103" s="140">
        <v>2.5</v>
      </c>
      <c r="E103" s="302">
        <v>0</v>
      </c>
      <c r="F103" s="31" t="str">
        <f>IFERROR(VLOOKUP($C103,[13]Nod!$A$3:$E$979,4,FALSE)," ")</f>
        <v>MDN34</v>
      </c>
      <c r="G103" s="31">
        <f>IFERROR(VLOOKUP($C103,[13]Nod!$A$3:$E$979,5,FALSE)," ")</f>
        <v>4</v>
      </c>
      <c r="L103" s="281"/>
      <c r="M103" s="281"/>
    </row>
    <row r="104" spans="1:13" ht="15" customHeight="1">
      <c r="A104" s="301" t="s">
        <v>209</v>
      </c>
      <c r="B104" s="3"/>
      <c r="C104" s="54">
        <v>6013</v>
      </c>
      <c r="D104" s="329">
        <v>3.12</v>
      </c>
      <c r="E104" s="302">
        <v>0</v>
      </c>
      <c r="F104" s="31" t="str">
        <f>IFERROR(VLOOKUP($C104,[13]Nod!$A$3:$E$979,4,FALSE)," ")</f>
        <v>MDN34</v>
      </c>
      <c r="G104" s="31">
        <f>IFERROR(VLOOKUP($C104,[13]Nod!$A$3:$E$979,5,FALSE)," ")</f>
        <v>4</v>
      </c>
      <c r="L104" s="281"/>
      <c r="M104" s="281"/>
    </row>
    <row r="105" spans="1:13" ht="15" customHeight="1">
      <c r="A105" s="301" t="s">
        <v>70</v>
      </c>
      <c r="B105" s="3"/>
      <c r="C105" s="40">
        <v>6380</v>
      </c>
      <c r="D105" s="329">
        <v>10</v>
      </c>
      <c r="E105" s="302">
        <v>0</v>
      </c>
      <c r="F105" s="31" t="str">
        <f>IFERROR(VLOOKUP($C105,[13]Nod!$A$3:$E$979,4,FALSE)," ")</f>
        <v>BOQIII230</v>
      </c>
      <c r="G105" s="31">
        <f>IFERROR(VLOOKUP($C105,[13]Nod!$A$3:$E$979,5,FALSE)," ")</f>
        <v>4</v>
      </c>
      <c r="L105" s="281"/>
      <c r="M105" s="281"/>
    </row>
    <row r="106" spans="1:13" ht="15" customHeight="1">
      <c r="A106" s="301" t="s">
        <v>71</v>
      </c>
      <c r="B106" s="3"/>
      <c r="C106" s="40">
        <v>6380</v>
      </c>
      <c r="D106" s="329">
        <v>10</v>
      </c>
      <c r="E106" s="302">
        <v>0</v>
      </c>
      <c r="F106" s="31" t="str">
        <f>IFERROR(VLOOKUP($C106,[13]Nod!$A$3:$E$979,4,FALSE)," ")</f>
        <v>BOQIII230</v>
      </c>
      <c r="G106" s="31">
        <f>IFERROR(VLOOKUP($C106,[13]Nod!$A$3:$E$979,5,FALSE)," ")</f>
        <v>4</v>
      </c>
      <c r="L106" s="281"/>
      <c r="M106" s="281"/>
    </row>
    <row r="107" spans="1:13" ht="15" customHeight="1">
      <c r="A107" s="301" t="s">
        <v>73</v>
      </c>
      <c r="B107" s="3"/>
      <c r="C107" s="40">
        <v>6013</v>
      </c>
      <c r="D107" s="329">
        <v>8.1199999999999992</v>
      </c>
      <c r="E107" s="302">
        <v>0</v>
      </c>
      <c r="F107" s="31" t="str">
        <f>IFERROR(VLOOKUP($C107,[13]Nod!$A$3:$E$979,4,FALSE)," ")</f>
        <v>MDN34</v>
      </c>
      <c r="G107" s="31">
        <f>IFERROR(VLOOKUP($C107,[13]Nod!$A$3:$E$979,5,FALSE)," ")</f>
        <v>4</v>
      </c>
      <c r="L107" s="281"/>
      <c r="M107" s="281"/>
    </row>
    <row r="108" spans="1:13" ht="15" customHeight="1">
      <c r="A108" s="301" t="s">
        <v>75</v>
      </c>
      <c r="B108" s="3"/>
      <c r="C108" s="40">
        <v>6182</v>
      </c>
      <c r="D108" s="329">
        <v>51.65</v>
      </c>
      <c r="E108" s="302">
        <v>0</v>
      </c>
      <c r="F108" s="31" t="str">
        <f>IFERROR(VLOOKUP($C108,[13]Nod!$A$3:$E$979,4,FALSE)," ")</f>
        <v>VEL230</v>
      </c>
      <c r="G108" s="31">
        <f>IFERROR(VLOOKUP($C108,[13]Nod!$A$3:$E$979,5,FALSE)," ")</f>
        <v>4</v>
      </c>
      <c r="K108" s="295"/>
      <c r="L108" s="281"/>
      <c r="M108" s="281"/>
    </row>
    <row r="109" spans="1:13" ht="15" customHeight="1">
      <c r="A109" s="301" t="s">
        <v>77</v>
      </c>
      <c r="B109" s="3"/>
      <c r="C109" s="40">
        <v>6182</v>
      </c>
      <c r="D109" s="329">
        <v>32.6</v>
      </c>
      <c r="E109" s="302">
        <v>0</v>
      </c>
      <c r="F109" s="31" t="str">
        <f>IFERROR(VLOOKUP($C109,[13]Nod!$A$3:$E$979,4,FALSE)," ")</f>
        <v>VEL230</v>
      </c>
      <c r="G109" s="31">
        <f>IFERROR(VLOOKUP($C109,[13]Nod!$A$3:$E$979,5,FALSE)," ")</f>
        <v>4</v>
      </c>
      <c r="K109" s="295"/>
      <c r="L109" s="281"/>
      <c r="M109" s="281"/>
    </row>
    <row r="110" spans="1:13" ht="15" customHeight="1">
      <c r="A110" s="301" t="s">
        <v>79</v>
      </c>
      <c r="B110" s="3"/>
      <c r="C110" s="40">
        <v>6380</v>
      </c>
      <c r="D110" s="329">
        <v>5.12</v>
      </c>
      <c r="E110" s="302">
        <v>0</v>
      </c>
      <c r="F110" s="31" t="str">
        <f>IFERROR(VLOOKUP($C110,[13]Nod!$A$3:$E$979,4,FALSE)," ")</f>
        <v>BOQIII230</v>
      </c>
      <c r="G110" s="31">
        <f>IFERROR(VLOOKUP($C110,[13]Nod!$A$3:$E$979,5,FALSE)," ")</f>
        <v>4</v>
      </c>
      <c r="K110" s="295"/>
      <c r="L110" s="281"/>
      <c r="M110" s="281"/>
    </row>
    <row r="111" spans="1:13" ht="15" customHeight="1">
      <c r="A111" s="301" t="s">
        <v>196</v>
      </c>
      <c r="B111" s="3"/>
      <c r="C111" s="40">
        <v>6380</v>
      </c>
      <c r="D111" s="329">
        <v>5.86</v>
      </c>
      <c r="E111" s="302">
        <v>0</v>
      </c>
      <c r="F111" s="31" t="str">
        <f>IFERROR(VLOOKUP($C111,[13]Nod!$A$3:$E$979,4,FALSE)," ")</f>
        <v>BOQIII230</v>
      </c>
      <c r="G111" s="31">
        <f>IFERROR(VLOOKUP($C111,[13]Nod!$A$3:$E$979,5,FALSE)," ")</f>
        <v>4</v>
      </c>
      <c r="K111" s="295"/>
      <c r="L111" s="281"/>
      <c r="M111" s="281"/>
    </row>
    <row r="112" spans="1:13" ht="15" customHeight="1">
      <c r="A112" s="301" t="s">
        <v>80</v>
      </c>
      <c r="B112" s="3"/>
      <c r="C112" s="40">
        <v>6182</v>
      </c>
      <c r="D112" s="329">
        <v>72.2</v>
      </c>
      <c r="E112" s="302">
        <v>0</v>
      </c>
      <c r="F112" s="31" t="str">
        <f>IFERROR(VLOOKUP($C112,[13]Nod!$A$3:$E$979,4,FALSE)," ")</f>
        <v>VEL230</v>
      </c>
      <c r="G112" s="31">
        <f>IFERROR(VLOOKUP($C112,[13]Nod!$A$3:$E$979,5,FALSE)," ")</f>
        <v>4</v>
      </c>
      <c r="K112" s="295"/>
      <c r="L112" s="281"/>
      <c r="M112" s="281"/>
    </row>
    <row r="113" spans="1:13" ht="15" customHeight="1">
      <c r="A113" s="301" t="s">
        <v>81</v>
      </c>
      <c r="B113" s="22"/>
      <c r="C113" s="55">
        <v>6380</v>
      </c>
      <c r="D113" s="329">
        <v>6.3</v>
      </c>
      <c r="E113" s="318">
        <v>0</v>
      </c>
      <c r="F113" s="31" t="str">
        <f>IFERROR(VLOOKUP($C113,[13]Nod!$A$3:$E$979,4,FALSE)," ")</f>
        <v>BOQIII230</v>
      </c>
      <c r="G113" s="31">
        <f>IFERROR(VLOOKUP($C113,[13]Nod!$A$3:$E$979,5,FALSE)," ")</f>
        <v>4</v>
      </c>
      <c r="K113" s="295"/>
      <c r="L113" s="281"/>
      <c r="M113" s="281"/>
    </row>
    <row r="114" spans="1:13" ht="15" customHeight="1">
      <c r="A114" s="301" t="s">
        <v>197</v>
      </c>
      <c r="B114" s="22"/>
      <c r="C114" s="55">
        <v>6013</v>
      </c>
      <c r="D114" s="329">
        <v>8.86</v>
      </c>
      <c r="E114" s="318">
        <v>0</v>
      </c>
      <c r="F114" s="31" t="str">
        <f>IFERROR(VLOOKUP($C114,[13]Nod!$A$3:$E$979,4,FALSE)," ")</f>
        <v>MDN34</v>
      </c>
      <c r="G114" s="31">
        <f>IFERROR(VLOOKUP($C114,[13]Nod!$A$3:$E$979,5,FALSE)," ")</f>
        <v>4</v>
      </c>
      <c r="K114" s="295"/>
      <c r="L114" s="281"/>
      <c r="M114" s="281"/>
    </row>
    <row r="115" spans="1:13" ht="15" customHeight="1">
      <c r="A115" s="301" t="s">
        <v>198</v>
      </c>
      <c r="B115" s="3"/>
      <c r="C115" s="54">
        <v>6013</v>
      </c>
      <c r="D115" s="329">
        <v>9</v>
      </c>
      <c r="E115" s="302">
        <v>0</v>
      </c>
      <c r="F115" s="31" t="str">
        <f>IFERROR(VLOOKUP($C115,[13]Nod!$A$3:$E$979,4,FALSE)," ")</f>
        <v>MDN34</v>
      </c>
      <c r="G115" s="31">
        <f>IFERROR(VLOOKUP($C115,[13]Nod!$A$3:$E$979,5,FALSE)," ")</f>
        <v>4</v>
      </c>
      <c r="K115" s="295"/>
      <c r="L115" s="281"/>
      <c r="M115" s="281"/>
    </row>
    <row r="116" spans="1:13" ht="15" customHeight="1">
      <c r="A116" s="301" t="s">
        <v>83</v>
      </c>
      <c r="B116" s="3"/>
      <c r="C116" s="54">
        <v>6520</v>
      </c>
      <c r="D116" s="329">
        <v>19.8</v>
      </c>
      <c r="E116" s="302">
        <v>0</v>
      </c>
      <c r="F116" s="31" t="str">
        <f>IFERROR(VLOOKUP($C116,[13]Nod!$A$3:$E$979,4,FALSE)," ")</f>
        <v>SBA230</v>
      </c>
      <c r="G116" s="31">
        <f>IFERROR(VLOOKUP($C116,[13]Nod!$A$3:$E$979,5,FALSE)," ")</f>
        <v>4</v>
      </c>
      <c r="K116" s="295"/>
      <c r="L116" s="281"/>
      <c r="M116" s="281"/>
    </row>
    <row r="117" spans="1:13" ht="15" customHeight="1">
      <c r="A117" s="301" t="s">
        <v>84</v>
      </c>
      <c r="B117" s="3"/>
      <c r="C117" s="54">
        <v>6550</v>
      </c>
      <c r="D117" s="329">
        <v>28.56</v>
      </c>
      <c r="E117" s="302">
        <v>0</v>
      </c>
      <c r="F117" s="31" t="str">
        <f>IFERROR(VLOOKUP($C117,[13]Nod!$A$3:$E$979,4,FALSE)," ")</f>
        <v>BEV230</v>
      </c>
      <c r="G117" s="31">
        <f>IFERROR(VLOOKUP($C117,[13]Nod!$A$3:$E$979,5,FALSE)," ")</f>
        <v>4</v>
      </c>
      <c r="K117" s="295"/>
      <c r="L117" s="281"/>
      <c r="M117" s="281"/>
    </row>
    <row r="118" spans="1:13" ht="15" customHeight="1">
      <c r="A118" s="301" t="s">
        <v>210</v>
      </c>
      <c r="B118" s="3"/>
      <c r="C118" s="40">
        <v>6380</v>
      </c>
      <c r="D118" s="329">
        <v>2.02</v>
      </c>
      <c r="E118" s="302">
        <v>0</v>
      </c>
      <c r="F118" s="31" t="str">
        <f>IFERROR(VLOOKUP($C118,[13]Nod!$A$3:$E$979,4,FALSE)," ")</f>
        <v>BOQIII230</v>
      </c>
      <c r="G118" s="31">
        <f>IFERROR(VLOOKUP($C118,[13]Nod!$A$3:$E$979,5,FALSE)," ")</f>
        <v>4</v>
      </c>
      <c r="K118" s="295"/>
      <c r="L118" s="281"/>
      <c r="M118" s="281"/>
    </row>
    <row r="119" spans="1:13" ht="15" customHeight="1">
      <c r="A119" s="301" t="s">
        <v>86</v>
      </c>
      <c r="B119" s="3"/>
      <c r="C119" s="40">
        <v>6380</v>
      </c>
      <c r="D119" s="329">
        <v>7.62</v>
      </c>
      <c r="E119" s="302">
        <v>0</v>
      </c>
      <c r="F119" s="31" t="str">
        <f>IFERROR(VLOOKUP($C119,[13]Nod!$A$3:$E$979,4,FALSE)," ")</f>
        <v>BOQIII230</v>
      </c>
      <c r="G119" s="31">
        <f>IFERROR(VLOOKUP($C119,[13]Nod!$A$3:$E$979,5,FALSE)," ")</f>
        <v>4</v>
      </c>
      <c r="K119" s="295"/>
      <c r="L119" s="281"/>
      <c r="M119" s="281"/>
    </row>
    <row r="120" spans="1:13" ht="15" customHeight="1">
      <c r="A120" s="301" t="s">
        <v>199</v>
      </c>
      <c r="B120" s="3"/>
      <c r="C120" s="40">
        <v>6380</v>
      </c>
      <c r="D120" s="329">
        <v>10</v>
      </c>
      <c r="E120" s="302">
        <v>0</v>
      </c>
      <c r="F120" s="31" t="str">
        <f>IFERROR(VLOOKUP($C120,[13]Nod!$A$3:$E$979,4,FALSE)," ")</f>
        <v>BOQIII230</v>
      </c>
      <c r="G120" s="31">
        <f>IFERROR(VLOOKUP($C120,[13]Nod!$A$3:$E$979,5,FALSE)," ")</f>
        <v>4</v>
      </c>
      <c r="K120" s="295"/>
      <c r="L120" s="281"/>
      <c r="M120" s="281"/>
    </row>
    <row r="121" spans="1:13" ht="15" customHeight="1">
      <c r="A121" s="301" t="s">
        <v>200</v>
      </c>
      <c r="B121" s="3"/>
      <c r="C121" s="40">
        <v>6380</v>
      </c>
      <c r="D121" s="329">
        <v>10</v>
      </c>
      <c r="E121" s="302">
        <v>0</v>
      </c>
      <c r="F121" s="31" t="str">
        <f>IFERROR(VLOOKUP($C121,[13]Nod!$A$3:$E$979,4,FALSE)," ")</f>
        <v>BOQIII230</v>
      </c>
      <c r="G121" s="31">
        <f>IFERROR(VLOOKUP($C121,[13]Nod!$A$3:$E$979,5,FALSE)," ")</f>
        <v>4</v>
      </c>
      <c r="K121" s="295"/>
      <c r="L121" s="281"/>
      <c r="M121" s="281"/>
    </row>
    <row r="122" spans="1:13" ht="15" customHeight="1">
      <c r="A122" s="301" t="s">
        <v>201</v>
      </c>
      <c r="B122" s="3"/>
      <c r="C122" s="55">
        <v>6013</v>
      </c>
      <c r="D122" s="329">
        <v>10</v>
      </c>
      <c r="E122" s="302">
        <v>0</v>
      </c>
      <c r="F122" s="31" t="str">
        <f>IFERROR(VLOOKUP($C122,[13]Nod!$A$3:$E$979,4,FALSE)," ")</f>
        <v>MDN34</v>
      </c>
      <c r="G122" s="31">
        <f>IFERROR(VLOOKUP($C122,[13]Nod!$A$3:$E$979,5,FALSE)," ")</f>
        <v>4</v>
      </c>
      <c r="K122" s="295"/>
      <c r="L122" s="281"/>
      <c r="M122" s="281"/>
    </row>
    <row r="123" spans="1:13" ht="15" customHeight="1">
      <c r="A123" s="301" t="s">
        <v>202</v>
      </c>
      <c r="B123" s="3"/>
      <c r="C123" s="55">
        <v>6013</v>
      </c>
      <c r="D123" s="329">
        <v>10</v>
      </c>
      <c r="E123" s="302">
        <v>0</v>
      </c>
      <c r="F123" s="31" t="str">
        <f>IFERROR(VLOOKUP($C123,[13]Nod!$A$3:$E$979,4,FALSE)," ")</f>
        <v>MDN34</v>
      </c>
      <c r="G123" s="31">
        <f>IFERROR(VLOOKUP($C123,[13]Nod!$A$3:$E$979,5,FALSE)," ")</f>
        <v>4</v>
      </c>
      <c r="K123" s="295"/>
      <c r="L123" s="281"/>
      <c r="M123" s="281"/>
    </row>
    <row r="124" spans="1:13" ht="15" customHeight="1">
      <c r="A124" s="301" t="s">
        <v>203</v>
      </c>
      <c r="B124" s="3"/>
      <c r="C124" s="55">
        <v>6013</v>
      </c>
      <c r="D124" s="329">
        <v>9.9600000000000009</v>
      </c>
      <c r="E124" s="302">
        <v>0</v>
      </c>
      <c r="F124" s="31" t="str">
        <f>IFERROR(VLOOKUP($C124,[13]Nod!$A$3:$E$979,4,FALSE)," ")</f>
        <v>MDN34</v>
      </c>
      <c r="G124" s="31">
        <f>IFERROR(VLOOKUP($C124,[13]Nod!$A$3:$E$979,5,FALSE)," ")</f>
        <v>4</v>
      </c>
      <c r="K124" s="295"/>
      <c r="L124" s="281"/>
      <c r="M124" s="281"/>
    </row>
    <row r="125" spans="1:13" ht="15" customHeight="1">
      <c r="A125" s="301" t="s">
        <v>204</v>
      </c>
      <c r="B125" s="3"/>
      <c r="C125" s="55">
        <v>6013</v>
      </c>
      <c r="D125" s="329">
        <v>9.9600000000000009</v>
      </c>
      <c r="E125" s="302">
        <v>0</v>
      </c>
      <c r="F125" s="31" t="str">
        <f>IFERROR(VLOOKUP($C125,[13]Nod!$A$3:$E$979,4,FALSE)," ")</f>
        <v>MDN34</v>
      </c>
      <c r="G125" s="31">
        <f>IFERROR(VLOOKUP($C125,[13]Nod!$A$3:$E$979,5,FALSE)," ")</f>
        <v>4</v>
      </c>
      <c r="K125" s="295"/>
      <c r="L125" s="281"/>
      <c r="M125" s="281"/>
    </row>
    <row r="126" spans="1:13" ht="15" customHeight="1">
      <c r="A126" s="301" t="s">
        <v>87</v>
      </c>
      <c r="B126" s="3"/>
      <c r="C126" s="40">
        <v>6182</v>
      </c>
      <c r="D126" s="329">
        <v>0.74099999999999999</v>
      </c>
      <c r="E126" s="302">
        <v>0</v>
      </c>
      <c r="F126" s="31" t="str">
        <f>IFERROR(VLOOKUP($C126,[13]Nod!$A$3:$E$979,4,FALSE)," ")</f>
        <v>VEL230</v>
      </c>
      <c r="G126" s="31">
        <f>IFERROR(VLOOKUP($C126,[13]Nod!$A$3:$E$979,5,FALSE)," ")</f>
        <v>4</v>
      </c>
      <c r="K126" s="295"/>
      <c r="L126" s="281"/>
      <c r="M126" s="281"/>
    </row>
    <row r="127" spans="1:13" ht="15" customHeight="1">
      <c r="A127" s="301" t="s">
        <v>211</v>
      </c>
      <c r="B127" s="3"/>
      <c r="C127" s="40">
        <v>6182</v>
      </c>
      <c r="D127" s="329">
        <v>4.75</v>
      </c>
      <c r="E127" s="302">
        <v>0</v>
      </c>
      <c r="F127" s="31" t="str">
        <f>IFERROR(VLOOKUP($C127,[13]Nod!$A$3:$E$979,4,FALSE)," ")</f>
        <v>VEL230</v>
      </c>
      <c r="G127" s="31">
        <f>IFERROR(VLOOKUP($C127,[13]Nod!$A$3:$E$979,5,FALSE)," ")</f>
        <v>4</v>
      </c>
      <c r="K127" s="295"/>
      <c r="L127" s="281"/>
      <c r="M127" s="281"/>
    </row>
    <row r="128" spans="1:13" ht="15" customHeight="1">
      <c r="A128" s="301" t="s">
        <v>307</v>
      </c>
      <c r="B128" s="3"/>
      <c r="C128" s="40">
        <v>6182</v>
      </c>
      <c r="D128" s="329">
        <v>31.8</v>
      </c>
      <c r="E128" s="302">
        <v>0</v>
      </c>
      <c r="F128" s="31" t="str">
        <f>IFERROR(VLOOKUP($C128,[13]Nod!$A$3:$E$979,4,FALSE)," ")</f>
        <v>VEL230</v>
      </c>
      <c r="G128" s="31">
        <f>IFERROR(VLOOKUP($C128,[13]Nod!$A$3:$E$979,5,FALSE)," ")</f>
        <v>4</v>
      </c>
      <c r="K128" s="295"/>
      <c r="L128" s="281"/>
      <c r="M128" s="281"/>
    </row>
    <row r="129" spans="1:13" ht="15" customHeight="1">
      <c r="A129" s="301" t="s">
        <v>212</v>
      </c>
      <c r="C129" s="40">
        <v>6380</v>
      </c>
      <c r="D129" s="329">
        <v>0.99</v>
      </c>
      <c r="E129" s="302">
        <v>0</v>
      </c>
      <c r="F129" s="31" t="str">
        <f>IFERROR(VLOOKUP($C129,[13]Nod!$A$3:$E$979,4,FALSE)," ")</f>
        <v>BOQIII230</v>
      </c>
      <c r="G129" s="31">
        <f>IFERROR(VLOOKUP($C129,[13]Nod!$A$3:$E$979,5,FALSE)," ")</f>
        <v>4</v>
      </c>
      <c r="K129" s="295"/>
      <c r="L129" s="281"/>
      <c r="M129" s="281"/>
    </row>
    <row r="130" spans="1:13" ht="15" customHeight="1">
      <c r="A130" s="301" t="s">
        <v>306</v>
      </c>
      <c r="C130" s="40">
        <v>6380</v>
      </c>
      <c r="D130" s="329">
        <v>5</v>
      </c>
      <c r="E130" s="302">
        <v>0</v>
      </c>
      <c r="F130" s="31" t="str">
        <f>IFERROR(VLOOKUP($C130,[13]Nod!$A$3:$E$979,4,FALSE)," ")</f>
        <v>BOQIII230</v>
      </c>
      <c r="G130" s="31">
        <f>IFERROR(VLOOKUP($C130,[13]Nod!$A$3:$E$979,5,FALSE)," ")</f>
        <v>4</v>
      </c>
      <c r="K130" s="295"/>
      <c r="L130" s="281"/>
      <c r="M130" s="281"/>
    </row>
    <row r="131" spans="1:13" ht="15" customHeight="1">
      <c r="A131" s="301" t="s">
        <v>205</v>
      </c>
      <c r="C131" s="40">
        <v>6380</v>
      </c>
      <c r="D131" s="329">
        <v>9.9</v>
      </c>
      <c r="E131" s="302">
        <v>1</v>
      </c>
      <c r="F131" s="31" t="str">
        <f>IFERROR(VLOOKUP($C131,[13]Nod!$A$3:$E$979,4,FALSE)," ")</f>
        <v>BOQIII230</v>
      </c>
      <c r="G131" s="31">
        <f>IFERROR(VLOOKUP($C131,[13]Nod!$A$3:$E$979,5,FALSE)," ")</f>
        <v>4</v>
      </c>
      <c r="K131" s="295"/>
      <c r="L131" s="281"/>
      <c r="M131" s="281"/>
    </row>
    <row r="132" spans="1:13" ht="15" customHeight="1">
      <c r="A132" s="301" t="s">
        <v>195</v>
      </c>
      <c r="C132" s="40">
        <v>6013</v>
      </c>
      <c r="D132" s="39">
        <v>70</v>
      </c>
      <c r="E132" s="302">
        <v>0</v>
      </c>
      <c r="F132" s="31" t="str">
        <f>IFERROR(VLOOKUP($C132,[13]Nod!$A$3:$E$979,4,FALSE)," ")</f>
        <v>MDN34</v>
      </c>
      <c r="G132" s="31">
        <f>IFERROR(VLOOKUP($C132,[13]Nod!$A$3:$E$979,5,FALSE)," ")</f>
        <v>4</v>
      </c>
      <c r="K132" s="295"/>
      <c r="L132" s="281"/>
      <c r="M132" s="281"/>
    </row>
    <row r="133" spans="1:13" ht="15" customHeight="1">
      <c r="A133" s="301" t="s">
        <v>89</v>
      </c>
      <c r="C133" s="40">
        <v>6013</v>
      </c>
      <c r="D133" s="359">
        <v>4.1500000000000004</v>
      </c>
      <c r="E133" s="302">
        <v>0</v>
      </c>
      <c r="F133" s="31" t="str">
        <f>IFERROR(VLOOKUP($C133,[13]Nod!$A$3:$E$979,4,FALSE)," ")</f>
        <v>MDN34</v>
      </c>
      <c r="G133" s="31">
        <f>IFERROR(VLOOKUP($C133,[13]Nod!$A$3:$E$979,5,FALSE)," ")</f>
        <v>4</v>
      </c>
      <c r="K133" s="295"/>
      <c r="L133" s="281"/>
      <c r="M133" s="281"/>
    </row>
    <row r="134" spans="1:13" ht="15" customHeight="1">
      <c r="A134" s="314" t="s">
        <v>305</v>
      </c>
      <c r="C134" s="40">
        <v>6013</v>
      </c>
      <c r="D134" s="329">
        <v>5</v>
      </c>
      <c r="E134" s="302">
        <v>0</v>
      </c>
      <c r="F134" s="31" t="str">
        <f>IFERROR(VLOOKUP($C134,[13]Nod!$A$3:$E$979,4,FALSE)," ")</f>
        <v>MDN34</v>
      </c>
      <c r="G134" s="31">
        <f>IFERROR(VLOOKUP($C134,[13]Nod!$A$3:$E$979,5,FALSE)," ")</f>
        <v>4</v>
      </c>
      <c r="K134" s="295"/>
      <c r="L134" s="281"/>
      <c r="M134" s="281"/>
    </row>
    <row r="135" spans="1:13" ht="15" customHeight="1">
      <c r="A135" s="314" t="s">
        <v>304</v>
      </c>
      <c r="C135" s="40">
        <v>6013</v>
      </c>
      <c r="D135" s="329">
        <v>5</v>
      </c>
      <c r="E135" s="302">
        <v>0</v>
      </c>
      <c r="F135" s="31" t="str">
        <f>IFERROR(VLOOKUP($C135,[13]Nod!$A$3:$E$979,4,FALSE)," ")</f>
        <v>MDN34</v>
      </c>
      <c r="G135" s="31">
        <f>IFERROR(VLOOKUP($C135,[13]Nod!$A$3:$E$979,5,FALSE)," ")</f>
        <v>4</v>
      </c>
      <c r="K135" s="295"/>
      <c r="L135" s="281"/>
      <c r="M135" s="281"/>
    </row>
    <row r="136" spans="1:13" ht="15" customHeight="1">
      <c r="A136" s="314" t="s">
        <v>303</v>
      </c>
      <c r="C136" s="40">
        <v>6013</v>
      </c>
      <c r="D136" s="329">
        <v>9.9</v>
      </c>
      <c r="E136" s="302">
        <v>10</v>
      </c>
      <c r="F136" s="31" t="str">
        <f>IFERROR(VLOOKUP($C136,[13]Nod!$A$3:$E$979,4,FALSE)," ")</f>
        <v>MDN34</v>
      </c>
      <c r="G136" s="31">
        <f>IFERROR(VLOOKUP($C136,[13]Nod!$A$3:$E$979,5,FALSE)," ")</f>
        <v>4</v>
      </c>
      <c r="K136" s="295"/>
      <c r="L136" s="281"/>
      <c r="M136" s="281"/>
    </row>
    <row r="137" spans="1:13" ht="15" customHeight="1">
      <c r="A137" s="314" t="s">
        <v>302</v>
      </c>
      <c r="C137" s="40">
        <v>6013</v>
      </c>
      <c r="D137" s="329">
        <v>9.9</v>
      </c>
      <c r="E137" s="302">
        <v>10</v>
      </c>
      <c r="F137" s="31" t="str">
        <f>IFERROR(VLOOKUP($C137,[13]Nod!$A$3:$E$979,4,FALSE)," ")</f>
        <v>MDN34</v>
      </c>
      <c r="G137" s="31">
        <f>IFERROR(VLOOKUP($C137,[13]Nod!$A$3:$E$979,5,FALSE)," ")</f>
        <v>4</v>
      </c>
      <c r="K137" s="295"/>
      <c r="L137" s="281"/>
      <c r="M137" s="281"/>
    </row>
    <row r="138" spans="1:13" ht="15" customHeight="1">
      <c r="A138" s="314" t="s">
        <v>301</v>
      </c>
      <c r="C138" s="40">
        <v>6013</v>
      </c>
      <c r="D138" s="329">
        <v>9.9</v>
      </c>
      <c r="E138" s="302">
        <v>10</v>
      </c>
      <c r="F138" s="31" t="str">
        <f>IFERROR(VLOOKUP($C138,[13]Nod!$A$3:$E$979,4,FALSE)," ")</f>
        <v>MDN34</v>
      </c>
      <c r="G138" s="31">
        <f>IFERROR(VLOOKUP($C138,[13]Nod!$A$3:$E$979,5,FALSE)," ")</f>
        <v>4</v>
      </c>
      <c r="K138" s="295"/>
      <c r="L138" s="281"/>
      <c r="M138" s="281"/>
    </row>
    <row r="139" spans="1:13" ht="15" customHeight="1">
      <c r="A139" s="301" t="s">
        <v>300</v>
      </c>
      <c r="C139" s="40">
        <v>6013</v>
      </c>
      <c r="D139" s="329">
        <v>10</v>
      </c>
      <c r="E139" s="302">
        <v>12</v>
      </c>
      <c r="F139" s="31" t="str">
        <f>IFERROR(VLOOKUP($C139,[13]Nod!$A$3:$E$979,4,FALSE)," ")</f>
        <v>MDN34</v>
      </c>
      <c r="G139" s="31">
        <f>IFERROR(VLOOKUP($C139,[13]Nod!$A$3:$E$979,5,FALSE)," ")</f>
        <v>4</v>
      </c>
      <c r="K139" s="295"/>
      <c r="L139" s="281"/>
      <c r="M139" s="281"/>
    </row>
    <row r="140" spans="1:13" ht="15" customHeight="1">
      <c r="A140" s="301" t="s">
        <v>299</v>
      </c>
      <c r="C140" s="40"/>
      <c r="D140" s="319"/>
      <c r="E140" s="302"/>
      <c r="F140" s="31"/>
      <c r="G140" s="31"/>
      <c r="K140" s="295"/>
      <c r="L140" s="281"/>
      <c r="M140" s="281"/>
    </row>
    <row r="141" spans="1:13" ht="15" customHeight="1">
      <c r="A141" s="53" t="s">
        <v>35</v>
      </c>
      <c r="B141" s="42"/>
      <c r="C141" s="43"/>
      <c r="D141" s="43"/>
      <c r="E141" s="315"/>
      <c r="F141" s="31" t="str">
        <f>IFERROR(VLOOKUP($C141,[13]Nod!$A$3:$E$979,4,FALSE)," ")</f>
        <v xml:space="preserve"> </v>
      </c>
      <c r="G141" s="31" t="str">
        <f>IFERROR(VLOOKUP($C141,[13]Nod!$A$3:$E$979,5,FALSE)," ")</f>
        <v xml:space="preserve"> </v>
      </c>
      <c r="K141" s="295"/>
      <c r="L141" s="281"/>
      <c r="M141" s="281"/>
    </row>
    <row r="142" spans="1:13" ht="15" customHeight="1">
      <c r="A142" s="47">
        <v>5</v>
      </c>
      <c r="B142" s="44"/>
      <c r="C142" s="45"/>
      <c r="D142" s="322">
        <f>SUM(D143:D203)</f>
        <v>798.6099999999999</v>
      </c>
      <c r="E142" s="297"/>
      <c r="F142" s="31" t="str">
        <f>IFERROR(VLOOKUP($C142,[13]Nod!$A$3:$E$979,4,FALSE)," ")</f>
        <v xml:space="preserve"> </v>
      </c>
      <c r="G142" s="31" t="str">
        <f>IFERROR(VLOOKUP($C142,[13]Nod!$A$3:$E$979,5,FALSE)," ")</f>
        <v xml:space="preserve"> </v>
      </c>
      <c r="K142" s="295"/>
      <c r="L142" s="281"/>
      <c r="M142" s="281"/>
    </row>
    <row r="143" spans="1:13" ht="15" customHeight="1">
      <c r="A143" s="301" t="s">
        <v>213</v>
      </c>
      <c r="C143" s="39">
        <v>6460</v>
      </c>
      <c r="D143" s="140">
        <v>6.66</v>
      </c>
      <c r="E143" s="302">
        <v>0</v>
      </c>
      <c r="F143" s="31" t="str">
        <f>IFERROR(VLOOKUP($C143,[13]Nod!$A$3:$E$979,4,FALSE)," ")</f>
        <v>ECO230</v>
      </c>
      <c r="G143" s="31">
        <f>IFERROR(VLOOKUP($C143,[13]Nod!$A$3:$E$979,5,FALSE)," ")</f>
        <v>5</v>
      </c>
      <c r="K143" s="295"/>
      <c r="L143" s="281"/>
      <c r="M143" s="281"/>
    </row>
    <row r="144" spans="1:13" ht="15" customHeight="1">
      <c r="A144" s="301" t="s">
        <v>90</v>
      </c>
      <c r="C144" s="39">
        <v>6460</v>
      </c>
      <c r="D144" s="140">
        <v>7</v>
      </c>
      <c r="E144" s="323">
        <v>0</v>
      </c>
      <c r="F144" s="31" t="str">
        <f>IFERROR(VLOOKUP($C144,[13]Nod!$A$3:$E$979,4,FALSE)," ")</f>
        <v>ECO230</v>
      </c>
      <c r="G144" s="31">
        <f>IFERROR(VLOOKUP($C144,[13]Nod!$A$3:$E$979,5,FALSE)," ")</f>
        <v>5</v>
      </c>
      <c r="K144" s="295"/>
      <c r="L144" s="281"/>
      <c r="M144" s="281"/>
    </row>
    <row r="145" spans="1:13" ht="15" customHeight="1">
      <c r="A145" s="301" t="s">
        <v>219</v>
      </c>
      <c r="C145" s="39">
        <v>6460</v>
      </c>
      <c r="D145" s="140">
        <v>9.99</v>
      </c>
      <c r="E145" s="302">
        <v>0</v>
      </c>
      <c r="F145" s="31" t="str">
        <f>IFERROR(VLOOKUP($C145,[13]Nod!$A$3:$E$979,4,FALSE)," ")</f>
        <v>ECO230</v>
      </c>
      <c r="G145" s="31">
        <f>IFERROR(VLOOKUP($C145,[13]Nod!$A$3:$E$979,5,FALSE)," ")</f>
        <v>5</v>
      </c>
      <c r="K145" s="295"/>
      <c r="L145" s="281"/>
      <c r="M145" s="281"/>
    </row>
    <row r="146" spans="1:13" ht="15" customHeight="1">
      <c r="A146" s="301" t="s">
        <v>220</v>
      </c>
      <c r="C146" s="39">
        <v>6460</v>
      </c>
      <c r="D146" s="140">
        <v>9.99</v>
      </c>
      <c r="E146" s="302">
        <v>0</v>
      </c>
      <c r="F146" s="31" t="str">
        <f>IFERROR(VLOOKUP($C146,[13]Nod!$A$3:$E$979,4,FALSE)," ")</f>
        <v>ECO230</v>
      </c>
      <c r="G146" s="31">
        <f>IFERROR(VLOOKUP($C146,[13]Nod!$A$3:$E$979,5,FALSE)," ")</f>
        <v>5</v>
      </c>
      <c r="K146" s="295"/>
      <c r="L146" s="281"/>
      <c r="M146" s="281"/>
    </row>
    <row r="147" spans="1:13" ht="15" customHeight="1">
      <c r="A147" s="301" t="s">
        <v>221</v>
      </c>
      <c r="C147" s="39">
        <v>6460</v>
      </c>
      <c r="D147" s="140">
        <v>4.8</v>
      </c>
      <c r="E147" s="302">
        <v>0</v>
      </c>
      <c r="F147" s="31" t="str">
        <f>IFERROR(VLOOKUP($C147,[13]Nod!$A$3:$E$979,4,FALSE)," ")</f>
        <v>ECO230</v>
      </c>
      <c r="G147" s="31">
        <f>IFERROR(VLOOKUP($C147,[13]Nod!$A$3:$E$979,5,FALSE)," ")</f>
        <v>5</v>
      </c>
      <c r="K147" s="295"/>
      <c r="L147" s="281"/>
      <c r="M147" s="281"/>
    </row>
    <row r="148" spans="1:13" ht="15" customHeight="1">
      <c r="A148" s="301" t="s">
        <v>222</v>
      </c>
      <c r="C148" s="39">
        <v>6460</v>
      </c>
      <c r="D148" s="140">
        <v>0.96</v>
      </c>
      <c r="E148" s="302">
        <v>0</v>
      </c>
      <c r="F148" s="31" t="str">
        <f>IFERROR(VLOOKUP($C148,[13]Nod!$A$3:$E$979,4,FALSE)," ")</f>
        <v>ECO230</v>
      </c>
      <c r="G148" s="31">
        <f>IFERROR(VLOOKUP($C148,[13]Nod!$A$3:$E$979,5,FALSE)," ")</f>
        <v>5</v>
      </c>
      <c r="K148" s="295"/>
      <c r="L148" s="281"/>
      <c r="M148" s="281"/>
    </row>
    <row r="149" spans="1:13" ht="15" customHeight="1">
      <c r="A149" s="301" t="s">
        <v>238</v>
      </c>
      <c r="C149" s="39">
        <v>6460</v>
      </c>
      <c r="D149" s="140">
        <v>0.48</v>
      </c>
      <c r="E149" s="302">
        <v>0</v>
      </c>
      <c r="F149" s="31" t="str">
        <f>IFERROR(VLOOKUP($C149,[13]Nod!$A$3:$E$979,4,FALSE)," ")</f>
        <v>ECO230</v>
      </c>
      <c r="G149" s="31">
        <f>IFERROR(VLOOKUP($C149,[13]Nod!$A$3:$E$979,5,FALSE)," ")</f>
        <v>5</v>
      </c>
      <c r="K149" s="295"/>
      <c r="L149" s="281"/>
      <c r="M149" s="281"/>
    </row>
    <row r="150" spans="1:13" ht="15" customHeight="1">
      <c r="A150" s="301" t="s">
        <v>298</v>
      </c>
      <c r="C150" s="39">
        <v>6460</v>
      </c>
      <c r="D150" s="140">
        <v>8.5</v>
      </c>
      <c r="E150" s="302">
        <v>0</v>
      </c>
      <c r="F150" s="31" t="str">
        <f>IFERROR(VLOOKUP($C150,[13]Nod!$A$3:$E$979,4,FALSE)," ")</f>
        <v>ECO230</v>
      </c>
      <c r="G150" s="31">
        <f>IFERROR(VLOOKUP($C150,[13]Nod!$A$3:$E$979,5,FALSE)," ")</f>
        <v>5</v>
      </c>
      <c r="K150" s="295"/>
      <c r="L150" s="281"/>
      <c r="M150" s="281"/>
    </row>
    <row r="151" spans="1:13" ht="15" customHeight="1">
      <c r="A151" s="301" t="s">
        <v>223</v>
      </c>
      <c r="C151" s="39">
        <v>6460</v>
      </c>
      <c r="D151" s="140">
        <v>8.5</v>
      </c>
      <c r="E151" s="302">
        <v>0</v>
      </c>
      <c r="F151" s="31" t="str">
        <f>IFERROR(VLOOKUP($C151,[13]Nod!$A$3:$E$979,4,FALSE)," ")</f>
        <v>ECO230</v>
      </c>
      <c r="G151" s="31">
        <f>IFERROR(VLOOKUP($C151,[13]Nod!$A$3:$E$979,5,FALSE)," ")</f>
        <v>5</v>
      </c>
      <c r="K151" s="295"/>
      <c r="L151" s="281"/>
      <c r="M151" s="281"/>
    </row>
    <row r="152" spans="1:13" ht="15" customHeight="1">
      <c r="A152" s="301" t="s">
        <v>297</v>
      </c>
      <c r="C152" s="39">
        <v>6460</v>
      </c>
      <c r="D152" s="140">
        <v>9.52</v>
      </c>
      <c r="E152" s="302">
        <v>0</v>
      </c>
      <c r="F152" s="31" t="str">
        <f>IFERROR(VLOOKUP($C152,[13]Nod!$A$3:$E$979,4,FALSE)," ")</f>
        <v>ECO230</v>
      </c>
      <c r="G152" s="31">
        <f>IFERROR(VLOOKUP($C152,[13]Nod!$A$3:$E$979,5,FALSE)," ")</f>
        <v>5</v>
      </c>
      <c r="K152" s="295"/>
      <c r="L152" s="281"/>
      <c r="M152" s="281"/>
    </row>
    <row r="153" spans="1:13" ht="15" customHeight="1">
      <c r="A153" s="301" t="s">
        <v>224</v>
      </c>
      <c r="C153" s="39">
        <v>6460</v>
      </c>
      <c r="D153" s="140">
        <v>10.78</v>
      </c>
      <c r="E153" s="302">
        <v>0</v>
      </c>
      <c r="F153" s="31" t="str">
        <f>IFERROR(VLOOKUP($C153,[13]Nod!$A$3:$E$979,4,FALSE)," ")</f>
        <v>ECO230</v>
      </c>
      <c r="G153" s="31">
        <f>IFERROR(VLOOKUP($C153,[13]Nod!$A$3:$E$979,5,FALSE)," ")</f>
        <v>5</v>
      </c>
      <c r="K153" s="295"/>
      <c r="L153" s="281"/>
      <c r="M153" s="281"/>
    </row>
    <row r="154" spans="1:13" ht="15" customHeight="1">
      <c r="A154" s="301" t="s">
        <v>225</v>
      </c>
      <c r="C154" s="39">
        <v>6460</v>
      </c>
      <c r="D154" s="140">
        <v>8.5</v>
      </c>
      <c r="E154" s="302">
        <v>0</v>
      </c>
      <c r="F154" s="31" t="str">
        <f>IFERROR(VLOOKUP($C154,[13]Nod!$A$3:$E$979,4,FALSE)," ")</f>
        <v>ECO230</v>
      </c>
      <c r="G154" s="31">
        <f>IFERROR(VLOOKUP($C154,[13]Nod!$A$3:$E$979,5,FALSE)," ")</f>
        <v>5</v>
      </c>
      <c r="K154" s="295"/>
      <c r="L154" s="281"/>
      <c r="M154" s="281"/>
    </row>
    <row r="155" spans="1:13" ht="15" customHeight="1">
      <c r="A155" s="301" t="s">
        <v>226</v>
      </c>
      <c r="C155" s="39">
        <v>6460</v>
      </c>
      <c r="D155" s="140">
        <v>10</v>
      </c>
      <c r="E155" s="302">
        <v>0</v>
      </c>
      <c r="F155" s="31" t="str">
        <f>IFERROR(VLOOKUP($C155,[13]Nod!$A$3:$E$979,4,FALSE)," ")</f>
        <v>ECO230</v>
      </c>
      <c r="G155" s="31">
        <f>IFERROR(VLOOKUP($C155,[13]Nod!$A$3:$E$979,5,FALSE)," ")</f>
        <v>5</v>
      </c>
      <c r="K155" s="295"/>
      <c r="L155" s="281"/>
      <c r="M155" s="281"/>
    </row>
    <row r="156" spans="1:13" ht="15" customHeight="1">
      <c r="A156" s="301" t="s">
        <v>227</v>
      </c>
      <c r="C156" s="39">
        <v>6460</v>
      </c>
      <c r="D156" s="140">
        <v>10</v>
      </c>
      <c r="E156" s="302">
        <v>0</v>
      </c>
      <c r="F156" s="31" t="str">
        <f>IFERROR(VLOOKUP($C156,[13]Nod!$A$3:$E$979,4,FALSE)," ")</f>
        <v>ECO230</v>
      </c>
      <c r="G156" s="31">
        <f>IFERROR(VLOOKUP($C156,[13]Nod!$A$3:$E$979,5,FALSE)," ")</f>
        <v>5</v>
      </c>
      <c r="K156" s="295"/>
      <c r="L156" s="281"/>
      <c r="M156" s="281"/>
    </row>
    <row r="157" spans="1:13" ht="15" customHeight="1">
      <c r="A157" s="301" t="s">
        <v>214</v>
      </c>
      <c r="C157" s="39">
        <v>6460</v>
      </c>
      <c r="D157" s="140">
        <v>17.5</v>
      </c>
      <c r="E157" s="302">
        <v>0</v>
      </c>
      <c r="F157" s="31" t="str">
        <f>IFERROR(VLOOKUP($C157,[13]Nod!$A$3:$E$979,4,FALSE)," ")</f>
        <v>ECO230</v>
      </c>
      <c r="G157" s="31">
        <f>IFERROR(VLOOKUP($C157,[13]Nod!$A$3:$E$979,5,FALSE)," ")</f>
        <v>5</v>
      </c>
      <c r="K157" s="295"/>
      <c r="L157" s="281"/>
      <c r="M157" s="281"/>
    </row>
    <row r="158" spans="1:13" ht="15" customHeight="1">
      <c r="A158" s="301" t="s">
        <v>215</v>
      </c>
      <c r="C158" s="39">
        <v>6460</v>
      </c>
      <c r="D158" s="140">
        <v>52.5</v>
      </c>
      <c r="E158" s="302">
        <v>0</v>
      </c>
      <c r="F158" s="31" t="str">
        <f>IFERROR(VLOOKUP($C158,[13]Nod!$A$3:$E$979,4,FALSE)," ")</f>
        <v>ECO230</v>
      </c>
      <c r="G158" s="31">
        <f>IFERROR(VLOOKUP($C158,[13]Nod!$A$3:$E$979,5,FALSE)," ")</f>
        <v>5</v>
      </c>
      <c r="K158" s="295"/>
      <c r="L158" s="281"/>
      <c r="M158" s="281"/>
    </row>
    <row r="159" spans="1:13" ht="15" customHeight="1">
      <c r="A159" s="301" t="s">
        <v>296</v>
      </c>
      <c r="C159" s="39">
        <v>6460</v>
      </c>
      <c r="D159" s="140">
        <v>55</v>
      </c>
      <c r="E159" s="302">
        <v>0</v>
      </c>
      <c r="F159" s="31" t="str">
        <f>IFERROR(VLOOKUP($C159,[13]Nod!$A$3:$E$979,4,FALSE)," ")</f>
        <v>ECO230</v>
      </c>
      <c r="G159" s="31">
        <f>IFERROR(VLOOKUP($C159,[13]Nod!$A$3:$E$979,5,FALSE)," ")</f>
        <v>5</v>
      </c>
      <c r="K159" s="295"/>
      <c r="L159" s="281"/>
      <c r="M159" s="281"/>
    </row>
    <row r="160" spans="1:13" ht="15" customHeight="1">
      <c r="A160" s="301" t="s">
        <v>295</v>
      </c>
      <c r="C160" s="39">
        <v>6460</v>
      </c>
      <c r="D160" s="140">
        <v>62.5</v>
      </c>
      <c r="E160" s="302">
        <v>0</v>
      </c>
      <c r="F160" s="31" t="str">
        <f>IFERROR(VLOOKUP($C160,[13]Nod!$A$3:$E$979,4,FALSE)," ")</f>
        <v>ECO230</v>
      </c>
      <c r="G160" s="31">
        <f>IFERROR(VLOOKUP($C160,[13]Nod!$A$3:$E$979,5,FALSE)," ")</f>
        <v>5</v>
      </c>
      <c r="K160" s="295"/>
      <c r="L160" s="281"/>
      <c r="M160" s="281"/>
    </row>
    <row r="161" spans="1:13" ht="15" customHeight="1">
      <c r="A161" s="301" t="s">
        <v>216</v>
      </c>
      <c r="C161" s="39">
        <v>6460</v>
      </c>
      <c r="D161" s="140">
        <v>32.5</v>
      </c>
      <c r="E161" s="302">
        <v>0</v>
      </c>
      <c r="F161" s="31" t="str">
        <f>IFERROR(VLOOKUP($C161,[13]Nod!$A$3:$E$979,4,FALSE)," ")</f>
        <v>ECO230</v>
      </c>
      <c r="G161" s="31">
        <f>IFERROR(VLOOKUP($C161,[13]Nod!$A$3:$E$979,5,FALSE)," ")</f>
        <v>5</v>
      </c>
      <c r="K161" s="295"/>
      <c r="L161" s="281"/>
      <c r="M161" s="281"/>
    </row>
    <row r="162" spans="1:13" ht="15" customHeight="1">
      <c r="A162" s="301" t="s">
        <v>217</v>
      </c>
      <c r="C162" s="39">
        <v>6460</v>
      </c>
      <c r="D162" s="140">
        <v>50</v>
      </c>
      <c r="E162" s="302">
        <v>0</v>
      </c>
      <c r="F162" s="31" t="str">
        <f>IFERROR(VLOOKUP($C162,[13]Nod!$A$3:$E$979,4,FALSE)," ")</f>
        <v>ECO230</v>
      </c>
      <c r="G162" s="31">
        <f>IFERROR(VLOOKUP($C162,[13]Nod!$A$3:$E$979,5,FALSE)," ")</f>
        <v>5</v>
      </c>
      <c r="K162" s="295"/>
      <c r="L162" s="281"/>
      <c r="M162" s="281"/>
    </row>
    <row r="163" spans="1:13" ht="15" customHeight="1">
      <c r="A163" s="301" t="s">
        <v>294</v>
      </c>
      <c r="C163" s="39">
        <v>6460</v>
      </c>
      <c r="D163" s="140">
        <v>66</v>
      </c>
      <c r="E163" s="302">
        <v>0</v>
      </c>
      <c r="F163" s="31" t="str">
        <f>IFERROR(VLOOKUP($C163,[13]Nod!$A$3:$E$979,4,FALSE)," ")</f>
        <v>ECO230</v>
      </c>
      <c r="G163" s="31">
        <f>IFERROR(VLOOKUP($C163,[13]Nod!$A$3:$E$979,5,FALSE)," ")</f>
        <v>5</v>
      </c>
      <c r="L163" s="281"/>
      <c r="M163" s="281"/>
    </row>
    <row r="164" spans="1:13" ht="15" customHeight="1">
      <c r="A164" s="301" t="s">
        <v>228</v>
      </c>
      <c r="C164" s="58">
        <v>6460</v>
      </c>
      <c r="D164" s="140">
        <v>16</v>
      </c>
      <c r="E164" s="302">
        <v>0</v>
      </c>
      <c r="F164" s="31" t="str">
        <f>IFERROR(VLOOKUP($C164,[13]Nod!$A$3:$E$979,4,FALSE)," ")</f>
        <v>ECO230</v>
      </c>
      <c r="G164" s="31">
        <f>IFERROR(VLOOKUP($C164,[13]Nod!$A$3:$E$979,5,FALSE)," ")</f>
        <v>5</v>
      </c>
      <c r="L164" s="281"/>
      <c r="M164" s="281"/>
    </row>
    <row r="165" spans="1:13" ht="15" customHeight="1">
      <c r="A165" s="320" t="s">
        <v>239</v>
      </c>
      <c r="C165" s="56">
        <v>6008</v>
      </c>
      <c r="D165" s="140">
        <v>5.66</v>
      </c>
      <c r="E165" s="302">
        <v>0</v>
      </c>
      <c r="F165" s="31" t="str">
        <f>IFERROR(VLOOKUP($C165,[13]Nod!$A$3:$E$979,4,FALSE)," ")</f>
        <v>LSA230</v>
      </c>
      <c r="G165" s="31">
        <f>IFERROR(VLOOKUP($C165,[13]Nod!$A$3:$E$979,5,FALSE)," ")</f>
        <v>5</v>
      </c>
      <c r="L165" s="281"/>
      <c r="M165" s="281"/>
    </row>
    <row r="166" spans="1:13" ht="15" customHeight="1">
      <c r="A166" s="301" t="s">
        <v>293</v>
      </c>
      <c r="C166" s="56">
        <v>6008</v>
      </c>
      <c r="D166" s="140"/>
      <c r="E166" s="302">
        <v>0</v>
      </c>
      <c r="F166" s="31" t="str">
        <f>IFERROR(VLOOKUP($C166,[13]Nod!$A$3:$E$979,4,FALSE)," ")</f>
        <v>LSA230</v>
      </c>
      <c r="G166" s="31">
        <f>IFERROR(VLOOKUP($C166,[13]Nod!$A$3:$E$979,5,FALSE)," ")</f>
        <v>5</v>
      </c>
      <c r="L166" s="281"/>
      <c r="M166" s="281"/>
    </row>
    <row r="167" spans="1:13" ht="15" customHeight="1">
      <c r="A167" s="301" t="s">
        <v>229</v>
      </c>
      <c r="C167" s="56">
        <v>6008</v>
      </c>
      <c r="D167" s="140">
        <v>9.9</v>
      </c>
      <c r="E167" s="302">
        <v>0</v>
      </c>
      <c r="F167" s="31" t="str">
        <f>IFERROR(VLOOKUP($C167,[13]Nod!$A$3:$E$979,4,FALSE)," ")</f>
        <v>LSA230</v>
      </c>
      <c r="G167" s="31">
        <f>IFERROR(VLOOKUP($C167,[13]Nod!$A$3:$E$979,5,FALSE)," ")</f>
        <v>5</v>
      </c>
      <c r="L167" s="281"/>
      <c r="M167" s="281"/>
    </row>
    <row r="168" spans="1:13" ht="15" customHeight="1">
      <c r="A168" s="301" t="s">
        <v>240</v>
      </c>
      <c r="C168" s="56">
        <v>6008</v>
      </c>
      <c r="D168" s="140">
        <v>5</v>
      </c>
      <c r="E168" s="302">
        <v>0</v>
      </c>
      <c r="F168" s="31" t="str">
        <f>IFERROR(VLOOKUP($C168,[13]Nod!$A$3:$E$979,4,FALSE)," ")</f>
        <v>LSA230</v>
      </c>
      <c r="G168" s="31">
        <f>IFERROR(VLOOKUP($C168,[13]Nod!$A$3:$E$979,5,FALSE)," ")</f>
        <v>5</v>
      </c>
      <c r="L168" s="281"/>
      <c r="M168" s="281"/>
    </row>
    <row r="169" spans="1:13" ht="15" customHeight="1">
      <c r="A169" s="301" t="s">
        <v>218</v>
      </c>
      <c r="C169" s="56">
        <v>6008</v>
      </c>
      <c r="D169" s="140">
        <v>120</v>
      </c>
      <c r="E169" s="48">
        <v>0</v>
      </c>
      <c r="F169" s="31" t="str">
        <f>IFERROR(VLOOKUP($C169,[13]Nod!$A$3:$E$979,4,FALSE)," ")</f>
        <v>LSA230</v>
      </c>
      <c r="G169" s="31">
        <f>IFERROR(VLOOKUP($C169,[13]Nod!$A$3:$E$979,5,FALSE)," ")</f>
        <v>5</v>
      </c>
      <c r="L169" s="281"/>
      <c r="M169" s="281"/>
    </row>
    <row r="170" spans="1:13" ht="15" customHeight="1">
      <c r="A170" s="301" t="s">
        <v>230</v>
      </c>
      <c r="C170" s="56">
        <v>6008</v>
      </c>
      <c r="D170" s="140">
        <v>9.9700000000000006</v>
      </c>
      <c r="E170" s="48">
        <v>7</v>
      </c>
      <c r="F170" s="31" t="str">
        <f>IFERROR(VLOOKUP($C170,[13]Nod!$A$3:$E$979,4,FALSE)," ")</f>
        <v>LSA230</v>
      </c>
      <c r="G170" s="31">
        <f>IFERROR(VLOOKUP($C170,[13]Nod!$A$3:$E$979,5,FALSE)," ")</f>
        <v>5</v>
      </c>
      <c r="L170" s="281"/>
      <c r="M170" s="281"/>
    </row>
    <row r="171" spans="1:13" ht="15" customHeight="1">
      <c r="A171" s="301" t="s">
        <v>231</v>
      </c>
      <c r="C171" s="56">
        <v>6008</v>
      </c>
      <c r="D171" s="140">
        <v>9.9700000000000006</v>
      </c>
      <c r="E171" s="48">
        <v>0</v>
      </c>
      <c r="F171" s="31" t="str">
        <f>IFERROR(VLOOKUP($C171,[13]Nod!$A$3:$E$979,4,FALSE)," ")</f>
        <v>LSA230</v>
      </c>
      <c r="G171" s="31">
        <f>IFERROR(VLOOKUP($C171,[13]Nod!$A$3:$E$979,5,FALSE)," ")</f>
        <v>5</v>
      </c>
      <c r="L171" s="281"/>
      <c r="M171" s="281"/>
    </row>
    <row r="172" spans="1:13" ht="15" customHeight="1">
      <c r="A172" s="301" t="s">
        <v>292</v>
      </c>
      <c r="C172" s="56">
        <v>6008</v>
      </c>
      <c r="D172" s="140">
        <v>9.8800000000000008</v>
      </c>
      <c r="E172" s="48">
        <v>0</v>
      </c>
      <c r="F172" s="31" t="str">
        <f>IFERROR(VLOOKUP($C172,[13]Nod!$A$3:$E$979,4,FALSE)," ")</f>
        <v>LSA230</v>
      </c>
      <c r="G172" s="31">
        <f>IFERROR(VLOOKUP($C172,[13]Nod!$A$3:$E$979,5,FALSE)," ")</f>
        <v>5</v>
      </c>
      <c r="L172" s="281"/>
      <c r="M172" s="281"/>
    </row>
    <row r="173" spans="1:13" ht="15" customHeight="1">
      <c r="A173" s="301" t="s">
        <v>241</v>
      </c>
      <c r="B173" s="59"/>
      <c r="C173" s="56">
        <v>6008</v>
      </c>
      <c r="D173" s="140">
        <v>3.24</v>
      </c>
      <c r="E173" s="48">
        <v>0</v>
      </c>
      <c r="F173" s="31" t="str">
        <f>IFERROR(VLOOKUP($C173,[13]Nod!$A$3:$E$979,4,FALSE)," ")</f>
        <v>LSA230</v>
      </c>
      <c r="G173" s="31">
        <f>IFERROR(VLOOKUP($C173,[13]Nod!$A$3:$E$979,5,FALSE)," ")</f>
        <v>5</v>
      </c>
      <c r="L173" s="281"/>
      <c r="M173" s="281"/>
    </row>
    <row r="174" spans="1:13" ht="15" customHeight="1">
      <c r="A174" s="301" t="s">
        <v>242</v>
      </c>
      <c r="B174" s="59"/>
      <c r="C174" s="56">
        <v>6008</v>
      </c>
      <c r="D174" s="140">
        <v>2.4</v>
      </c>
      <c r="E174" s="48">
        <v>0</v>
      </c>
      <c r="F174" s="31" t="str">
        <f>IFERROR(VLOOKUP($C174,[13]Nod!$A$3:$E$979,4,FALSE)," ")</f>
        <v>LSA230</v>
      </c>
      <c r="G174" s="31">
        <f>IFERROR(VLOOKUP($C174,[13]Nod!$A$3:$E$979,5,FALSE)," ")</f>
        <v>5</v>
      </c>
      <c r="L174" s="281"/>
      <c r="M174" s="281"/>
    </row>
    <row r="175" spans="1:13" ht="15" customHeight="1">
      <c r="A175" s="301" t="s">
        <v>291</v>
      </c>
      <c r="B175" s="59"/>
      <c r="C175" s="56">
        <v>6008</v>
      </c>
      <c r="D175" s="140">
        <v>9.9</v>
      </c>
      <c r="E175" s="48">
        <v>0</v>
      </c>
      <c r="F175" s="31" t="str">
        <f>IFERROR(VLOOKUP($C175,[13]Nod!$A$3:$E$979,4,FALSE)," ")</f>
        <v>LSA230</v>
      </c>
      <c r="G175" s="31">
        <f>IFERROR(VLOOKUP($C175,[13]Nod!$A$3:$E$979,5,FALSE)," ")</f>
        <v>5</v>
      </c>
      <c r="L175" s="281"/>
      <c r="M175" s="281"/>
    </row>
    <row r="176" spans="1:13" ht="15" customHeight="1">
      <c r="A176" s="340" t="s">
        <v>290</v>
      </c>
      <c r="B176" s="59"/>
      <c r="C176" s="56">
        <v>6008</v>
      </c>
      <c r="D176" s="140">
        <v>9.99</v>
      </c>
      <c r="E176" s="48">
        <v>0</v>
      </c>
      <c r="F176" s="31" t="str">
        <f>IFERROR(VLOOKUP($C176,[13]Nod!$A$3:$E$979,4,FALSE)," ")</f>
        <v>LSA230</v>
      </c>
      <c r="G176" s="31">
        <f>IFERROR(VLOOKUP($C176,[13]Nod!$A$3:$E$979,5,FALSE)," ")</f>
        <v>5</v>
      </c>
      <c r="L176" s="281"/>
      <c r="M176" s="281"/>
    </row>
    <row r="177" spans="1:13" ht="15" customHeight="1">
      <c r="A177" s="301" t="s">
        <v>235</v>
      </c>
      <c r="B177" s="59"/>
      <c r="C177" s="56">
        <v>6008</v>
      </c>
      <c r="D177" s="140">
        <v>9.9</v>
      </c>
      <c r="E177" s="48">
        <v>0</v>
      </c>
      <c r="F177" s="31" t="str">
        <f>IFERROR(VLOOKUP($C177,[13]Nod!$A$3:$E$979,4,FALSE)," ")</f>
        <v>LSA230</v>
      </c>
      <c r="G177" s="31">
        <f>IFERROR(VLOOKUP($C177,[13]Nod!$A$3:$E$979,5,FALSE)," ")</f>
        <v>5</v>
      </c>
      <c r="L177" s="281"/>
      <c r="M177" s="281"/>
    </row>
    <row r="178" spans="1:13" ht="15" customHeight="1">
      <c r="A178" s="301" t="s">
        <v>289</v>
      </c>
      <c r="B178" s="59"/>
      <c r="C178" s="56">
        <v>6008</v>
      </c>
      <c r="D178" s="140">
        <v>9.99</v>
      </c>
      <c r="E178" s="48">
        <v>0</v>
      </c>
      <c r="F178" s="31" t="str">
        <f>IFERROR(VLOOKUP($C178,[13]Nod!$A$3:$E$979,4,FALSE)," ")</f>
        <v>LSA230</v>
      </c>
      <c r="G178" s="31">
        <f>IFERROR(VLOOKUP($C178,[13]Nod!$A$3:$E$979,5,FALSE)," ")</f>
        <v>5</v>
      </c>
      <c r="L178" s="281"/>
      <c r="M178" s="281"/>
    </row>
    <row r="179" spans="1:13" ht="15" customHeight="1">
      <c r="A179" s="301" t="s">
        <v>243</v>
      </c>
      <c r="B179" s="59"/>
      <c r="C179" s="56">
        <v>6008</v>
      </c>
      <c r="D179" s="140">
        <v>5</v>
      </c>
      <c r="E179" s="48">
        <v>0</v>
      </c>
      <c r="F179" s="31" t="str">
        <f>IFERROR(VLOOKUP($C179,[13]Nod!$A$3:$E$979,4,FALSE)," ")</f>
        <v>LSA230</v>
      </c>
      <c r="G179" s="31">
        <f>IFERROR(VLOOKUP($C179,[13]Nod!$A$3:$E$979,5,FALSE)," ")</f>
        <v>5</v>
      </c>
      <c r="L179" s="281"/>
      <c r="M179" s="281"/>
    </row>
    <row r="180" spans="1:13" ht="15" customHeight="1">
      <c r="A180" s="301" t="s">
        <v>244</v>
      </c>
      <c r="B180" s="59"/>
      <c r="C180" s="56">
        <v>6008</v>
      </c>
      <c r="D180" s="140">
        <v>5</v>
      </c>
      <c r="E180" s="48">
        <v>0</v>
      </c>
      <c r="F180" s="31" t="str">
        <f>IFERROR(VLOOKUP($C180,[13]Nod!$A$3:$E$979,4,FALSE)," ")</f>
        <v>LSA230</v>
      </c>
      <c r="G180" s="31">
        <f>IFERROR(VLOOKUP($C180,[13]Nod!$A$3:$E$979,5,FALSE)," ")</f>
        <v>5</v>
      </c>
      <c r="L180" s="281"/>
      <c r="M180" s="281"/>
    </row>
    <row r="181" spans="1:13" ht="15" customHeight="1">
      <c r="A181" s="301" t="s">
        <v>288</v>
      </c>
      <c r="B181" s="59"/>
      <c r="C181" s="56">
        <v>6008</v>
      </c>
      <c r="D181" s="140">
        <v>7.5</v>
      </c>
      <c r="E181" s="48">
        <v>0</v>
      </c>
      <c r="F181" s="31" t="str">
        <f>IFERROR(VLOOKUP($C181,[13]Nod!$A$3:$E$979,4,FALSE)," ")</f>
        <v>LSA230</v>
      </c>
      <c r="G181" s="31">
        <f>IFERROR(VLOOKUP($C181,[13]Nod!$A$3:$E$979,5,FALSE)," ")</f>
        <v>5</v>
      </c>
      <c r="L181" s="281"/>
      <c r="M181" s="281"/>
    </row>
    <row r="182" spans="1:13" ht="15" customHeight="1">
      <c r="A182" s="314" t="s">
        <v>287</v>
      </c>
      <c r="B182" s="59"/>
      <c r="C182" s="56">
        <v>6008</v>
      </c>
      <c r="D182" s="360">
        <v>10</v>
      </c>
      <c r="E182" s="48">
        <v>0</v>
      </c>
      <c r="F182" s="31" t="str">
        <f>IFERROR(VLOOKUP($C182,[13]Nod!$A$3:$E$979,4,FALSE)," ")</f>
        <v>LSA230</v>
      </c>
      <c r="G182" s="31">
        <f>IFERROR(VLOOKUP($C182,[13]Nod!$A$3:$E$979,5,FALSE)," ")</f>
        <v>5</v>
      </c>
      <c r="L182" s="281"/>
      <c r="M182" s="281"/>
    </row>
    <row r="183" spans="1:13" ht="15" customHeight="1">
      <c r="A183" s="301" t="s">
        <v>232</v>
      </c>
      <c r="B183" s="59"/>
      <c r="C183" s="56">
        <v>6008</v>
      </c>
      <c r="D183" s="140">
        <v>8.0399999999999991</v>
      </c>
      <c r="E183" s="40">
        <v>0</v>
      </c>
      <c r="F183" s="31" t="str">
        <f>IFERROR(VLOOKUP($C183,[13]Nod!$A$3:$E$979,4,FALSE)," ")</f>
        <v>LSA230</v>
      </c>
      <c r="G183" s="31">
        <f>IFERROR(VLOOKUP($C183,[13]Nod!$A$3:$E$979,5,FALSE)," ")</f>
        <v>5</v>
      </c>
      <c r="L183" s="281"/>
      <c r="M183" s="281"/>
    </row>
    <row r="184" spans="1:13" ht="15" customHeight="1">
      <c r="A184" s="301" t="s">
        <v>233</v>
      </c>
      <c r="B184" s="59"/>
      <c r="C184" s="56">
        <v>6008</v>
      </c>
      <c r="D184" s="140">
        <v>7.56</v>
      </c>
      <c r="E184" s="40">
        <v>0</v>
      </c>
      <c r="F184" s="31" t="str">
        <f>IFERROR(VLOOKUP($C184,[13]Nod!$A$3:$E$979,4,FALSE)," ")</f>
        <v>LSA230</v>
      </c>
      <c r="G184" s="31">
        <f>IFERROR(VLOOKUP($C184,[13]Nod!$A$3:$E$979,5,FALSE)," ")</f>
        <v>5</v>
      </c>
      <c r="L184" s="281"/>
      <c r="M184" s="281"/>
    </row>
    <row r="185" spans="1:13" ht="15" customHeight="1">
      <c r="A185" s="301" t="s">
        <v>234</v>
      </c>
      <c r="B185" s="59"/>
      <c r="C185" s="56">
        <v>6008</v>
      </c>
      <c r="D185" s="140">
        <v>9.9499999999999993</v>
      </c>
      <c r="E185" s="40">
        <v>0</v>
      </c>
      <c r="F185" s="31" t="str">
        <f>IFERROR(VLOOKUP($C185,[13]Nod!$A$3:$E$979,4,FALSE)," ")</f>
        <v>LSA230</v>
      </c>
      <c r="G185" s="31">
        <f>IFERROR(VLOOKUP($C185,[13]Nod!$A$3:$E$979,5,FALSE)," ")</f>
        <v>5</v>
      </c>
      <c r="L185" s="281"/>
      <c r="M185" s="281"/>
    </row>
    <row r="186" spans="1:13" ht="15" customHeight="1">
      <c r="A186" s="301" t="s">
        <v>286</v>
      </c>
      <c r="B186" s="59"/>
      <c r="C186" s="56">
        <v>6008</v>
      </c>
      <c r="D186" s="140">
        <v>5.0999999999999996</v>
      </c>
      <c r="E186" s="40">
        <v>3</v>
      </c>
      <c r="F186" s="31" t="str">
        <f>IFERROR(VLOOKUP($C186,[13]Nod!$A$3:$E$979,4,FALSE)," ")</f>
        <v>LSA230</v>
      </c>
      <c r="G186" s="31">
        <f>IFERROR(VLOOKUP($C186,[13]Nod!$A$3:$E$979,5,FALSE)," ")</f>
        <v>5</v>
      </c>
      <c r="L186" s="281"/>
      <c r="M186" s="281"/>
    </row>
    <row r="187" spans="1:13" ht="15" customHeight="1">
      <c r="A187" s="301" t="s">
        <v>285</v>
      </c>
      <c r="B187" s="59"/>
      <c r="C187" s="56">
        <v>6008</v>
      </c>
      <c r="D187" s="140">
        <v>9.99</v>
      </c>
      <c r="E187" s="40">
        <v>0</v>
      </c>
      <c r="F187" s="31" t="str">
        <f>IFERROR(VLOOKUP($C187,[13]Nod!$A$3:$E$979,4,FALSE)," ")</f>
        <v>LSA230</v>
      </c>
      <c r="G187" s="31">
        <f>IFERROR(VLOOKUP($C187,[13]Nod!$A$3:$E$979,5,FALSE)," ")</f>
        <v>5</v>
      </c>
      <c r="L187" s="281"/>
      <c r="M187" s="281"/>
    </row>
    <row r="188" spans="1:13" ht="15" customHeight="1">
      <c r="A188" s="301" t="s">
        <v>236</v>
      </c>
      <c r="C188" s="56">
        <v>6008</v>
      </c>
      <c r="D188" s="140">
        <v>9.9</v>
      </c>
      <c r="E188" s="39">
        <v>0</v>
      </c>
      <c r="F188" s="31" t="str">
        <f>IFERROR(VLOOKUP($C188,[13]Nod!$A$3:$E$979,4,FALSE)," ")</f>
        <v>LSA230</v>
      </c>
      <c r="G188" s="31">
        <f>IFERROR(VLOOKUP($C188,[13]Nod!$A$3:$E$979,5,FALSE)," ")</f>
        <v>5</v>
      </c>
      <c r="L188" s="281"/>
      <c r="M188" s="281"/>
    </row>
    <row r="189" spans="1:13" ht="15" customHeight="1">
      <c r="A189" s="301" t="s">
        <v>237</v>
      </c>
      <c r="C189" s="56">
        <v>6008</v>
      </c>
      <c r="D189" s="140">
        <v>10</v>
      </c>
      <c r="E189" s="39">
        <v>0</v>
      </c>
      <c r="F189" s="31" t="str">
        <f>IFERROR(VLOOKUP($C189,[13]Nod!$A$3:$E$979,4,FALSE)," ")</f>
        <v>LSA230</v>
      </c>
      <c r="G189" s="31">
        <f>IFERROR(VLOOKUP($C189,[13]Nod!$A$3:$E$979,5,FALSE)," ")</f>
        <v>5</v>
      </c>
      <c r="L189" s="281"/>
      <c r="M189" s="281"/>
    </row>
    <row r="190" spans="1:13" ht="15" customHeight="1">
      <c r="A190" s="314" t="s">
        <v>284</v>
      </c>
      <c r="C190" s="56">
        <v>6008</v>
      </c>
      <c r="D190" s="140">
        <v>9.99</v>
      </c>
      <c r="E190" s="39">
        <v>2</v>
      </c>
      <c r="F190" s="31" t="str">
        <f>IFERROR(VLOOKUP($C190,[13]Nod!$A$3:$E$979,4,FALSE)," ")</f>
        <v>LSA230</v>
      </c>
      <c r="G190" s="31">
        <f>IFERROR(VLOOKUP($C190,[13]Nod!$A$3:$E$979,5,FALSE)," ")</f>
        <v>5</v>
      </c>
      <c r="L190" s="281"/>
      <c r="M190" s="281"/>
    </row>
    <row r="191" spans="1:13" ht="15" customHeight="1">
      <c r="A191" s="314" t="s">
        <v>283</v>
      </c>
      <c r="C191" s="56">
        <v>6008</v>
      </c>
      <c r="D191" s="360">
        <v>7.3</v>
      </c>
      <c r="E191" s="39">
        <v>3</v>
      </c>
      <c r="F191" s="31" t="str">
        <f>IFERROR(VLOOKUP($C191,[13]Nod!$A$3:$E$979,4,FALSE)," ")</f>
        <v>LSA230</v>
      </c>
      <c r="G191" s="31">
        <f>IFERROR(VLOOKUP($C191,[13]Nod!$A$3:$E$979,5,FALSE)," ")</f>
        <v>5</v>
      </c>
      <c r="L191" s="281"/>
      <c r="M191" s="281"/>
    </row>
    <row r="192" spans="1:13" ht="15" customHeight="1">
      <c r="A192" s="314" t="s">
        <v>282</v>
      </c>
      <c r="C192" s="56">
        <v>6008</v>
      </c>
      <c r="D192" s="360">
        <v>19.8</v>
      </c>
      <c r="E192" s="39">
        <v>7</v>
      </c>
      <c r="F192" s="31" t="str">
        <f>IFERROR(VLOOKUP($C192,[13]Nod!$A$3:$E$979,4,FALSE)," ")</f>
        <v>LSA230</v>
      </c>
      <c r="G192" s="31">
        <f>IFERROR(VLOOKUP($C192,[13]Nod!$A$3:$E$979,5,FALSE)," ")</f>
        <v>5</v>
      </c>
      <c r="L192" s="281"/>
      <c r="M192" s="281"/>
    </row>
    <row r="193" spans="1:13" ht="15" customHeight="1">
      <c r="A193" s="314" t="s">
        <v>281</v>
      </c>
      <c r="C193" s="39"/>
      <c r="D193" s="39"/>
      <c r="E193" s="39"/>
      <c r="L193" s="281"/>
      <c r="M193" s="281"/>
    </row>
    <row r="194" spans="1:13" ht="15" customHeight="1">
      <c r="A194" s="314" t="s">
        <v>280</v>
      </c>
      <c r="C194" s="39"/>
      <c r="D194" s="39"/>
      <c r="E194" s="39"/>
      <c r="L194" s="281"/>
      <c r="M194" s="281"/>
    </row>
    <row r="195" spans="1:13" ht="15" customHeight="1">
      <c r="A195" s="314" t="s">
        <v>279</v>
      </c>
      <c r="C195" s="39"/>
      <c r="D195" s="39"/>
      <c r="E195" s="39"/>
      <c r="L195" s="281"/>
      <c r="M195" s="281"/>
    </row>
    <row r="196" spans="1:13" ht="15" customHeight="1">
      <c r="A196" s="314" t="s">
        <v>278</v>
      </c>
      <c r="C196" s="39"/>
      <c r="D196" s="39"/>
      <c r="E196" s="39"/>
      <c r="L196" s="281"/>
      <c r="M196" s="281"/>
    </row>
    <row r="197" spans="1:13" ht="15" customHeight="1">
      <c r="A197" s="314" t="s">
        <v>277</v>
      </c>
      <c r="C197" s="39"/>
      <c r="D197" s="39"/>
      <c r="E197" s="39"/>
      <c r="L197" s="281"/>
      <c r="M197" s="281"/>
    </row>
    <row r="198" spans="1:13" ht="15" customHeight="1">
      <c r="A198" s="314" t="s">
        <v>276</v>
      </c>
      <c r="C198" s="39"/>
      <c r="D198" s="39"/>
      <c r="E198" s="39"/>
      <c r="L198" s="281"/>
      <c r="M198" s="281"/>
    </row>
    <row r="199" spans="1:13" ht="15" customHeight="1">
      <c r="A199" s="314" t="s">
        <v>275</v>
      </c>
      <c r="C199" s="39"/>
      <c r="D199" s="39"/>
      <c r="E199" s="39"/>
      <c r="L199" s="281"/>
      <c r="M199" s="281"/>
    </row>
    <row r="200" spans="1:13" ht="15" customHeight="1">
      <c r="A200" s="314" t="s">
        <v>274</v>
      </c>
      <c r="C200" s="39"/>
      <c r="D200" s="39"/>
      <c r="E200" s="39"/>
      <c r="L200" s="281"/>
      <c r="M200" s="281"/>
    </row>
    <row r="201" spans="1:13" ht="15" customHeight="1">
      <c r="A201" s="314" t="s">
        <v>273</v>
      </c>
      <c r="C201" s="39"/>
      <c r="D201" s="39"/>
      <c r="E201" s="39"/>
      <c r="L201" s="281"/>
      <c r="M201" s="281"/>
    </row>
    <row r="202" spans="1:13" ht="15" customHeight="1">
      <c r="A202" s="314" t="s">
        <v>272</v>
      </c>
      <c r="C202" s="39"/>
      <c r="D202" s="39"/>
      <c r="E202" s="39"/>
      <c r="L202" s="281"/>
      <c r="M202" s="281"/>
    </row>
    <row r="203" spans="1:13" ht="15" customHeight="1">
      <c r="A203" s="41" t="s">
        <v>35</v>
      </c>
      <c r="B203" s="59"/>
      <c r="C203" s="39"/>
      <c r="D203" s="319"/>
      <c r="E203" s="40"/>
      <c r="F203" s="31" t="str">
        <f>IFERROR(VLOOKUP($C203,[13]Nod!$A$3:$E$979,4,FALSE)," ")</f>
        <v xml:space="preserve"> </v>
      </c>
      <c r="G203" s="31" t="str">
        <f>IFERROR(VLOOKUP($C203,[13]Nod!$A$3:$E$979,5,FALSE)," ")</f>
        <v xml:space="preserve"> </v>
      </c>
      <c r="L203" s="281"/>
      <c r="M203" s="281"/>
    </row>
    <row r="204" spans="1:13" ht="15" customHeight="1">
      <c r="A204" s="47">
        <v>6</v>
      </c>
      <c r="B204" s="44"/>
      <c r="C204" s="45"/>
      <c r="D204" s="46">
        <f>SUM(D205:D224)</f>
        <v>231.41000000000003</v>
      </c>
      <c r="E204" s="297"/>
      <c r="F204" s="31" t="str">
        <f>IFERROR(VLOOKUP($C204,[13]Nod!$A$3:$E$979,4,FALSE)," ")</f>
        <v xml:space="preserve"> </v>
      </c>
      <c r="G204" s="31" t="str">
        <f>IFERROR(VLOOKUP($C204,[13]Nod!$A$3:$E$979,5,FALSE)," ")</f>
        <v xml:space="preserve"> </v>
      </c>
      <c r="L204" s="281"/>
      <c r="M204" s="281"/>
    </row>
    <row r="205" spans="1:13" ht="15" customHeight="1">
      <c r="A205" s="301" t="s">
        <v>91</v>
      </c>
      <c r="B205" s="3"/>
      <c r="C205" s="40">
        <v>6005</v>
      </c>
      <c r="D205" s="361">
        <v>147</v>
      </c>
      <c r="E205" s="302">
        <v>0</v>
      </c>
      <c r="F205" s="31" t="str">
        <f>IFERROR(VLOOKUP($C205,[13]Nod!$A$3:$E$979,4,FALSE)," ")</f>
        <v>CHO230</v>
      </c>
      <c r="G205" s="31">
        <f>IFERROR(VLOOKUP($C205,[13]Nod!$A$3:$E$979,5,FALSE)," ")</f>
        <v>6</v>
      </c>
      <c r="L205" s="281"/>
      <c r="M205" s="281"/>
    </row>
    <row r="206" spans="1:13" ht="15" customHeight="1">
      <c r="A206" s="301" t="s">
        <v>245</v>
      </c>
      <c r="B206" s="3"/>
      <c r="C206" s="54">
        <v>6005</v>
      </c>
      <c r="D206" s="140">
        <v>4.3</v>
      </c>
      <c r="E206" s="302">
        <v>0</v>
      </c>
      <c r="F206" s="31" t="str">
        <f>IFERROR(VLOOKUP($C206,[13]Nod!$A$3:$E$979,4,FALSE)," ")</f>
        <v>CHO230</v>
      </c>
      <c r="G206" s="31">
        <f>IFERROR(VLOOKUP($C206,[13]Nod!$A$3:$E$979,5,FALSE)," ")</f>
        <v>6</v>
      </c>
      <c r="L206" s="281"/>
      <c r="M206" s="281"/>
    </row>
    <row r="207" spans="1:13" ht="15" customHeight="1">
      <c r="A207" s="301" t="s">
        <v>271</v>
      </c>
      <c r="B207" s="3"/>
      <c r="C207" s="54">
        <v>6005</v>
      </c>
      <c r="D207" s="140">
        <v>0.96</v>
      </c>
      <c r="E207" s="302">
        <v>0</v>
      </c>
      <c r="F207" s="31" t="str">
        <f>IFERROR(VLOOKUP($C207,[13]Nod!$A$3:$E$979,4,FALSE)," ")</f>
        <v>CHO230</v>
      </c>
      <c r="G207" s="31">
        <f>IFERROR(VLOOKUP($C207,[13]Nod!$A$3:$E$979,5,FALSE)," ")</f>
        <v>6</v>
      </c>
      <c r="L207" s="281"/>
      <c r="M207" s="281"/>
    </row>
    <row r="208" spans="1:13" ht="15" customHeight="1">
      <c r="A208" s="301" t="s">
        <v>270</v>
      </c>
      <c r="B208" s="3"/>
      <c r="C208" s="54">
        <v>6005</v>
      </c>
      <c r="D208" s="140">
        <v>3</v>
      </c>
      <c r="E208" s="302">
        <v>0</v>
      </c>
      <c r="F208" s="31" t="str">
        <f>IFERROR(VLOOKUP($C208,[13]Nod!$A$3:$E$979,4,FALSE)," ")</f>
        <v>CHO230</v>
      </c>
      <c r="G208" s="31">
        <f>IFERROR(VLOOKUP($C208,[13]Nod!$A$3:$E$979,5,FALSE)," ")</f>
        <v>6</v>
      </c>
      <c r="L208" s="281"/>
      <c r="M208" s="281"/>
    </row>
    <row r="209" spans="1:13" ht="15" customHeight="1">
      <c r="A209" s="301" t="s">
        <v>269</v>
      </c>
      <c r="B209" s="3"/>
      <c r="C209" s="54">
        <v>6005</v>
      </c>
      <c r="D209" s="140">
        <v>0.5</v>
      </c>
      <c r="E209" s="302">
        <v>0</v>
      </c>
      <c r="F209" s="31" t="str">
        <f>IFERROR(VLOOKUP($C209,[13]Nod!$A$3:$E$979,4,FALSE)," ")</f>
        <v>CHO230</v>
      </c>
      <c r="G209" s="31">
        <f>IFERROR(VLOOKUP($C209,[13]Nod!$A$3:$E$979,5,FALSE)," ")</f>
        <v>6</v>
      </c>
      <c r="L209" s="281"/>
      <c r="M209" s="281"/>
    </row>
    <row r="210" spans="1:13" ht="15" customHeight="1">
      <c r="A210" s="301" t="s">
        <v>268</v>
      </c>
      <c r="B210" s="3"/>
      <c r="C210" s="54">
        <v>6005</v>
      </c>
      <c r="D210" s="362">
        <v>5</v>
      </c>
      <c r="E210" s="302">
        <v>0</v>
      </c>
      <c r="F210" s="31" t="str">
        <f>IFERROR(VLOOKUP($C210,[13]Nod!$A$3:$E$979,4,FALSE)," ")</f>
        <v>CHO230</v>
      </c>
      <c r="G210" s="31">
        <f>IFERROR(VLOOKUP($C210,[13]Nod!$A$3:$E$979,5,FALSE)," ")</f>
        <v>6</v>
      </c>
      <c r="L210" s="281"/>
      <c r="M210" s="281"/>
    </row>
    <row r="211" spans="1:13" ht="15" customHeight="1">
      <c r="A211" s="301" t="s">
        <v>267</v>
      </c>
      <c r="B211" s="3"/>
      <c r="C211" s="54">
        <v>6005</v>
      </c>
      <c r="D211" s="362">
        <v>20</v>
      </c>
      <c r="E211" s="302">
        <v>0</v>
      </c>
      <c r="F211" s="31" t="str">
        <f>IFERROR(VLOOKUP($C211,[13]Nod!$A$3:$E$979,4,FALSE)," ")</f>
        <v>CHO230</v>
      </c>
      <c r="G211" s="31">
        <f>IFERROR(VLOOKUP($C211,[13]Nod!$A$3:$E$979,5,FALSE)," ")</f>
        <v>6</v>
      </c>
      <c r="L211" s="281"/>
      <c r="M211" s="281"/>
    </row>
    <row r="212" spans="1:13" ht="15" customHeight="1">
      <c r="A212" s="301" t="s">
        <v>266</v>
      </c>
      <c r="B212" s="3"/>
      <c r="C212" s="54">
        <v>6005</v>
      </c>
      <c r="D212" s="140">
        <v>5</v>
      </c>
      <c r="E212" s="302">
        <v>0</v>
      </c>
      <c r="F212" s="31" t="str">
        <f>IFERROR(VLOOKUP($C212,[13]Nod!$A$3:$E$979,4,FALSE)," ")</f>
        <v>CHO230</v>
      </c>
      <c r="G212" s="31">
        <f>IFERROR(VLOOKUP($C212,[13]Nod!$A$3:$E$979,5,FALSE)," ")</f>
        <v>6</v>
      </c>
      <c r="L212" s="281"/>
      <c r="M212" s="281"/>
    </row>
    <row r="213" spans="1:13" ht="15" customHeight="1">
      <c r="A213" s="314" t="s">
        <v>265</v>
      </c>
      <c r="B213" s="3"/>
      <c r="C213" s="54">
        <v>6005</v>
      </c>
      <c r="D213" s="360">
        <v>9.9</v>
      </c>
      <c r="E213" s="39">
        <v>5</v>
      </c>
      <c r="F213" s="31" t="str">
        <f>IFERROR(VLOOKUP($C213,[13]Nod!$A$3:$E$979,4,FALSE)," ")</f>
        <v>CHO230</v>
      </c>
      <c r="G213" s="31">
        <f>IFERROR(VLOOKUP($C213,[13]Nod!$A$3:$E$979,5,FALSE)," ")</f>
        <v>6</v>
      </c>
      <c r="L213" s="281"/>
      <c r="M213" s="281"/>
    </row>
    <row r="214" spans="1:13" ht="15" customHeight="1">
      <c r="A214" s="314" t="s">
        <v>264</v>
      </c>
      <c r="B214" s="3"/>
      <c r="C214" s="54">
        <v>6005</v>
      </c>
      <c r="D214" s="360">
        <v>3</v>
      </c>
      <c r="E214" s="39">
        <v>5</v>
      </c>
      <c r="F214" s="31" t="str">
        <f>IFERROR(VLOOKUP($C214,[13]Nod!$A$3:$E$979,4,FALSE)," ")</f>
        <v>CHO230</v>
      </c>
      <c r="G214" s="31">
        <f>IFERROR(VLOOKUP($C214,[13]Nod!$A$3:$E$979,5,FALSE)," ")</f>
        <v>6</v>
      </c>
      <c r="L214" s="281"/>
      <c r="M214" s="281"/>
    </row>
    <row r="215" spans="1:13" ht="15" customHeight="1">
      <c r="A215" s="314" t="s">
        <v>263</v>
      </c>
      <c r="B215" s="3"/>
      <c r="C215" s="54">
        <v>6005</v>
      </c>
      <c r="D215" s="360">
        <v>9.9</v>
      </c>
      <c r="E215" s="39">
        <v>7</v>
      </c>
      <c r="F215" s="31" t="str">
        <f>IFERROR(VLOOKUP($C215,[13]Nod!$A$3:$E$979,4,FALSE)," ")</f>
        <v>CHO230</v>
      </c>
      <c r="G215" s="31">
        <f>IFERROR(VLOOKUP($C215,[13]Nod!$A$3:$E$979,5,FALSE)," ")</f>
        <v>6</v>
      </c>
      <c r="L215" s="281"/>
      <c r="M215" s="281"/>
    </row>
    <row r="216" spans="1:13" ht="15" customHeight="1">
      <c r="A216" s="314" t="s">
        <v>262</v>
      </c>
      <c r="B216" s="3"/>
      <c r="C216" s="54">
        <v>6005</v>
      </c>
      <c r="D216" s="360">
        <v>4.95</v>
      </c>
      <c r="E216" s="39">
        <v>7</v>
      </c>
      <c r="F216" s="31" t="str">
        <f>IFERROR(VLOOKUP($C216,[13]Nod!$A$3:$E$979,4,FALSE)," ")</f>
        <v>CHO230</v>
      </c>
      <c r="G216" s="31">
        <f>IFERROR(VLOOKUP($C216,[13]Nod!$A$3:$E$979,5,FALSE)," ")</f>
        <v>6</v>
      </c>
      <c r="L216" s="281"/>
      <c r="M216" s="281"/>
    </row>
    <row r="217" spans="1:13" ht="15" customHeight="1">
      <c r="A217" s="314" t="s">
        <v>261</v>
      </c>
      <c r="B217" s="3"/>
      <c r="C217" s="54">
        <v>6005</v>
      </c>
      <c r="D217" s="360">
        <v>8</v>
      </c>
      <c r="E217" s="39">
        <v>8</v>
      </c>
      <c r="F217" s="31" t="str">
        <f>IFERROR(VLOOKUP($C217,[13]Nod!$A$3:$E$979,4,FALSE)," ")</f>
        <v>CHO230</v>
      </c>
      <c r="G217" s="31">
        <f>IFERROR(VLOOKUP($C217,[13]Nod!$A$3:$E$979,5,FALSE)," ")</f>
        <v>6</v>
      </c>
      <c r="L217" s="281"/>
      <c r="M217" s="281"/>
    </row>
    <row r="218" spans="1:13" ht="15" customHeight="1">
      <c r="A218" s="314" t="s">
        <v>260</v>
      </c>
      <c r="B218" s="3"/>
      <c r="C218" s="54">
        <v>6005</v>
      </c>
      <c r="D218" s="360">
        <v>9.9</v>
      </c>
      <c r="E218" s="39">
        <v>9</v>
      </c>
      <c r="F218" s="31" t="str">
        <f>IFERROR(VLOOKUP($C218,[13]Nod!$A$3:$E$979,4,FALSE)," ")</f>
        <v>CHO230</v>
      </c>
      <c r="G218" s="31">
        <f>IFERROR(VLOOKUP($C218,[13]Nod!$A$3:$E$979,5,FALSE)," ")</f>
        <v>6</v>
      </c>
      <c r="L218" s="281"/>
      <c r="M218" s="281"/>
    </row>
    <row r="219" spans="1:13" ht="15" customHeight="1">
      <c r="A219" s="314" t="s">
        <v>259</v>
      </c>
      <c r="B219" s="3"/>
      <c r="C219" s="54"/>
      <c r="D219" s="324"/>
      <c r="E219" s="302"/>
      <c r="F219" s="31"/>
      <c r="G219" s="31"/>
      <c r="L219" s="281"/>
      <c r="M219" s="281"/>
    </row>
    <row r="220" spans="1:13" ht="15" customHeight="1">
      <c r="A220" s="314" t="s">
        <v>258</v>
      </c>
      <c r="B220" s="3"/>
      <c r="C220" s="54"/>
      <c r="D220" s="324"/>
      <c r="E220" s="302"/>
      <c r="F220" s="31"/>
      <c r="G220" s="31"/>
    </row>
    <row r="221" spans="1:13" ht="15" customHeight="1">
      <c r="A221" s="314" t="s">
        <v>257</v>
      </c>
      <c r="B221" s="3"/>
      <c r="C221" s="54"/>
      <c r="D221" s="324"/>
      <c r="E221" s="302"/>
      <c r="F221" s="31"/>
      <c r="G221" s="31"/>
    </row>
    <row r="222" spans="1:13" ht="15" customHeight="1">
      <c r="A222" s="314" t="s">
        <v>256</v>
      </c>
      <c r="B222" s="3"/>
      <c r="C222" s="54"/>
      <c r="D222" s="324"/>
      <c r="E222" s="302"/>
      <c r="F222" s="31"/>
      <c r="G222" s="31"/>
    </row>
    <row r="223" spans="1:13" ht="15" customHeight="1">
      <c r="A223" s="314" t="s">
        <v>255</v>
      </c>
      <c r="B223" s="3"/>
      <c r="C223" s="54"/>
      <c r="D223" s="324"/>
      <c r="E223" s="302"/>
      <c r="F223" s="31"/>
      <c r="G223" s="31"/>
    </row>
    <row r="224" spans="1:13" ht="15" customHeight="1">
      <c r="A224" s="41" t="s">
        <v>35</v>
      </c>
      <c r="B224" s="3"/>
      <c r="C224" s="40"/>
      <c r="D224" s="40"/>
      <c r="E224" s="302"/>
      <c r="F224" s="31" t="str">
        <f>IFERROR(VLOOKUP($C224,[13]Nod!$A$3:$E$979,4,FALSE)," ")</f>
        <v xml:space="preserve"> </v>
      </c>
      <c r="G224" s="31" t="str">
        <f>IFERROR(VLOOKUP($C224,[13]Nod!$A$3:$E$979,5,FALSE)," ")</f>
        <v xml:space="preserve"> </v>
      </c>
    </row>
    <row r="225" spans="1:7" ht="15" customHeight="1">
      <c r="A225" s="47">
        <v>7</v>
      </c>
      <c r="B225" s="44"/>
      <c r="C225" s="45"/>
      <c r="D225" s="46">
        <f>SUM(D226:D230)</f>
        <v>154.33000000000001</v>
      </c>
      <c r="E225" s="297"/>
      <c r="F225" s="31" t="str">
        <f>IFERROR(VLOOKUP($C225,[13]Nod!$A$3:$E$979,4,FALSE)," ")</f>
        <v xml:space="preserve"> </v>
      </c>
      <c r="G225" s="31" t="str">
        <f>IFERROR(VLOOKUP($C225,[13]Nod!$A$3:$E$979,5,FALSE)," ")</f>
        <v xml:space="preserve"> </v>
      </c>
    </row>
    <row r="226" spans="1:7" ht="15" customHeight="1">
      <c r="A226" s="301" t="s">
        <v>246</v>
      </c>
      <c r="B226" s="3"/>
      <c r="C226" s="40">
        <v>6018</v>
      </c>
      <c r="D226" s="329">
        <v>97.7</v>
      </c>
      <c r="E226" s="302">
        <v>0</v>
      </c>
      <c r="F226" s="31" t="str">
        <f>IFERROR(VLOOKUP($C226,[13]Nod!$A$3:$E$979,4,FALSE)," ")</f>
        <v>CAC115</v>
      </c>
      <c r="G226" s="31">
        <f>IFERROR(VLOOKUP($C226,[13]Nod!$A$3:$E$979,5,FALSE)," ")</f>
        <v>7</v>
      </c>
    </row>
    <row r="227" spans="1:7" ht="15" customHeight="1">
      <c r="A227" s="301" t="s">
        <v>92</v>
      </c>
      <c r="B227" s="3"/>
      <c r="C227" s="40">
        <v>6171</v>
      </c>
      <c r="D227" s="329">
        <v>53.53</v>
      </c>
      <c r="E227" s="302">
        <v>0</v>
      </c>
      <c r="F227" s="31" t="str">
        <f>IFERROR(VLOOKUP($C227,[13]Nod!$A$3:$E$979,4,FALSE)," ")</f>
        <v>PAC230</v>
      </c>
      <c r="G227" s="31">
        <f>IFERROR(VLOOKUP($C227,[13]Nod!$A$3:$E$979,5,FALSE)," ")</f>
        <v>7</v>
      </c>
    </row>
    <row r="228" spans="1:7" ht="15" customHeight="1">
      <c r="A228" s="301" t="s">
        <v>254</v>
      </c>
      <c r="B228" s="3"/>
      <c r="C228" s="40">
        <v>6002</v>
      </c>
      <c r="D228" s="329">
        <v>0.1</v>
      </c>
      <c r="E228" s="302">
        <v>0</v>
      </c>
      <c r="F228" s="31" t="str">
        <f>IFERROR(VLOOKUP($C228,[13]Nod!$A$3:$E$979,4,FALSE)," ")</f>
        <v>PAN115</v>
      </c>
      <c r="G228" s="31">
        <f>IFERROR(VLOOKUP($C228,[13]Nod!$A$3:$E$979,5,FALSE)," ")</f>
        <v>7</v>
      </c>
    </row>
    <row r="229" spans="1:7" ht="15" customHeight="1">
      <c r="A229" s="301" t="s">
        <v>247</v>
      </c>
      <c r="B229" s="3"/>
      <c r="C229" s="40">
        <v>6018</v>
      </c>
      <c r="D229" s="358">
        <v>3</v>
      </c>
      <c r="E229" s="302">
        <v>0</v>
      </c>
      <c r="F229" s="31" t="str">
        <f>IFERROR(VLOOKUP($C229,[13]Nod!$A$3:$E$979,4,FALSE)," ")</f>
        <v>CAC115</v>
      </c>
      <c r="G229" s="31">
        <f>IFERROR(VLOOKUP($C229,[13]Nod!$A$3:$E$979,5,FALSE)," ")</f>
        <v>7</v>
      </c>
    </row>
    <row r="230" spans="1:7" ht="15" customHeight="1">
      <c r="A230" s="336" t="s">
        <v>253</v>
      </c>
      <c r="B230" s="3"/>
      <c r="C230" s="40"/>
      <c r="D230" s="321"/>
      <c r="E230" s="40"/>
      <c r="F230" s="31" t="str">
        <f>IFERROR(VLOOKUP($C230,[13]Nod!$A$3:$E$979,4,FALSE)," ")</f>
        <v xml:space="preserve"> </v>
      </c>
      <c r="G230" s="31" t="str">
        <f>IFERROR(VLOOKUP($C230,[13]Nod!$A$3:$E$979,5,FALSE)," ")</f>
        <v xml:space="preserve"> </v>
      </c>
    </row>
    <row r="231" spans="1:7" ht="15" customHeight="1">
      <c r="A231" s="41" t="s">
        <v>35</v>
      </c>
      <c r="B231" s="3"/>
      <c r="C231" s="40"/>
      <c r="D231" s="40"/>
      <c r="E231" s="302"/>
      <c r="F231" s="31" t="str">
        <f>IFERROR(VLOOKUP($C231,[13]Nod!$A$3:$E$979,4,FALSE)," ")</f>
        <v xml:space="preserve"> </v>
      </c>
    </row>
    <row r="232" spans="1:7" ht="15" customHeight="1">
      <c r="A232" s="36">
        <v>8</v>
      </c>
      <c r="B232" s="61"/>
      <c r="C232" s="35"/>
      <c r="D232" s="66">
        <f>SUM(D233:D234)</f>
        <v>260</v>
      </c>
      <c r="E232" s="317"/>
      <c r="F232" s="31" t="str">
        <f>IFERROR(VLOOKUP($C232,[13]Nod!$A$3:$E$979,4,FALSE)," ")</f>
        <v xml:space="preserve"> </v>
      </c>
      <c r="G232" s="31" t="str">
        <f>IFERROR(VLOOKUP($C232,[13]Nod!$A$3:$E$979,5,FALSE)," ")</f>
        <v xml:space="preserve"> </v>
      </c>
    </row>
    <row r="233" spans="1:7" ht="15" customHeight="1">
      <c r="A233" s="51" t="s">
        <v>93</v>
      </c>
      <c r="B233" s="3"/>
      <c r="C233" s="40">
        <v>6100</v>
      </c>
      <c r="D233" s="48">
        <v>260</v>
      </c>
      <c r="E233" s="302">
        <v>0</v>
      </c>
      <c r="F233" s="31" t="str">
        <f>IFERROR(VLOOKUP($C233,[13]Nod!$A$3:$E$979,4,FALSE)," ")</f>
        <v>BAY230</v>
      </c>
      <c r="G233" s="31">
        <f>IFERROR(VLOOKUP($C233,[13]Nod!$A$3:$E$979,5,FALSE)," ")</f>
        <v>8</v>
      </c>
    </row>
    <row r="234" spans="1:7" ht="15" customHeight="1">
      <c r="A234" s="41" t="s">
        <v>35</v>
      </c>
      <c r="B234" s="42"/>
      <c r="C234" s="43"/>
      <c r="D234" s="52"/>
      <c r="E234" s="315"/>
      <c r="F234" s="31" t="str">
        <f>IFERROR(VLOOKUP($C234,[13]Nod!$A$3:$E$979,4,FALSE)," ")</f>
        <v xml:space="preserve"> </v>
      </c>
      <c r="G234" s="31" t="str">
        <f>IFERROR(VLOOKUP($C234,[13]Nod!$A$3:$E$979,5,FALSE)," ")</f>
        <v xml:space="preserve"> </v>
      </c>
    </row>
    <row r="235" spans="1:7" ht="15" customHeight="1">
      <c r="A235" s="47">
        <v>9</v>
      </c>
      <c r="B235" s="62"/>
      <c r="C235" s="63"/>
      <c r="D235" s="66">
        <f>SUM(D236:D246)</f>
        <v>1565.45</v>
      </c>
      <c r="E235" s="317"/>
      <c r="F235" s="31" t="str">
        <f>IFERROR(VLOOKUP($C235,[13]Nod!$A$3:$E$979,4,FALSE)," ")</f>
        <v xml:space="preserve"> </v>
      </c>
      <c r="G235" s="31" t="str">
        <f>IFERROR(VLOOKUP($C235,[13]Nod!$A$3:$E$979,5,FALSE)," ")</f>
        <v xml:space="preserve"> </v>
      </c>
    </row>
    <row r="236" spans="1:7" ht="15" customHeight="1">
      <c r="A236" s="301" t="s">
        <v>94</v>
      </c>
      <c r="B236" s="3"/>
      <c r="C236" s="40">
        <v>6059</v>
      </c>
      <c r="D236" s="329">
        <v>68</v>
      </c>
      <c r="E236" s="302">
        <v>0</v>
      </c>
      <c r="F236" s="31" t="str">
        <f>IFERROR(VLOOKUP($C236,[13]Nod!$A$3:$E$979,4,FALSE)," ")</f>
        <v>LM1115</v>
      </c>
      <c r="G236" s="31">
        <f>IFERROR(VLOOKUP($C236,[13]Nod!$A$3:$E$979,5,FALSE)," ")</f>
        <v>9</v>
      </c>
    </row>
    <row r="237" spans="1:7" ht="15" customHeight="1">
      <c r="A237" s="301" t="s">
        <v>95</v>
      </c>
      <c r="B237" s="3"/>
      <c r="C237" s="40">
        <v>6059</v>
      </c>
      <c r="D237" s="329">
        <v>87.2</v>
      </c>
      <c r="E237" s="302">
        <v>0</v>
      </c>
      <c r="F237" s="31" t="str">
        <f>IFERROR(VLOOKUP($C237,[13]Nod!$A$3:$E$979,4,FALSE)," ")</f>
        <v>LM1115</v>
      </c>
      <c r="G237" s="31">
        <f>IFERROR(VLOOKUP($C237,[13]Nod!$A$3:$E$979,5,FALSE)," ")</f>
        <v>9</v>
      </c>
    </row>
    <row r="238" spans="1:7" ht="15" customHeight="1">
      <c r="A238" s="301" t="s">
        <v>96</v>
      </c>
      <c r="B238" s="3"/>
      <c r="C238" s="40">
        <v>6059</v>
      </c>
      <c r="D238" s="329">
        <v>150</v>
      </c>
      <c r="E238" s="302">
        <v>0</v>
      </c>
      <c r="F238" s="31" t="str">
        <f>IFERROR(VLOOKUP($C238,[13]Nod!$A$3:$E$979,4,FALSE)," ")</f>
        <v>LM1115</v>
      </c>
      <c r="G238" s="31">
        <f>IFERROR(VLOOKUP($C238,[13]Nod!$A$3:$E$979,5,FALSE)," ")</f>
        <v>9</v>
      </c>
    </row>
    <row r="239" spans="1:7" ht="15" customHeight="1">
      <c r="A239" s="301" t="s">
        <v>97</v>
      </c>
      <c r="B239" s="3"/>
      <c r="C239" s="40">
        <v>6173</v>
      </c>
      <c r="D239" s="329">
        <v>381</v>
      </c>
      <c r="E239" s="302">
        <v>0</v>
      </c>
      <c r="F239" s="31" t="str">
        <f>IFERROR(VLOOKUP($C239,[13]Nod!$A$3:$E$979,4,FALSE)," ")</f>
        <v>STR115</v>
      </c>
      <c r="G239" s="31">
        <f>IFERROR(VLOOKUP($C239,[13]Nod!$A$3:$E$979,5,FALSE)," ")</f>
        <v>9</v>
      </c>
    </row>
    <row r="240" spans="1:7" ht="15" customHeight="1">
      <c r="A240" s="301" t="s">
        <v>98</v>
      </c>
      <c r="B240" s="3"/>
      <c r="C240" s="40">
        <v>6173</v>
      </c>
      <c r="D240" s="329">
        <v>5.05</v>
      </c>
      <c r="E240" s="302">
        <v>0</v>
      </c>
      <c r="F240" s="31" t="str">
        <f>IFERROR(VLOOKUP($C240,[13]Nod!$A$3:$E$979,4,FALSE)," ")</f>
        <v>STR115</v>
      </c>
      <c r="G240" s="31">
        <f>IFERROR(VLOOKUP($C240,[13]Nod!$A$3:$E$979,5,FALSE)," ")</f>
        <v>9</v>
      </c>
    </row>
    <row r="241" spans="1:7" ht="15" customHeight="1">
      <c r="A241" s="301" t="s">
        <v>248</v>
      </c>
      <c r="B241" s="3"/>
      <c r="C241" s="40">
        <v>6059</v>
      </c>
      <c r="D241" s="329">
        <v>49.2</v>
      </c>
      <c r="E241" s="302">
        <v>0</v>
      </c>
      <c r="F241" s="31" t="str">
        <f>IFERROR(VLOOKUP($C241,[13]Nod!$A$3:$E$979,4,FALSE)," ")</f>
        <v>LM1115</v>
      </c>
      <c r="G241" s="31">
        <f>IFERROR(VLOOKUP($C241,[13]Nod!$A$3:$E$979,5,FALSE)," ")</f>
        <v>9</v>
      </c>
    </row>
    <row r="242" spans="1:7" ht="15" customHeight="1">
      <c r="A242" s="301" t="s">
        <v>249</v>
      </c>
      <c r="B242" s="3"/>
      <c r="C242" s="40">
        <v>6173</v>
      </c>
      <c r="D242" s="329">
        <v>670</v>
      </c>
      <c r="E242" s="302">
        <v>0</v>
      </c>
      <c r="F242" s="31" t="str">
        <f>IFERROR(VLOOKUP($C242,[13]Nod!$A$3:$E$979,4,FALSE)," ")</f>
        <v>STR115</v>
      </c>
      <c r="G242" s="31">
        <f>IFERROR(VLOOKUP($C242,[13]Nod!$A$3:$E$979,5,FALSE)," ")</f>
        <v>9</v>
      </c>
    </row>
    <row r="243" spans="1:7" ht="15" customHeight="1">
      <c r="A243" s="314" t="s">
        <v>252</v>
      </c>
      <c r="C243" s="40">
        <v>6173</v>
      </c>
      <c r="D243" s="358">
        <v>34</v>
      </c>
      <c r="E243" s="39">
        <v>0</v>
      </c>
      <c r="F243" s="31" t="str">
        <f>IFERROR(VLOOKUP($C243,[13]Nod!$A$3:$E$979,4,FALSE)," ")</f>
        <v>STR115</v>
      </c>
      <c r="G243" s="31">
        <f>IFERROR(VLOOKUP($C243,[13]Nod!$A$3:$E$979,5,FALSE)," ")</f>
        <v>9</v>
      </c>
    </row>
    <row r="244" spans="1:7" ht="15" customHeight="1">
      <c r="A244" s="314" t="s">
        <v>251</v>
      </c>
      <c r="C244" s="40">
        <v>6173</v>
      </c>
      <c r="D244" s="358">
        <v>34</v>
      </c>
      <c r="E244" s="39">
        <v>0</v>
      </c>
      <c r="F244" s="31" t="str">
        <f>IFERROR(VLOOKUP($C244,[13]Nod!$A$3:$E$979,4,FALSE)," ")</f>
        <v>STR115</v>
      </c>
      <c r="G244" s="31">
        <f>IFERROR(VLOOKUP($C244,[13]Nod!$A$3:$E$979,5,FALSE)," ")</f>
        <v>9</v>
      </c>
    </row>
    <row r="245" spans="1:7" ht="15" customHeight="1">
      <c r="A245" s="314" t="s">
        <v>250</v>
      </c>
      <c r="C245" s="40">
        <v>6173</v>
      </c>
      <c r="D245" s="358">
        <v>87</v>
      </c>
      <c r="E245" s="39">
        <v>0</v>
      </c>
      <c r="F245" s="31" t="str">
        <f>IFERROR(VLOOKUP($C245,[13]Nod!$A$3:$E$979,4,FALSE)," ")</f>
        <v>STR115</v>
      </c>
      <c r="G245" s="31">
        <f>IFERROR(VLOOKUP($C245,[13]Nod!$A$3:$E$979,5,FALSE)," ")</f>
        <v>9</v>
      </c>
    </row>
    <row r="246" spans="1:7" ht="15" customHeight="1">
      <c r="A246" s="41" t="s">
        <v>35</v>
      </c>
      <c r="B246" s="3"/>
      <c r="C246" s="40"/>
      <c r="D246" s="40"/>
      <c r="E246" s="302"/>
      <c r="F246" s="31" t="str">
        <f>IFERROR(VLOOKUP($C246,[13]Nod!$A$3:$E$979,4,FALSE)," ")</f>
        <v xml:space="preserve"> </v>
      </c>
      <c r="G246" s="31" t="str">
        <f>IFERROR(VLOOKUP($C246,[13]Nod!$A$3:$E$979,5,FALSE)," ")</f>
        <v xml:space="preserve"> </v>
      </c>
    </row>
    <row r="247" spans="1:7" ht="15" customHeight="1">
      <c r="A247" s="47">
        <v>10</v>
      </c>
      <c r="B247" s="62"/>
      <c r="C247" s="64"/>
      <c r="D247" s="46">
        <f>SUM(D248:D249)</f>
        <v>252.17</v>
      </c>
      <c r="E247" s="297"/>
      <c r="F247" s="31" t="str">
        <f>IFERROR(VLOOKUP($C247,[13]Nod!$A$3:$E$979,4,FALSE)," ")</f>
        <v xml:space="preserve"> </v>
      </c>
      <c r="G247" s="31" t="str">
        <f>IFERROR(VLOOKUP($C247,[13]Nod!$A$3:$E$979,5,FALSE)," ")</f>
        <v xml:space="preserve"> </v>
      </c>
    </row>
    <row r="248" spans="1:7" ht="15" customHeight="1">
      <c r="A248" s="37" t="s">
        <v>99</v>
      </c>
      <c r="B248" s="3"/>
      <c r="C248" s="40">
        <v>6263</v>
      </c>
      <c r="D248" s="48">
        <v>222.17</v>
      </c>
      <c r="E248" s="302">
        <v>0</v>
      </c>
      <c r="F248" s="31" t="str">
        <f>IFERROR(VLOOKUP($C248,[13]Nod!$A$3:$E$979,4,FALSE)," ")</f>
        <v>ESP230</v>
      </c>
      <c r="G248" s="31">
        <f>IFERROR(VLOOKUP($C248,[13]Nod!$A$3:$E$979,5,FALSE)," ")</f>
        <v>10</v>
      </c>
    </row>
    <row r="249" spans="1:7" ht="15" customHeight="1">
      <c r="A249" s="37" t="s">
        <v>100</v>
      </c>
      <c r="B249" s="3"/>
      <c r="C249" s="40">
        <v>6261</v>
      </c>
      <c r="D249" s="48">
        <v>30</v>
      </c>
      <c r="E249" s="302">
        <v>0</v>
      </c>
      <c r="F249" s="31" t="str">
        <f>IFERROR(VLOOKUP($C249,[13]Nod!$A$3:$E$979,4,FALSE)," ")</f>
        <v xml:space="preserve"> </v>
      </c>
      <c r="G249" s="31" t="str">
        <f>IFERROR(VLOOKUP($C249,[13]Nod!$A$3:$E$979,5,FALSE)," ")</f>
        <v xml:space="preserve"> </v>
      </c>
    </row>
    <row r="250" spans="1:7" ht="15" customHeight="1">
      <c r="A250" s="60" t="s">
        <v>35</v>
      </c>
      <c r="B250" s="42"/>
      <c r="C250" s="43"/>
      <c r="D250" s="52"/>
      <c r="E250" s="315"/>
      <c r="F250" s="3"/>
      <c r="G250" s="3"/>
    </row>
    <row r="254" spans="1:7" ht="15" customHeight="1">
      <c r="F254" s="281"/>
      <c r="G254" s="281"/>
    </row>
    <row r="255" spans="1:7" ht="15" customHeight="1">
      <c r="F255" s="281"/>
      <c r="G255" s="281"/>
    </row>
    <row r="256" spans="1:7" ht="15" customHeight="1">
      <c r="F256" s="281"/>
      <c r="G256" s="281"/>
    </row>
    <row r="257" spans="6:7" ht="15" customHeight="1">
      <c r="F257" s="281"/>
      <c r="G257" s="281"/>
    </row>
    <row r="258" spans="6:7" ht="15" customHeight="1">
      <c r="F258" s="281"/>
      <c r="G258" s="281"/>
    </row>
    <row r="259" spans="6:7" ht="15" customHeight="1">
      <c r="F259" s="281"/>
      <c r="G259" s="281"/>
    </row>
    <row r="260" spans="6:7" ht="15" customHeight="1">
      <c r="F260" s="281"/>
      <c r="G260" s="281"/>
    </row>
    <row r="261" spans="6:7" ht="15" customHeight="1">
      <c r="F261" s="281"/>
      <c r="G261" s="281"/>
    </row>
    <row r="262" spans="6:7" ht="15" customHeight="1">
      <c r="F262" s="281"/>
      <c r="G262" s="281"/>
    </row>
    <row r="263" spans="6:7" ht="15" customHeight="1">
      <c r="F263" s="281"/>
      <c r="G263" s="281"/>
    </row>
    <row r="264" spans="6:7" ht="15" customHeight="1">
      <c r="F264" s="281"/>
      <c r="G264" s="281"/>
    </row>
    <row r="265" spans="6:7" ht="15" customHeight="1">
      <c r="F265" s="281"/>
      <c r="G265" s="281"/>
    </row>
    <row r="266" spans="6:7" ht="15" customHeight="1">
      <c r="F266" s="281"/>
      <c r="G266" s="281"/>
    </row>
    <row r="267" spans="6:7" ht="15" customHeight="1">
      <c r="F267" s="281"/>
      <c r="G267" s="281"/>
    </row>
    <row r="268" spans="6:7" ht="15" customHeight="1">
      <c r="F268" s="281"/>
      <c r="G268" s="281"/>
    </row>
    <row r="269" spans="6:7" ht="15" customHeight="1">
      <c r="F269" s="281"/>
      <c r="G269" s="281"/>
    </row>
    <row r="270" spans="6:7" ht="15" customHeight="1">
      <c r="F270" s="281"/>
      <c r="G270" s="281"/>
    </row>
    <row r="271" spans="6:7" ht="15" customHeight="1">
      <c r="F271" s="281"/>
      <c r="G271" s="281"/>
    </row>
    <row r="272" spans="6:7" ht="15" customHeight="1">
      <c r="F272" s="281"/>
      <c r="G272" s="281"/>
    </row>
    <row r="273" spans="6:7" ht="15" customHeight="1">
      <c r="F273" s="281"/>
      <c r="G273" s="281"/>
    </row>
    <row r="274" spans="6:7" ht="15" customHeight="1">
      <c r="F274" s="281"/>
      <c r="G274" s="281"/>
    </row>
    <row r="275" spans="6:7" ht="15" customHeight="1">
      <c r="F275" s="281"/>
      <c r="G275" s="281"/>
    </row>
    <row r="276" spans="6:7" ht="15" customHeight="1">
      <c r="F276" s="281"/>
      <c r="G276" s="281"/>
    </row>
    <row r="277" spans="6:7" ht="15" customHeight="1">
      <c r="F277" s="281"/>
      <c r="G277" s="281"/>
    </row>
    <row r="278" spans="6:7" ht="15" customHeight="1">
      <c r="F278" s="281"/>
      <c r="G278" s="281"/>
    </row>
    <row r="279" spans="6:7" ht="15" customHeight="1">
      <c r="F279" s="281"/>
      <c r="G279" s="281"/>
    </row>
  </sheetData>
  <mergeCells count="1">
    <mergeCell ref="A9:L9"/>
  </mergeCells>
  <conditionalFormatting sqref="B11:L12">
    <cfRule type="cellIs" dxfId="163" priority="16" operator="equal">
      <formula>0</formula>
    </cfRule>
  </conditionalFormatting>
  <conditionalFormatting sqref="D132">
    <cfRule type="cellIs" dxfId="162" priority="5" operator="equal">
      <formula>0</formula>
    </cfRule>
  </conditionalFormatting>
  <conditionalFormatting sqref="D179:D187">
    <cfRule type="cellIs" dxfId="161" priority="4" operator="equal">
      <formula>0</formula>
    </cfRule>
  </conditionalFormatting>
  <conditionalFormatting sqref="D230">
    <cfRule type="cellIs" dxfId="160" priority="7" operator="equal">
      <formula>0</formula>
    </cfRule>
  </conditionalFormatting>
  <conditionalFormatting sqref="D233:E234">
    <cfRule type="cellIs" dxfId="159" priority="9" operator="equal">
      <formula>0</formula>
    </cfRule>
  </conditionalFormatting>
  <conditionalFormatting sqref="E18:E61">
    <cfRule type="cellIs" dxfId="158" priority="3" operator="equal">
      <formula>0</formula>
    </cfRule>
  </conditionalFormatting>
  <conditionalFormatting sqref="E64:E93 E236:E242 D248:E250">
    <cfRule type="cellIs" dxfId="157" priority="13" operator="equal">
      <formula>0</formula>
    </cfRule>
  </conditionalFormatting>
  <conditionalFormatting sqref="E96:E140">
    <cfRule type="cellIs" dxfId="156" priority="12" operator="equal">
      <formula>0</formula>
    </cfRule>
  </conditionalFormatting>
  <conditionalFormatting sqref="E143:E182">
    <cfRule type="cellIs" dxfId="155" priority="2" operator="equal">
      <formula>0</formula>
    </cfRule>
  </conditionalFormatting>
  <conditionalFormatting sqref="E226:E229">
    <cfRule type="cellIs" dxfId="154" priority="10" operator="equal">
      <formula>0</formula>
    </cfRule>
  </conditionalFormatting>
  <conditionalFormatting sqref="E231">
    <cfRule type="cellIs" dxfId="153" priority="1" operator="equal">
      <formula>0</formula>
    </cfRule>
  </conditionalFormatting>
  <conditionalFormatting sqref="K108:K162 E205:E212 E219:E224">
    <cfRule type="cellIs" dxfId="152" priority="17" operator="equal">
      <formula>0</formula>
    </cfRule>
  </conditionalFormatting>
  <conditionalFormatting sqref="M11:M12">
    <cfRule type="cellIs" dxfId="151" priority="14" stopIfTrue="1" operator="notEqual">
      <formula>L11</formula>
    </cfRule>
  </conditionalFormatting>
  <printOptions horizontalCentered="1"/>
  <pageMargins left="0.39370078740157483" right="0.39370078740157483" top="0.39370078740157483" bottom="0.39370078740157483" header="0.31496062992125984" footer="0.31496062992125984"/>
  <pageSetup paperSize="9" scale="5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D82D1B-4473-4360-9029-7CFE2BD37EE0}">
  <sheetPr>
    <pageSetUpPr fitToPage="1"/>
  </sheetPr>
  <dimension ref="A1:N279"/>
  <sheetViews>
    <sheetView zoomScale="79" zoomScaleNormal="79" workbookViewId="0">
      <selection activeCell="M16" sqref="M16"/>
    </sheetView>
  </sheetViews>
  <sheetFormatPr baseColWidth="10" defaultColWidth="8.6640625" defaultRowHeight="15" customHeight="1"/>
  <cols>
    <col min="1" max="1" width="47.5546875" style="38" customWidth="1"/>
    <col min="2" max="2" width="15" style="38" customWidth="1"/>
    <col min="3" max="3" width="8.6640625" style="38"/>
    <col min="4" max="4" width="11.44140625" style="38" customWidth="1"/>
    <col min="5" max="5" width="9.44140625" style="38" customWidth="1"/>
    <col min="6" max="6" width="9.6640625" style="38" bestFit="1" customWidth="1"/>
    <col min="7" max="7" width="8.6640625" style="38"/>
    <col min="8" max="8" width="23.6640625" style="38" customWidth="1"/>
    <col min="9" max="9" width="9.5546875" style="38" customWidth="1"/>
    <col min="10" max="10" width="8.6640625" style="38"/>
    <col min="11" max="11" width="15.6640625" style="38" customWidth="1"/>
    <col min="12" max="12" width="11.33203125" style="38" bestFit="1" customWidth="1"/>
    <col min="13" max="13" width="12.109375" style="38" customWidth="1"/>
    <col min="14" max="14" width="9.6640625" style="38" customWidth="1"/>
    <col min="15" max="15" width="26.5546875" style="38" bestFit="1" customWidth="1"/>
    <col min="16" max="16" width="29.33203125" style="38" bestFit="1" customWidth="1"/>
    <col min="17" max="26" width="6.6640625" style="38" customWidth="1"/>
    <col min="27" max="16384" width="8.6640625" style="38"/>
  </cols>
  <sheetData>
    <row r="1" spans="1:14" ht="24.9" customHeight="1">
      <c r="A1" s="1" t="s">
        <v>0</v>
      </c>
      <c r="B1" s="1">
        <v>2</v>
      </c>
      <c r="C1" s="2" t="s">
        <v>360</v>
      </c>
      <c r="H1" s="4" t="s">
        <v>1</v>
      </c>
      <c r="I1" s="5"/>
      <c r="J1" s="3"/>
      <c r="K1" s="3"/>
      <c r="L1" s="3"/>
      <c r="M1" s="3"/>
      <c r="N1" s="3"/>
    </row>
    <row r="2" spans="1:14" ht="15" customHeight="1">
      <c r="A2" s="6"/>
      <c r="B2" s="7" t="s">
        <v>2</v>
      </c>
      <c r="C2" s="8"/>
      <c r="D2" s="254" t="s">
        <v>3</v>
      </c>
      <c r="E2" s="255"/>
      <c r="F2" s="256" t="s">
        <v>4</v>
      </c>
      <c r="H2" s="3"/>
      <c r="I2" s="3"/>
      <c r="J2" s="3"/>
      <c r="K2" s="3"/>
      <c r="L2" s="3"/>
      <c r="M2" s="3"/>
      <c r="N2" s="3"/>
    </row>
    <row r="3" spans="1:14" ht="15" customHeight="1">
      <c r="A3" s="9" t="s">
        <v>5</v>
      </c>
      <c r="B3" s="253">
        <v>53695.869722688003</v>
      </c>
      <c r="C3" s="10">
        <f>SUM(C4:C5)</f>
        <v>1</v>
      </c>
      <c r="D3" s="258">
        <f>SUM(D4:D5)</f>
        <v>3103.6499999999992</v>
      </c>
      <c r="E3" s="257">
        <f>D3/$D$3</f>
        <v>1</v>
      </c>
      <c r="F3" s="259" t="s">
        <v>6</v>
      </c>
      <c r="H3" s="9" t="s">
        <v>7</v>
      </c>
      <c r="I3" s="11">
        <v>0</v>
      </c>
      <c r="J3" s="12" t="s">
        <v>8</v>
      </c>
      <c r="K3" s="3"/>
      <c r="L3" s="13" t="s">
        <v>9</v>
      </c>
      <c r="M3" s="14">
        <v>0.45</v>
      </c>
      <c r="N3" s="15">
        <f>M3*B3</f>
        <v>24163.141375209601</v>
      </c>
    </row>
    <row r="4" spans="1:14" ht="15" customHeight="1">
      <c r="A4" s="16" t="s">
        <v>10</v>
      </c>
      <c r="B4" s="17">
        <f>C4*B3</f>
        <v>45923.392240371679</v>
      </c>
      <c r="C4" s="18">
        <v>0.85524999366883825</v>
      </c>
      <c r="D4" s="260">
        <f>SUMIFS([14]Ram!G2:G984,[14]Ram!C2:C984,230,[14]Ram!F2:F984,"S")</f>
        <v>2828.889999999999</v>
      </c>
      <c r="E4" s="261">
        <f>D4/$D$3</f>
        <v>0.91147197654374679</v>
      </c>
      <c r="F4" s="262">
        <f>B4/D4</f>
        <v>16.233714368664632</v>
      </c>
      <c r="H4" s="3"/>
      <c r="I4" s="3"/>
      <c r="J4" s="3"/>
      <c r="K4" s="3"/>
      <c r="L4" s="13" t="s">
        <v>11</v>
      </c>
      <c r="M4" s="14">
        <v>0.55000000000000004</v>
      </c>
      <c r="N4" s="15">
        <f>M4*B3</f>
        <v>29532.728347478405</v>
      </c>
    </row>
    <row r="5" spans="1:14" ht="15" customHeight="1">
      <c r="A5" s="19" t="s">
        <v>12</v>
      </c>
      <c r="B5" s="20">
        <f>C5*B3</f>
        <v>7772.4774823163252</v>
      </c>
      <c r="C5" s="21">
        <f>1-C4</f>
        <v>0.14475000633116175</v>
      </c>
      <c r="D5" s="263">
        <f>SUMIFS([14]Ram!G2:G984,[14]Ram!C2:C984,115,[14]Ram!F2:F984,"S")</f>
        <v>274.76000000000005</v>
      </c>
      <c r="E5" s="264">
        <f>D5/$D$3</f>
        <v>8.8528023456253158E-2</v>
      </c>
      <c r="F5" s="265">
        <f>B5/D5</f>
        <v>28.288242401791834</v>
      </c>
      <c r="H5" s="3"/>
      <c r="I5" s="3"/>
      <c r="J5" s="3"/>
      <c r="K5" s="3"/>
      <c r="L5" s="3"/>
      <c r="M5" s="3"/>
      <c r="N5" s="3"/>
    </row>
    <row r="6" spans="1:14" ht="15" customHeight="1">
      <c r="A6" s="22"/>
      <c r="B6" s="22"/>
      <c r="C6" s="23"/>
      <c r="E6" s="266"/>
      <c r="H6" s="3"/>
      <c r="I6" s="3"/>
      <c r="J6" s="3"/>
      <c r="K6" s="3"/>
      <c r="L6" s="24" t="s">
        <v>13</v>
      </c>
      <c r="M6" s="25">
        <f>[14]ENERGIA!L17</f>
        <v>0</v>
      </c>
      <c r="N6" s="26" t="s">
        <v>14</v>
      </c>
    </row>
    <row r="7" spans="1:14" ht="15" customHeight="1">
      <c r="A7" s="27" t="s">
        <v>15</v>
      </c>
      <c r="B7" s="253">
        <v>59439.412671511425</v>
      </c>
      <c r="C7" s="10">
        <v>1</v>
      </c>
      <c r="D7" s="267">
        <f>SUMIF([14]Ram!F3:F984,"SD",[14]Ram!G3:G984)</f>
        <v>387.74</v>
      </c>
      <c r="E7" s="257">
        <v>1</v>
      </c>
      <c r="F7" s="268">
        <f>IF(B7&gt;0,B7/D7,0)</f>
        <v>153.29708740782851</v>
      </c>
      <c r="G7" s="38" t="s">
        <v>184</v>
      </c>
      <c r="H7" s="9" t="s">
        <v>16</v>
      </c>
      <c r="I7" s="11">
        <v>0</v>
      </c>
      <c r="J7" s="12" t="s">
        <v>8</v>
      </c>
      <c r="K7" s="3"/>
      <c r="L7" s="28" t="s">
        <v>17</v>
      </c>
      <c r="M7" s="29">
        <f>[14]ENERGIA!L2</f>
        <v>0</v>
      </c>
      <c r="N7" s="30" t="s">
        <v>14</v>
      </c>
    </row>
    <row r="9" spans="1:14" ht="15" customHeight="1">
      <c r="A9" s="363" t="s">
        <v>18</v>
      </c>
      <c r="B9" s="363"/>
      <c r="C9" s="363"/>
      <c r="D9" s="363"/>
      <c r="E9" s="363"/>
      <c r="F9" s="363"/>
      <c r="G9" s="363"/>
      <c r="H9" s="363"/>
      <c r="I9" s="363"/>
      <c r="J9" s="363"/>
      <c r="K9" s="363"/>
      <c r="L9" s="363"/>
    </row>
    <row r="10" spans="1:14" ht="15" customHeight="1">
      <c r="A10" s="269" t="s">
        <v>19</v>
      </c>
      <c r="B10" s="270">
        <v>1</v>
      </c>
      <c r="C10" s="271">
        <v>2</v>
      </c>
      <c r="D10" s="271">
        <v>3</v>
      </c>
      <c r="E10" s="271">
        <v>4</v>
      </c>
      <c r="F10" s="271">
        <v>5</v>
      </c>
      <c r="G10" s="271">
        <v>6</v>
      </c>
      <c r="H10" s="271">
        <v>7</v>
      </c>
      <c r="I10" s="271">
        <v>8</v>
      </c>
      <c r="J10" s="271">
        <v>9</v>
      </c>
      <c r="K10" s="272">
        <v>10</v>
      </c>
      <c r="L10" s="273" t="s">
        <v>20</v>
      </c>
    </row>
    <row r="11" spans="1:14" ht="15" customHeight="1">
      <c r="A11" s="274" t="s">
        <v>21</v>
      </c>
      <c r="B11" s="275">
        <f t="shared" ref="B11:K11" si="0">SUMIF($G$17:$G$1079,B$10,$D$17:$D$1080)</f>
        <v>792.31</v>
      </c>
      <c r="C11" s="275">
        <f t="shared" si="0"/>
        <v>730.88000000000011</v>
      </c>
      <c r="D11" s="275">
        <f t="shared" si="0"/>
        <v>178.73000000000005</v>
      </c>
      <c r="E11" s="275">
        <f t="shared" si="0"/>
        <v>654.92099999999982</v>
      </c>
      <c r="F11" s="275">
        <f t="shared" si="0"/>
        <v>992.00999999999988</v>
      </c>
      <c r="G11" s="275">
        <f t="shared" si="0"/>
        <v>321.21000000000004</v>
      </c>
      <c r="H11" s="275">
        <f t="shared" si="0"/>
        <v>154.33000000000001</v>
      </c>
      <c r="I11" s="275">
        <f t="shared" si="0"/>
        <v>260</v>
      </c>
      <c r="J11" s="275">
        <f t="shared" si="0"/>
        <v>1565.45</v>
      </c>
      <c r="K11" s="275">
        <f t="shared" si="0"/>
        <v>252.17</v>
      </c>
      <c r="L11" s="276">
        <f>SUM(B11:K11)</f>
        <v>5902.0109999999995</v>
      </c>
      <c r="M11" s="284">
        <f>SUM(D17,D63,D84,D95,D142,D204,D225,D232,D235,D247)</f>
        <v>5902.0109999999995</v>
      </c>
    </row>
    <row r="12" spans="1:14" ht="15" customHeight="1">
      <c r="A12" s="278" t="s">
        <v>22</v>
      </c>
      <c r="B12" s="279">
        <f t="shared" ref="B12:K12" si="1">SUMIF($M$18:$M$1019,B$10,$K$18:$K$1019)</f>
        <v>23.22833208939743</v>
      </c>
      <c r="C12" s="279">
        <f t="shared" si="1"/>
        <v>0</v>
      </c>
      <c r="D12" s="279">
        <f t="shared" si="1"/>
        <v>4.4498752794533518E-2</v>
      </c>
      <c r="E12" s="279">
        <f t="shared" si="1"/>
        <v>149.24856701236146</v>
      </c>
      <c r="F12" s="279">
        <f t="shared" si="1"/>
        <v>335.29745997501783</v>
      </c>
      <c r="G12" s="279">
        <f t="shared" si="1"/>
        <v>226.53232313925443</v>
      </c>
      <c r="H12" s="279">
        <f t="shared" si="1"/>
        <v>1185.2618253598105</v>
      </c>
      <c r="I12" s="279">
        <f t="shared" si="1"/>
        <v>1.31</v>
      </c>
      <c r="J12" s="279">
        <f t="shared" si="1"/>
        <v>125.84747418222581</v>
      </c>
      <c r="K12" s="279">
        <f t="shared" si="1"/>
        <v>57.779453498797743</v>
      </c>
      <c r="L12" s="280">
        <f>SUM(B12:K12)</f>
        <v>2104.5499340096599</v>
      </c>
      <c r="M12" s="277">
        <f>SUM(K17,K22,K24,K28,K33,K44,K51,K71,K75,K82)</f>
        <v>2104.5499340096599</v>
      </c>
    </row>
    <row r="13" spans="1:14" ht="15" customHeight="1">
      <c r="M13" s="281"/>
    </row>
    <row r="15" spans="1:14" ht="15" customHeight="1">
      <c r="A15" s="285" t="s">
        <v>23</v>
      </c>
      <c r="B15" s="286"/>
      <c r="C15" s="286"/>
      <c r="D15" s="286"/>
      <c r="E15" s="286"/>
      <c r="F15" s="286"/>
      <c r="G15" s="287"/>
      <c r="H15" s="285" t="s">
        <v>24</v>
      </c>
      <c r="I15" s="286"/>
      <c r="J15" s="286"/>
      <c r="K15" s="286"/>
      <c r="L15" s="286"/>
      <c r="M15" s="286"/>
    </row>
    <row r="16" spans="1:14" ht="27" thickBot="1">
      <c r="A16" s="288" t="s">
        <v>25</v>
      </c>
      <c r="B16" s="289"/>
      <c r="C16" s="290" t="s">
        <v>26</v>
      </c>
      <c r="D16" s="32" t="s">
        <v>21</v>
      </c>
      <c r="E16" s="32" t="s">
        <v>27</v>
      </c>
      <c r="F16" s="282"/>
      <c r="G16" s="282"/>
      <c r="H16" s="291" t="s">
        <v>25</v>
      </c>
      <c r="I16" s="292"/>
      <c r="J16" s="293" t="s">
        <v>26</v>
      </c>
      <c r="K16" s="294" t="s">
        <v>22</v>
      </c>
      <c r="L16" s="283">
        <f>+K17+K22+K24+K28+K33+K44+K51+K71+K75+K82</f>
        <v>2104.5499340096599</v>
      </c>
      <c r="M16" s="282"/>
    </row>
    <row r="17" spans="1:13" ht="15" customHeight="1">
      <c r="A17" s="33">
        <v>1</v>
      </c>
      <c r="B17" s="34"/>
      <c r="C17" s="45"/>
      <c r="D17" s="332">
        <f>SUM(D18:D61)</f>
        <v>792.31</v>
      </c>
      <c r="E17" s="297"/>
      <c r="F17" s="31"/>
      <c r="G17" s="31"/>
      <c r="H17" s="298">
        <v>1</v>
      </c>
      <c r="I17" s="299"/>
      <c r="J17" s="327"/>
      <c r="K17" s="345">
        <f>SUM(K18:K21)</f>
        <v>23.22833208939743</v>
      </c>
      <c r="L17" s="281"/>
      <c r="M17" s="281"/>
    </row>
    <row r="18" spans="1:13" ht="15" customHeight="1">
      <c r="A18" s="301" t="s">
        <v>28</v>
      </c>
      <c r="C18" s="39">
        <v>6014</v>
      </c>
      <c r="D18" s="331">
        <v>87.6</v>
      </c>
      <c r="E18" s="302">
        <v>0</v>
      </c>
      <c r="F18" s="31" t="str">
        <f>IFERROR(VLOOKUP($C18,[14]Nod!$A$3:$E$982,4,FALSE)," ")</f>
        <v>PRO230</v>
      </c>
      <c r="G18" s="31">
        <f>IFERROR(VLOOKUP($C18,[14]Nod!$A$3:$E$982,5,FALSE)," ")</f>
        <v>1</v>
      </c>
      <c r="H18" s="296" t="s">
        <v>29</v>
      </c>
      <c r="I18" s="67"/>
      <c r="J18" s="68"/>
      <c r="K18" s="357"/>
      <c r="L18" s="281"/>
      <c r="M18" s="281"/>
    </row>
    <row r="19" spans="1:13" ht="15" customHeight="1">
      <c r="A19" s="301" t="s">
        <v>30</v>
      </c>
      <c r="C19" s="39">
        <v>6014</v>
      </c>
      <c r="D19" s="331">
        <v>57.4</v>
      </c>
      <c r="E19" s="302">
        <v>0</v>
      </c>
      <c r="F19" s="31" t="str">
        <f>IFERROR(VLOOKUP($C19,[14]Nod!$A$3:$E$982,4,FALSE)," ")</f>
        <v>PRO230</v>
      </c>
      <c r="G19" s="31">
        <f>IFERROR(VLOOKUP($C19,[14]Nod!$A$3:$E$982,5,FALSE)," ")</f>
        <v>1</v>
      </c>
      <c r="H19" s="69" t="s">
        <v>31</v>
      </c>
      <c r="I19" s="67"/>
      <c r="J19" s="68">
        <v>6014</v>
      </c>
      <c r="K19" s="65">
        <v>23.091626671324569</v>
      </c>
      <c r="L19" s="281" t="str">
        <f>VLOOKUP($J19,[14]Nod!$A$3:$E$981,4,FALSE)</f>
        <v>PRO230</v>
      </c>
      <c r="M19" s="281">
        <f>VLOOKUP($J19,[14]Nod!$A$3:$E$981,5,FALSE)</f>
        <v>1</v>
      </c>
    </row>
    <row r="20" spans="1:13" ht="15" customHeight="1">
      <c r="A20" s="301" t="s">
        <v>32</v>
      </c>
      <c r="C20" s="39">
        <v>6014</v>
      </c>
      <c r="D20" s="331">
        <v>30</v>
      </c>
      <c r="E20" s="302">
        <v>0</v>
      </c>
      <c r="F20" s="31" t="str">
        <f>IFERROR(VLOOKUP($C20,[14]Nod!$A$3:$E$982,4,FALSE)," ")</f>
        <v>PRO230</v>
      </c>
      <c r="G20" s="31">
        <f>IFERROR(VLOOKUP($C20,[14]Nod!$A$3:$E$982,5,FALSE)," ")</f>
        <v>1</v>
      </c>
      <c r="H20" s="69" t="s">
        <v>33</v>
      </c>
      <c r="I20" s="67"/>
      <c r="J20" s="68">
        <v>6014</v>
      </c>
      <c r="K20" s="65">
        <v>0.13670541807286093</v>
      </c>
      <c r="L20" s="281" t="str">
        <f>VLOOKUP($J20,[14]Nod!$A$3:$E$981,4,FALSE)</f>
        <v>PRO230</v>
      </c>
      <c r="M20" s="281">
        <f>VLOOKUP($J20,[14]Nod!$A$3:$E$981,5,FALSE)</f>
        <v>1</v>
      </c>
    </row>
    <row r="21" spans="1:13" ht="15" customHeight="1">
      <c r="A21" s="301" t="s">
        <v>34</v>
      </c>
      <c r="C21" s="39">
        <v>6014</v>
      </c>
      <c r="D21" s="331">
        <v>27.9</v>
      </c>
      <c r="E21" s="302">
        <v>0</v>
      </c>
      <c r="F21" s="31" t="str">
        <f>IFERROR(VLOOKUP($C21,[14]Nod!$A$3:$E$982,4,FALSE)," ")</f>
        <v>PRO230</v>
      </c>
      <c r="G21" s="31">
        <f>IFERROR(VLOOKUP($C21,[14]Nod!$A$3:$E$982,5,FALSE)," ")</f>
        <v>1</v>
      </c>
      <c r="H21" s="303" t="s">
        <v>35</v>
      </c>
      <c r="I21" s="304"/>
      <c r="J21" s="306"/>
      <c r="K21" s="356"/>
      <c r="L21" s="281"/>
      <c r="M21" s="281"/>
    </row>
    <row r="22" spans="1:13" ht="15" customHeight="1">
      <c r="A22" s="301" t="s">
        <v>36</v>
      </c>
      <c r="C22" s="39">
        <v>6014</v>
      </c>
      <c r="D22" s="331">
        <v>10</v>
      </c>
      <c r="E22" s="302">
        <v>0</v>
      </c>
      <c r="F22" s="31" t="str">
        <f>IFERROR(VLOOKUP($C22,[14]Nod!$A$3:$E$982,4,FALSE)," ")</f>
        <v>PRO230</v>
      </c>
      <c r="G22" s="31">
        <f>IFERROR(VLOOKUP($C22,[14]Nod!$A$3:$E$982,5,FALSE)," ")</f>
        <v>1</v>
      </c>
      <c r="H22" s="307">
        <v>2</v>
      </c>
      <c r="I22" s="299"/>
      <c r="J22" s="327"/>
      <c r="K22" s="345"/>
      <c r="L22" s="281"/>
      <c r="M22" s="281"/>
    </row>
    <row r="23" spans="1:13" ht="15" customHeight="1">
      <c r="A23" s="301" t="s">
        <v>189</v>
      </c>
      <c r="C23" s="39">
        <v>6014</v>
      </c>
      <c r="D23" s="331">
        <v>9.99</v>
      </c>
      <c r="E23" s="302">
        <v>0</v>
      </c>
      <c r="F23" s="31" t="str">
        <f>IFERROR(VLOOKUP($C23,[14]Nod!$A$3:$E$982,4,FALSE)," ")</f>
        <v>PRO230</v>
      </c>
      <c r="G23" s="31">
        <f>IFERROR(VLOOKUP($C23,[14]Nod!$A$3:$E$982,5,FALSE)," ")</f>
        <v>1</v>
      </c>
      <c r="H23" s="303" t="s">
        <v>35</v>
      </c>
      <c r="I23" s="304"/>
      <c r="J23" s="306"/>
      <c r="K23" s="356"/>
      <c r="L23" s="281"/>
      <c r="M23" s="281"/>
    </row>
    <row r="24" spans="1:13" ht="15" customHeight="1">
      <c r="A24" s="301" t="s">
        <v>190</v>
      </c>
      <c r="C24" s="39">
        <v>6014</v>
      </c>
      <c r="D24" s="331">
        <v>5.5</v>
      </c>
      <c r="E24" s="302">
        <v>0</v>
      </c>
      <c r="F24" s="31" t="str">
        <f>IFERROR(VLOOKUP($C24,[14]Nod!$A$3:$E$982,4,FALSE)," ")</f>
        <v>PRO230</v>
      </c>
      <c r="G24" s="31">
        <f>IFERROR(VLOOKUP($C24,[14]Nod!$A$3:$E$982,5,FALSE)," ")</f>
        <v>1</v>
      </c>
      <c r="H24" s="298">
        <v>3</v>
      </c>
      <c r="I24" s="299"/>
      <c r="J24" s="327"/>
      <c r="K24" s="345">
        <f>SUM(K25:K27)</f>
        <v>4.4498752794533518E-2</v>
      </c>
      <c r="L24" s="281"/>
      <c r="M24" s="281"/>
    </row>
    <row r="25" spans="1:13" ht="15" customHeight="1">
      <c r="A25" s="301" t="s">
        <v>359</v>
      </c>
      <c r="C25" s="39">
        <v>6014</v>
      </c>
      <c r="D25" s="331">
        <v>10</v>
      </c>
      <c r="E25" s="302">
        <v>0</v>
      </c>
      <c r="F25" s="31" t="str">
        <f>IFERROR(VLOOKUP($C25,[14]Nod!$A$3:$E$982,4,FALSE)," ")</f>
        <v>PRO230</v>
      </c>
      <c r="G25" s="31">
        <f>IFERROR(VLOOKUP($C25,[14]Nod!$A$3:$E$982,5,FALSE)," ")</f>
        <v>1</v>
      </c>
      <c r="H25" s="296" t="s">
        <v>29</v>
      </c>
      <c r="I25" s="67"/>
      <c r="J25" s="68"/>
      <c r="K25" s="357"/>
      <c r="L25" s="281"/>
      <c r="M25" s="281"/>
    </row>
    <row r="26" spans="1:13" ht="15" customHeight="1">
      <c r="A26" s="301" t="s">
        <v>358</v>
      </c>
      <c r="C26" s="39">
        <v>6014</v>
      </c>
      <c r="D26" s="331">
        <v>10</v>
      </c>
      <c r="E26" s="302">
        <v>0</v>
      </c>
      <c r="F26" s="31" t="str">
        <f>IFERROR(VLOOKUP($C26,[14]Nod!$A$3:$E$982,4,FALSE)," ")</f>
        <v>PRO230</v>
      </c>
      <c r="G26" s="31">
        <f>IFERROR(VLOOKUP($C26,[14]Nod!$A$3:$E$982,5,FALSE)," ")</f>
        <v>1</v>
      </c>
      <c r="H26" s="69" t="s">
        <v>37</v>
      </c>
      <c r="I26" s="67"/>
      <c r="J26" s="68">
        <v>6087</v>
      </c>
      <c r="K26" s="65">
        <v>4.4498752794533518E-2</v>
      </c>
      <c r="L26" s="281" t="str">
        <f>VLOOKUP($J26,[14]Nod!$A$3:$E$981,4,FALSE)</f>
        <v>CAL115</v>
      </c>
      <c r="M26" s="281">
        <f>VLOOKUP($J26,[14]Nod!$A$3:$E$981,5,FALSE)</f>
        <v>3</v>
      </c>
    </row>
    <row r="27" spans="1:13" ht="15" customHeight="1">
      <c r="A27" s="301" t="s">
        <v>357</v>
      </c>
      <c r="C27" s="39">
        <v>6014</v>
      </c>
      <c r="D27" s="331">
        <v>10</v>
      </c>
      <c r="E27" s="302">
        <v>0</v>
      </c>
      <c r="F27" s="31" t="str">
        <f>IFERROR(VLOOKUP($C27,[14]Nod!$A$3:$E$982,4,FALSE)," ")</f>
        <v>PRO230</v>
      </c>
      <c r="G27" s="31">
        <f>IFERROR(VLOOKUP($C27,[14]Nod!$A$3:$E$982,5,FALSE)," ")</f>
        <v>1</v>
      </c>
      <c r="H27" s="303" t="s">
        <v>35</v>
      </c>
      <c r="I27" s="304"/>
      <c r="J27" s="306"/>
      <c r="K27" s="356"/>
      <c r="L27" s="281"/>
      <c r="M27" s="281"/>
    </row>
    <row r="28" spans="1:13" ht="15" customHeight="1">
      <c r="A28" s="301" t="s">
        <v>356</v>
      </c>
      <c r="C28" s="39">
        <v>6014</v>
      </c>
      <c r="D28" s="331">
        <v>10</v>
      </c>
      <c r="E28" s="302">
        <v>0</v>
      </c>
      <c r="F28" s="31" t="str">
        <f>IFERROR(VLOOKUP($C28,[14]Nod!$A$3:$E$982,4,FALSE)," ")</f>
        <v>PRO230</v>
      </c>
      <c r="G28" s="31">
        <f>IFERROR(VLOOKUP($C28,[14]Nod!$A$3:$E$982,5,FALSE)," ")</f>
        <v>1</v>
      </c>
      <c r="H28" s="298">
        <v>4</v>
      </c>
      <c r="I28" s="299"/>
      <c r="J28" s="327"/>
      <c r="K28" s="345">
        <f>SUM(K29:K31)</f>
        <v>149.24856701236146</v>
      </c>
      <c r="L28" s="281"/>
      <c r="M28" s="281"/>
    </row>
    <row r="29" spans="1:13" ht="15" customHeight="1">
      <c r="A29" s="301" t="s">
        <v>355</v>
      </c>
      <c r="C29" s="39">
        <v>6014</v>
      </c>
      <c r="D29" s="331">
        <v>10</v>
      </c>
      <c r="E29" s="302">
        <v>0</v>
      </c>
      <c r="F29" s="31" t="str">
        <f>IFERROR(VLOOKUP($C29,[14]Nod!$A$3:$E$982,4,FALSE)," ")</f>
        <v>PRO230</v>
      </c>
      <c r="G29" s="31">
        <f>IFERROR(VLOOKUP($C29,[14]Nod!$A$3:$E$982,5,FALSE)," ")</f>
        <v>1</v>
      </c>
      <c r="H29" s="296" t="s">
        <v>29</v>
      </c>
      <c r="I29" s="67"/>
      <c r="J29" s="68"/>
      <c r="K29" s="346"/>
      <c r="L29" s="281"/>
      <c r="M29" s="281"/>
    </row>
    <row r="30" spans="1:13" ht="15" customHeight="1">
      <c r="A30" s="301" t="s">
        <v>354</v>
      </c>
      <c r="C30" s="39">
        <v>6014</v>
      </c>
      <c r="D30" s="331">
        <v>19.88</v>
      </c>
      <c r="E30" s="302">
        <v>0</v>
      </c>
      <c r="F30" s="31" t="str">
        <f>IFERROR(VLOOKUP($C30,[14]Nod!$A$3:$E$982,4,FALSE)," ")</f>
        <v>PRO230</v>
      </c>
      <c r="G30" s="31">
        <f>IFERROR(VLOOKUP($C30,[14]Nod!$A$3:$E$982,5,FALSE)," ")</f>
        <v>1</v>
      </c>
      <c r="H30" s="57" t="s">
        <v>38</v>
      </c>
      <c r="I30" s="67"/>
      <c r="J30" s="68">
        <v>6013</v>
      </c>
      <c r="K30" s="346"/>
      <c r="L30" s="281" t="str">
        <f>VLOOKUP($J30,[14]Nod!$A$3:$E$981,4,FALSE)</f>
        <v>MDN34</v>
      </c>
      <c r="M30" s="281">
        <f>VLOOKUP($J30,[14]Nod!$A$3:$E$981,5,FALSE)</f>
        <v>4</v>
      </c>
    </row>
    <row r="31" spans="1:13" ht="15" customHeight="1">
      <c r="A31" s="301" t="s">
        <v>188</v>
      </c>
      <c r="C31" s="39">
        <v>6014</v>
      </c>
      <c r="D31" s="331">
        <v>25.9</v>
      </c>
      <c r="E31" s="302">
        <v>0</v>
      </c>
      <c r="F31" s="31" t="str">
        <f>IFERROR(VLOOKUP($C31,[14]Nod!$A$3:$E$982,4,FALSE)," ")</f>
        <v>PRO230</v>
      </c>
      <c r="G31" s="31">
        <f>IFERROR(VLOOKUP($C31,[14]Nod!$A$3:$E$982,5,FALSE)," ")</f>
        <v>1</v>
      </c>
      <c r="H31" s="57" t="s">
        <v>39</v>
      </c>
      <c r="I31" s="67"/>
      <c r="J31" s="68">
        <v>6013</v>
      </c>
      <c r="K31" s="344">
        <v>149.24856701236146</v>
      </c>
      <c r="L31" s="281" t="str">
        <f>VLOOKUP($J31,[14]Nod!$A$3:$E$981,4,FALSE)</f>
        <v>MDN34</v>
      </c>
      <c r="M31" s="281">
        <f>VLOOKUP($J31,[14]Nod!$A$3:$E$981,5,FALSE)</f>
        <v>4</v>
      </c>
    </row>
    <row r="32" spans="1:13" ht="15" customHeight="1">
      <c r="A32" s="301" t="s">
        <v>353</v>
      </c>
      <c r="C32" s="39">
        <v>6014</v>
      </c>
      <c r="D32" s="331">
        <v>25.9</v>
      </c>
      <c r="E32" s="302">
        <v>0</v>
      </c>
      <c r="F32" s="31" t="str">
        <f>IFERROR(VLOOKUP($C32,[14]Nod!$A$3:$E$982,4,FALSE)," ")</f>
        <v>PRO230</v>
      </c>
      <c r="G32" s="31">
        <f>IFERROR(VLOOKUP($C32,[14]Nod!$A$3:$E$982,5,FALSE)," ")</f>
        <v>1</v>
      </c>
      <c r="H32" s="303" t="s">
        <v>35</v>
      </c>
      <c r="I32" s="304"/>
      <c r="J32" s="306"/>
      <c r="K32" s="346"/>
      <c r="L32" s="281"/>
      <c r="M32" s="281"/>
    </row>
    <row r="33" spans="1:13" ht="15" customHeight="1">
      <c r="A33" s="301" t="s">
        <v>352</v>
      </c>
      <c r="C33" s="39">
        <v>6014</v>
      </c>
      <c r="D33" s="331">
        <v>9.9</v>
      </c>
      <c r="E33" s="302">
        <v>0</v>
      </c>
      <c r="F33" s="31" t="str">
        <f>IFERROR(VLOOKUP($C33,[14]Nod!$A$3:$E$982,4,FALSE)," ")</f>
        <v>PRO230</v>
      </c>
      <c r="G33" s="31">
        <f>IFERROR(VLOOKUP($C33,[14]Nod!$A$3:$E$982,5,FALSE)," ")</f>
        <v>1</v>
      </c>
      <c r="H33" s="309">
        <v>5</v>
      </c>
      <c r="I33" s="310"/>
      <c r="J33" s="326"/>
      <c r="K33" s="345">
        <f>SUM(K34:K42)</f>
        <v>335.29745997501783</v>
      </c>
      <c r="L33" s="281"/>
      <c r="M33" s="281"/>
    </row>
    <row r="34" spans="1:13" ht="15" customHeight="1">
      <c r="A34" s="301" t="s">
        <v>191</v>
      </c>
      <c r="C34" s="39">
        <v>6014</v>
      </c>
      <c r="D34" s="331">
        <v>10</v>
      </c>
      <c r="E34" s="48">
        <v>0</v>
      </c>
      <c r="F34" s="31" t="str">
        <f>IFERROR(VLOOKUP($C34,[14]Nod!$A$3:$E$982,4,FALSE)," ")</f>
        <v>PRO230</v>
      </c>
      <c r="G34" s="31">
        <f>IFERROR(VLOOKUP($C34,[14]Nod!$A$3:$E$982,5,FALSE)," ")</f>
        <v>1</v>
      </c>
      <c r="H34" s="296" t="s">
        <v>40</v>
      </c>
      <c r="I34" s="67"/>
      <c r="J34" s="68"/>
      <c r="K34" s="346"/>
      <c r="L34" s="281"/>
      <c r="M34" s="281"/>
    </row>
    <row r="35" spans="1:13" ht="15" customHeight="1">
      <c r="A35" s="301" t="s">
        <v>192</v>
      </c>
      <c r="C35" s="39">
        <v>6014</v>
      </c>
      <c r="D35" s="331">
        <v>10</v>
      </c>
      <c r="E35" s="48">
        <v>0</v>
      </c>
      <c r="F35" s="31" t="str">
        <f>IFERROR(VLOOKUP($C35,[14]Nod!$A$3:$E$982,4,FALSE)," ")</f>
        <v>PRO230</v>
      </c>
      <c r="G35" s="31">
        <f>IFERROR(VLOOKUP($C35,[14]Nod!$A$3:$E$982,5,FALSE)," ")</f>
        <v>1</v>
      </c>
      <c r="H35" s="313" t="s">
        <v>41</v>
      </c>
      <c r="I35" s="67"/>
      <c r="J35" s="68">
        <v>6460</v>
      </c>
      <c r="K35" s="353">
        <v>250.35638393050931</v>
      </c>
      <c r="L35" s="281" t="str">
        <f>VLOOKUP($J35,[14]Nod!$A$3:$E$981,4,FALSE)</f>
        <v>ECO230</v>
      </c>
      <c r="M35" s="281">
        <f>VLOOKUP($J35,[14]Nod!$A$3:$E$981,5,FALSE)</f>
        <v>5</v>
      </c>
    </row>
    <row r="36" spans="1:13" ht="15" customHeight="1">
      <c r="A36" s="301" t="s">
        <v>193</v>
      </c>
      <c r="C36" s="39">
        <v>6014</v>
      </c>
      <c r="D36" s="331">
        <v>19.88</v>
      </c>
      <c r="E36" s="48">
        <v>0</v>
      </c>
      <c r="F36" s="31" t="str">
        <f>IFERROR(VLOOKUP($C36,[14]Nod!$A$3:$E$982,4,FALSE)," ")</f>
        <v>PRO230</v>
      </c>
      <c r="G36" s="31">
        <f>IFERROR(VLOOKUP($C36,[14]Nod!$A$3:$E$982,5,FALSE)," ")</f>
        <v>1</v>
      </c>
      <c r="H36" s="313" t="s">
        <v>104</v>
      </c>
      <c r="I36" s="67"/>
      <c r="J36" s="68">
        <v>6460</v>
      </c>
      <c r="K36" s="353">
        <v>19.166537047899308</v>
      </c>
      <c r="L36" s="281" t="str">
        <f>VLOOKUP($J36,[14]Nod!$A$3:$E$981,4,FALSE)</f>
        <v>ECO230</v>
      </c>
      <c r="M36" s="281">
        <f>VLOOKUP($J36,[14]Nod!$A$3:$E$981,5,FALSE)</f>
        <v>5</v>
      </c>
    </row>
    <row r="37" spans="1:13" ht="15" customHeight="1">
      <c r="A37" s="301" t="s">
        <v>351</v>
      </c>
      <c r="C37" s="39">
        <v>6014</v>
      </c>
      <c r="D37" s="331">
        <v>1.05</v>
      </c>
      <c r="E37" s="48">
        <v>0</v>
      </c>
      <c r="F37" s="31" t="str">
        <f>IFERROR(VLOOKUP($C37,[14]Nod!$A$3:$E$982,4,FALSE)," ")</f>
        <v>PRO230</v>
      </c>
      <c r="G37" s="31">
        <f>IFERROR(VLOOKUP($C37,[14]Nod!$A$3:$E$982,5,FALSE)," ")</f>
        <v>1</v>
      </c>
      <c r="H37" s="296" t="s">
        <v>42</v>
      </c>
      <c r="I37" s="67"/>
      <c r="J37" s="68"/>
      <c r="K37" s="346"/>
      <c r="L37" s="281"/>
      <c r="M37" s="281"/>
    </row>
    <row r="38" spans="1:13" ht="15" customHeight="1">
      <c r="A38" s="314" t="s">
        <v>350</v>
      </c>
      <c r="C38" s="39">
        <v>6014</v>
      </c>
      <c r="D38" s="331">
        <v>9.99</v>
      </c>
      <c r="E38" s="48">
        <v>0</v>
      </c>
      <c r="F38" s="31" t="str">
        <f>IFERROR(VLOOKUP($C38,[14]Nod!$A$3:$E$982,4,FALSE)," ")</f>
        <v>PRO230</v>
      </c>
      <c r="G38" s="31">
        <f>IFERROR(VLOOKUP($C38,[14]Nod!$A$3:$E$982,5,FALSE)," ")</f>
        <v>1</v>
      </c>
      <c r="H38" s="69" t="s">
        <v>44</v>
      </c>
      <c r="I38" s="67"/>
      <c r="J38" s="68">
        <v>6460</v>
      </c>
      <c r="K38" s="353">
        <v>0.93199999999999994</v>
      </c>
      <c r="L38" s="281" t="str">
        <f>VLOOKUP($J38,[14]Nod!$A$3:$E$981,4,FALSE)</f>
        <v>ECO230</v>
      </c>
      <c r="M38" s="281">
        <f>VLOOKUP($J38,[14]Nod!$A$3:$E$981,5,FALSE)</f>
        <v>5</v>
      </c>
    </row>
    <row r="39" spans="1:13" ht="15" customHeight="1">
      <c r="A39" s="314" t="s">
        <v>349</v>
      </c>
      <c r="C39" s="39">
        <v>6014</v>
      </c>
      <c r="D39" s="331">
        <v>9.99</v>
      </c>
      <c r="E39" s="48">
        <v>0</v>
      </c>
      <c r="F39" s="31" t="str">
        <f>IFERROR(VLOOKUP($C39,[14]Nod!$A$3:$E$982,4,FALSE)," ")</f>
        <v>PRO230</v>
      </c>
      <c r="G39" s="31">
        <f>IFERROR(VLOOKUP($C39,[14]Nod!$A$3:$E$982,5,FALSE)," ")</f>
        <v>1</v>
      </c>
      <c r="H39" s="69" t="s">
        <v>45</v>
      </c>
      <c r="I39" s="67"/>
      <c r="J39" s="68"/>
      <c r="K39" s="346"/>
      <c r="L39" s="281"/>
      <c r="M39" s="281"/>
    </row>
    <row r="40" spans="1:13" ht="15" customHeight="1">
      <c r="A40" s="314" t="s">
        <v>348</v>
      </c>
      <c r="C40" s="39">
        <v>6014</v>
      </c>
      <c r="D40" s="331">
        <v>9.99</v>
      </c>
      <c r="E40" s="48">
        <v>0</v>
      </c>
      <c r="F40" s="31" t="str">
        <f>IFERROR(VLOOKUP($C40,[14]Nod!$A$3:$E$982,4,FALSE)," ")</f>
        <v>PRO230</v>
      </c>
      <c r="G40" s="31">
        <f>IFERROR(VLOOKUP($C40,[14]Nod!$A$3:$E$982,5,FALSE)," ")</f>
        <v>1</v>
      </c>
      <c r="H40" s="69" t="s">
        <v>47</v>
      </c>
      <c r="I40" s="67"/>
      <c r="J40" s="68">
        <v>6460</v>
      </c>
      <c r="K40" s="355">
        <v>0.84253899660921205</v>
      </c>
      <c r="L40" s="281" t="str">
        <f>VLOOKUP($J40,[14]Nod!$A$3:$E$981,4,FALSE)</f>
        <v>ECO230</v>
      </c>
      <c r="M40" s="281">
        <f>VLOOKUP($J40,[14]Nod!$A$3:$E$981,5,FALSE)</f>
        <v>5</v>
      </c>
    </row>
    <row r="41" spans="1:13" ht="15" customHeight="1">
      <c r="A41" s="314" t="s">
        <v>347</v>
      </c>
      <c r="C41" s="39">
        <v>6014</v>
      </c>
      <c r="D41" s="331">
        <v>9.99</v>
      </c>
      <c r="E41" s="48">
        <v>0</v>
      </c>
      <c r="F41" s="31" t="str">
        <f>IFERROR(VLOOKUP($C41,[14]Nod!$A$3:$E$982,4,FALSE)," ")</f>
        <v>PRO230</v>
      </c>
      <c r="G41" s="31">
        <f>IFERROR(VLOOKUP($C41,[14]Nod!$A$3:$E$982,5,FALSE)," ")</f>
        <v>1</v>
      </c>
      <c r="H41" s="354" t="s">
        <v>49</v>
      </c>
      <c r="I41" s="67"/>
      <c r="J41" s="68"/>
      <c r="K41" s="346"/>
      <c r="L41" s="281"/>
      <c r="M41" s="281"/>
    </row>
    <row r="42" spans="1:13" ht="15" customHeight="1">
      <c r="A42" s="314" t="s">
        <v>346</v>
      </c>
      <c r="C42" s="39">
        <v>6014</v>
      </c>
      <c r="D42" s="331">
        <v>9.99</v>
      </c>
      <c r="E42" s="48">
        <v>0</v>
      </c>
      <c r="F42" s="31" t="str">
        <f>IFERROR(VLOOKUP($C42,[14]Nod!$A$3:$E$982,4,FALSE)," ")</f>
        <v>PRO230</v>
      </c>
      <c r="G42" s="31">
        <f>IFERROR(VLOOKUP($C42,[14]Nod!$A$3:$E$982,5,FALSE)," ")</f>
        <v>1</v>
      </c>
      <c r="H42" s="69" t="s">
        <v>51</v>
      </c>
      <c r="I42" s="67"/>
      <c r="J42" s="68">
        <v>6460</v>
      </c>
      <c r="K42" s="353">
        <v>64</v>
      </c>
      <c r="L42" s="281" t="str">
        <f>VLOOKUP($J42,[14]Nod!$A$3:$E$981,4,FALSE)</f>
        <v>ECO230</v>
      </c>
      <c r="M42" s="281">
        <f>VLOOKUP($J42,[14]Nod!$A$3:$E$981,5,FALSE)</f>
        <v>5</v>
      </c>
    </row>
    <row r="43" spans="1:13" ht="15" customHeight="1">
      <c r="A43" s="314" t="s">
        <v>345</v>
      </c>
      <c r="C43" s="39">
        <v>6014</v>
      </c>
      <c r="D43" s="331">
        <v>9.99</v>
      </c>
      <c r="E43" s="48">
        <v>0</v>
      </c>
      <c r="F43" s="31" t="str">
        <f>IFERROR(VLOOKUP($C43,[14]Nod!$A$3:$E$982,4,FALSE)," ")</f>
        <v>PRO230</v>
      </c>
      <c r="G43" s="31">
        <f>IFERROR(VLOOKUP($C43,[14]Nod!$A$3:$E$982,5,FALSE)," ")</f>
        <v>1</v>
      </c>
      <c r="H43" s="316" t="s">
        <v>35</v>
      </c>
      <c r="I43" s="67"/>
      <c r="J43" s="68"/>
      <c r="K43" s="346"/>
      <c r="L43" s="281"/>
      <c r="M43" s="281"/>
    </row>
    <row r="44" spans="1:13" ht="15" customHeight="1">
      <c r="A44" s="314" t="s">
        <v>344</v>
      </c>
      <c r="C44" s="39">
        <v>6014</v>
      </c>
      <c r="D44" s="331">
        <v>9.99</v>
      </c>
      <c r="E44" s="48">
        <v>0</v>
      </c>
      <c r="F44" s="31" t="str">
        <f>IFERROR(VLOOKUP($C44,[14]Nod!$A$3:$E$982,4,FALSE)," ")</f>
        <v>PRO230</v>
      </c>
      <c r="G44" s="31">
        <f>IFERROR(VLOOKUP($C44,[14]Nod!$A$3:$E$982,5,FALSE)," ")</f>
        <v>1</v>
      </c>
      <c r="H44" s="307">
        <v>6</v>
      </c>
      <c r="I44" s="299"/>
      <c r="J44" s="327"/>
      <c r="K44" s="345">
        <f>SUM(K45:K49)</f>
        <v>226.53232313925443</v>
      </c>
      <c r="L44" s="281"/>
      <c r="M44" s="281"/>
    </row>
    <row r="45" spans="1:13" ht="15" customHeight="1">
      <c r="A45" s="314" t="s">
        <v>343</v>
      </c>
      <c r="C45" s="39">
        <v>6014</v>
      </c>
      <c r="D45" s="331">
        <v>17</v>
      </c>
      <c r="E45" s="48">
        <v>0</v>
      </c>
      <c r="F45" s="31" t="str">
        <f>IFERROR(VLOOKUP($C45,[14]Nod!$A$3:$E$982,4,FALSE)," ")</f>
        <v>PRO230</v>
      </c>
      <c r="G45" s="31">
        <f>IFERROR(VLOOKUP($C45,[14]Nod!$A$3:$E$982,5,FALSE)," ")</f>
        <v>1</v>
      </c>
      <c r="H45" s="296" t="s">
        <v>40</v>
      </c>
      <c r="I45" s="67"/>
      <c r="J45" s="68"/>
      <c r="K45" s="346"/>
      <c r="L45" s="281"/>
      <c r="M45" s="281"/>
    </row>
    <row r="46" spans="1:13" ht="15" customHeight="1">
      <c r="A46" s="314" t="s">
        <v>342</v>
      </c>
      <c r="C46" s="39">
        <v>6014</v>
      </c>
      <c r="D46" s="331">
        <v>10</v>
      </c>
      <c r="E46" s="48">
        <v>0</v>
      </c>
      <c r="F46" s="31" t="str">
        <f>IFERROR(VLOOKUP($C46,[14]Nod!$A$3:$E$982,4,FALSE)," ")</f>
        <v>PRO230</v>
      </c>
      <c r="G46" s="31">
        <f>IFERROR(VLOOKUP($C46,[14]Nod!$A$3:$E$982,5,FALSE)," ")</f>
        <v>1</v>
      </c>
      <c r="H46" s="69" t="s">
        <v>53</v>
      </c>
      <c r="I46" s="67"/>
      <c r="J46" s="68">
        <v>6005</v>
      </c>
      <c r="K46" s="344">
        <v>225.87832313925443</v>
      </c>
      <c r="L46" s="281" t="str">
        <f>VLOOKUP($J46,[14]Nod!$A$3:$E$981,4,FALSE)</f>
        <v>CHO230</v>
      </c>
      <c r="M46" s="281">
        <f>VLOOKUP($J46,[14]Nod!$A$3:$E$981,5,FALSE)</f>
        <v>6</v>
      </c>
    </row>
    <row r="47" spans="1:13" ht="15" customHeight="1">
      <c r="A47" s="314" t="s">
        <v>341</v>
      </c>
      <c r="C47" s="39">
        <v>6014</v>
      </c>
      <c r="D47" s="331">
        <v>10</v>
      </c>
      <c r="E47" s="48">
        <v>0</v>
      </c>
      <c r="F47" s="31" t="str">
        <f>IFERROR(VLOOKUP($C47,[14]Nod!$A$3:$E$982,4,FALSE)," ")</f>
        <v>PRO230</v>
      </c>
      <c r="G47" s="31">
        <f>IFERROR(VLOOKUP($C47,[14]Nod!$A$3:$E$982,5,FALSE)," ")</f>
        <v>1</v>
      </c>
      <c r="H47" s="296" t="s">
        <v>42</v>
      </c>
      <c r="I47" s="67"/>
      <c r="J47" s="68"/>
      <c r="K47" s="346"/>
      <c r="L47" s="281"/>
      <c r="M47" s="281"/>
    </row>
    <row r="48" spans="1:13" ht="15" customHeight="1">
      <c r="A48" s="314" t="s">
        <v>340</v>
      </c>
      <c r="C48" s="39">
        <v>6014</v>
      </c>
      <c r="D48" s="331">
        <v>9.9</v>
      </c>
      <c r="E48" s="302">
        <v>0</v>
      </c>
      <c r="F48" s="31" t="str">
        <f>IFERROR(VLOOKUP($C48,[14]Nod!$A$3:$E$982,4,FALSE)," ")</f>
        <v>PRO230</v>
      </c>
      <c r="G48" s="31">
        <f>IFERROR(VLOOKUP($C48,[14]Nod!$A$3:$E$982,5,FALSE)," ")</f>
        <v>1</v>
      </c>
      <c r="H48" s="69" t="s">
        <v>44</v>
      </c>
      <c r="I48" s="67"/>
      <c r="J48" s="68">
        <v>6005</v>
      </c>
      <c r="K48" s="344">
        <v>0.32100000000000001</v>
      </c>
      <c r="L48" s="281" t="str">
        <f>VLOOKUP($J48,[14]Nod!$A$3:$E$981,4,FALSE)</f>
        <v>CHO230</v>
      </c>
      <c r="M48" s="281">
        <f>VLOOKUP($J48,[14]Nod!$A$3:$E$981,5,FALSE)</f>
        <v>6</v>
      </c>
    </row>
    <row r="49" spans="1:13" ht="15" customHeight="1">
      <c r="A49" s="314" t="s">
        <v>339</v>
      </c>
      <c r="C49" s="39">
        <v>6014</v>
      </c>
      <c r="D49" s="331">
        <v>9.99</v>
      </c>
      <c r="E49" s="302">
        <v>0</v>
      </c>
      <c r="F49" s="31" t="str">
        <f>IFERROR(VLOOKUP($C49,[14]Nod!$A$3:$E$982,4,FALSE)," ")</f>
        <v>PRO230</v>
      </c>
      <c r="G49" s="31">
        <f>IFERROR(VLOOKUP($C49,[14]Nod!$A$3:$E$982,5,FALSE)," ")</f>
        <v>1</v>
      </c>
      <c r="H49" s="69" t="s">
        <v>57</v>
      </c>
      <c r="I49" s="67"/>
      <c r="J49" s="68">
        <v>6005</v>
      </c>
      <c r="K49" s="344">
        <v>0.33300000000000002</v>
      </c>
      <c r="L49" s="281" t="str">
        <f>VLOOKUP($J49,[14]Nod!$A$3:$E$981,4,FALSE)</f>
        <v>CHO230</v>
      </c>
      <c r="M49" s="281">
        <f>VLOOKUP($J49,[14]Nod!$A$3:$E$981,5,FALSE)</f>
        <v>6</v>
      </c>
    </row>
    <row r="50" spans="1:13" ht="15" customHeight="1">
      <c r="A50" s="314" t="s">
        <v>338</v>
      </c>
      <c r="C50" s="39">
        <v>6014</v>
      </c>
      <c r="D50" s="331">
        <v>9.99</v>
      </c>
      <c r="E50" s="302">
        <v>0</v>
      </c>
      <c r="F50" s="31" t="str">
        <f>IFERROR(VLOOKUP($C50,[14]Nod!$A$3:$E$982,4,FALSE)," ")</f>
        <v>PRO230</v>
      </c>
      <c r="G50" s="31">
        <f>IFERROR(VLOOKUP($C50,[14]Nod!$A$3:$E$982,5,FALSE)," ")</f>
        <v>1</v>
      </c>
      <c r="H50" s="303" t="s">
        <v>35</v>
      </c>
      <c r="I50" s="304"/>
      <c r="J50" s="306"/>
      <c r="K50" s="65"/>
      <c r="L50" s="281"/>
      <c r="M50" s="281"/>
    </row>
    <row r="51" spans="1:13" ht="15" customHeight="1">
      <c r="A51" s="314" t="s">
        <v>337</v>
      </c>
      <c r="C51" s="39">
        <v>6014</v>
      </c>
      <c r="D51" s="331">
        <v>9.9</v>
      </c>
      <c r="E51" s="302">
        <v>0</v>
      </c>
      <c r="F51" s="31" t="str">
        <f>IFERROR(VLOOKUP($C51,[14]Nod!$A$3:$E$982,4,FALSE)," ")</f>
        <v>PRO230</v>
      </c>
      <c r="G51" s="31">
        <f>IFERROR(VLOOKUP($C51,[14]Nod!$A$3:$E$982,5,FALSE)," ")</f>
        <v>1</v>
      </c>
      <c r="H51" s="307">
        <v>7</v>
      </c>
      <c r="I51" s="299"/>
      <c r="J51" s="327"/>
      <c r="K51" s="345">
        <f>SUM(K52:K69)</f>
        <v>1185.2618253598105</v>
      </c>
      <c r="L51" s="281"/>
      <c r="M51" s="281"/>
    </row>
    <row r="52" spans="1:13" ht="15" customHeight="1">
      <c r="A52" s="314" t="s">
        <v>336</v>
      </c>
      <c r="C52" s="39">
        <v>6014</v>
      </c>
      <c r="D52" s="331">
        <v>105</v>
      </c>
      <c r="E52" s="48">
        <v>6</v>
      </c>
      <c r="F52" s="31" t="str">
        <f>IFERROR(VLOOKUP($C52,[14]Nod!$A$3:$E$982,4,FALSE)," ")</f>
        <v>PRO230</v>
      </c>
      <c r="G52" s="31">
        <f>IFERROR(VLOOKUP($C52,[14]Nod!$A$3:$E$982,5,FALSE)," ")</f>
        <v>1</v>
      </c>
      <c r="H52" s="296" t="s">
        <v>40</v>
      </c>
      <c r="I52" s="67"/>
      <c r="J52" s="68"/>
      <c r="K52" s="346"/>
      <c r="L52" s="281"/>
      <c r="M52" s="281"/>
    </row>
    <row r="53" spans="1:13" ht="15" customHeight="1">
      <c r="A53" s="314" t="s">
        <v>335</v>
      </c>
      <c r="C53" s="39">
        <v>6014</v>
      </c>
      <c r="D53" s="331">
        <v>9.9</v>
      </c>
      <c r="E53" s="48">
        <v>6</v>
      </c>
      <c r="F53" s="31" t="str">
        <f>IFERROR(VLOOKUP($C53,[14]Nod!$A$3:$E$982,4,FALSE)," ")</f>
        <v>PRO230</v>
      </c>
      <c r="G53" s="31">
        <f>IFERROR(VLOOKUP($C53,[14]Nod!$A$3:$E$982,5,FALSE)," ")</f>
        <v>1</v>
      </c>
      <c r="H53" s="57" t="s">
        <v>61</v>
      </c>
      <c r="I53" s="67"/>
      <c r="J53" s="68">
        <v>6002</v>
      </c>
      <c r="K53" s="344">
        <v>491.53724731237821</v>
      </c>
      <c r="L53" s="281" t="str">
        <f>VLOOKUP($J53,[14]Nod!$A$3:$E$981,4,FALSE)</f>
        <v>PAN115</v>
      </c>
      <c r="M53" s="281">
        <f>VLOOKUP($J53,[14]Nod!$A$3:$E$981,5,FALSE)</f>
        <v>7</v>
      </c>
    </row>
    <row r="54" spans="1:13" ht="15" customHeight="1">
      <c r="A54" s="314" t="s">
        <v>334</v>
      </c>
      <c r="C54" s="39">
        <v>6014</v>
      </c>
      <c r="D54" s="331">
        <v>9.9</v>
      </c>
      <c r="E54" s="48">
        <v>6</v>
      </c>
      <c r="F54" s="31" t="str">
        <f>IFERROR(VLOOKUP($C54,[14]Nod!$A$3:$E$982,4,FALSE)," ")</f>
        <v>PRO230</v>
      </c>
      <c r="G54" s="31">
        <f>IFERROR(VLOOKUP($C54,[14]Nod!$A$3:$E$982,5,FALSE)," ")</f>
        <v>1</v>
      </c>
      <c r="H54" s="351" t="s">
        <v>186</v>
      </c>
      <c r="I54" s="67"/>
      <c r="J54" s="68"/>
      <c r="K54" s="346"/>
      <c r="L54" s="281"/>
      <c r="M54" s="281"/>
    </row>
    <row r="55" spans="1:13" ht="15" customHeight="1">
      <c r="A55" s="314" t="s">
        <v>333</v>
      </c>
      <c r="C55" s="39">
        <v>6014</v>
      </c>
      <c r="D55" s="331">
        <v>9.9</v>
      </c>
      <c r="E55" s="48">
        <v>6</v>
      </c>
      <c r="F55" s="31" t="str">
        <f>IFERROR(VLOOKUP($C55,[14]Nod!$A$3:$E$982,4,FALSE)," ")</f>
        <v>PRO230</v>
      </c>
      <c r="G55" s="31">
        <f>IFERROR(VLOOKUP($C55,[14]Nod!$A$3:$E$982,5,FALSE)," ")</f>
        <v>1</v>
      </c>
      <c r="H55" s="57" t="s">
        <v>69</v>
      </c>
      <c r="I55" s="67"/>
      <c r="J55" s="68">
        <v>6002</v>
      </c>
      <c r="K55" s="344">
        <v>0.36599999999999999</v>
      </c>
      <c r="L55" s="281" t="str">
        <f>VLOOKUP($J55,[14]Nod!$A$3:$E$981,4,FALSE)</f>
        <v>PAN115</v>
      </c>
      <c r="M55" s="281">
        <f>VLOOKUP($J55,[14]Nod!$A$3:$E$981,5,FALSE)</f>
        <v>7</v>
      </c>
    </row>
    <row r="56" spans="1:13" ht="15" customHeight="1">
      <c r="A56" s="314" t="s">
        <v>332</v>
      </c>
      <c r="C56" s="39">
        <v>6014</v>
      </c>
      <c r="D56" s="331">
        <v>70</v>
      </c>
      <c r="E56" s="48">
        <v>7</v>
      </c>
      <c r="F56" s="31" t="str">
        <f>IFERROR(VLOOKUP($C56,[14]Nod!$A$3:$E$982,4,FALSE)," ")</f>
        <v>PRO230</v>
      </c>
      <c r="G56" s="31">
        <f>IFERROR(VLOOKUP($C56,[14]Nod!$A$3:$E$982,5,FALSE)," ")</f>
        <v>1</v>
      </c>
      <c r="H56" s="57" t="s">
        <v>331</v>
      </c>
      <c r="I56" s="67"/>
      <c r="J56" s="68">
        <v>6002</v>
      </c>
      <c r="K56" s="344">
        <v>1.2148865</v>
      </c>
      <c r="L56" s="281" t="str">
        <f>VLOOKUP($J56,[14]Nod!$A$3:$E$981,4,FALSE)</f>
        <v>PAN115</v>
      </c>
      <c r="M56" s="281">
        <f>VLOOKUP($J56,[14]Nod!$A$3:$E$981,5,FALSE)</f>
        <v>7</v>
      </c>
    </row>
    <row r="57" spans="1:13" ht="15" customHeight="1">
      <c r="A57" s="314" t="s">
        <v>330</v>
      </c>
      <c r="C57" s="39">
        <v>6014</v>
      </c>
      <c r="D57" s="331">
        <v>10</v>
      </c>
      <c r="E57" s="48">
        <v>7</v>
      </c>
      <c r="F57" s="31" t="str">
        <f>IFERROR(VLOOKUP($C57,[14]Nod!$A$3:$E$982,4,FALSE)," ")</f>
        <v>PRO230</v>
      </c>
      <c r="G57" s="31">
        <f>IFERROR(VLOOKUP($C57,[14]Nod!$A$3:$E$982,5,FALSE)," ")</f>
        <v>1</v>
      </c>
      <c r="H57" s="57" t="s">
        <v>74</v>
      </c>
      <c r="I57" s="67"/>
      <c r="J57" s="68">
        <v>6002</v>
      </c>
      <c r="K57" s="344">
        <v>0.32300000000000001</v>
      </c>
      <c r="L57" s="281" t="str">
        <f>VLOOKUP($J57,[14]Nod!$A$3:$E$981,4,FALSE)</f>
        <v>PAN115</v>
      </c>
      <c r="M57" s="281">
        <f>VLOOKUP($J57,[14]Nod!$A$3:$E$981,5,FALSE)</f>
        <v>7</v>
      </c>
    </row>
    <row r="58" spans="1:13" ht="15" customHeight="1">
      <c r="A58" s="314" t="s">
        <v>329</v>
      </c>
      <c r="C58" s="39">
        <v>6014</v>
      </c>
      <c r="D58" s="331">
        <v>10</v>
      </c>
      <c r="E58" s="48">
        <v>7</v>
      </c>
      <c r="F58" s="31" t="str">
        <f>IFERROR(VLOOKUP($C58,[14]Nod!$A$3:$E$982,4,FALSE)," ")</f>
        <v>PRO230</v>
      </c>
      <c r="G58" s="31">
        <f>IFERROR(VLOOKUP($C58,[14]Nod!$A$3:$E$982,5,FALSE)," ")</f>
        <v>1</v>
      </c>
      <c r="H58" s="57" t="s">
        <v>76</v>
      </c>
      <c r="I58" s="67"/>
      <c r="J58" s="68">
        <v>6002</v>
      </c>
      <c r="K58" s="344">
        <v>0</v>
      </c>
      <c r="L58" s="281" t="str">
        <f>VLOOKUP($J58,[14]Nod!$A$3:$E$981,4,FALSE)</f>
        <v>PAN115</v>
      </c>
      <c r="M58" s="281">
        <f>VLOOKUP($J58,[14]Nod!$A$3:$E$981,5,FALSE)</f>
        <v>7</v>
      </c>
    </row>
    <row r="59" spans="1:13" ht="15" customHeight="1">
      <c r="A59" s="314" t="s">
        <v>328</v>
      </c>
      <c r="C59" s="39">
        <v>6014</v>
      </c>
      <c r="D59" s="331">
        <v>10</v>
      </c>
      <c r="E59" s="48">
        <v>7</v>
      </c>
      <c r="F59" s="31" t="str">
        <f>IFERROR(VLOOKUP($C59,[14]Nod!$A$3:$E$982,4,FALSE)," ")</f>
        <v>PRO230</v>
      </c>
      <c r="G59" s="31">
        <f>IFERROR(VLOOKUP($C59,[14]Nod!$A$3:$E$982,5,FALSE)," ")</f>
        <v>1</v>
      </c>
      <c r="H59" s="350" t="s">
        <v>44</v>
      </c>
      <c r="I59" s="67"/>
      <c r="J59" s="68">
        <v>6002</v>
      </c>
      <c r="K59" s="344">
        <v>2.775719</v>
      </c>
      <c r="L59" s="281" t="str">
        <f>VLOOKUP($J59,[14]Nod!$A$3:$E$981,4,FALSE)</f>
        <v>PAN115</v>
      </c>
      <c r="M59" s="281">
        <f>VLOOKUP($J59,[14]Nod!$A$3:$E$981,5,FALSE)</f>
        <v>7</v>
      </c>
    </row>
    <row r="60" spans="1:13" ht="15" customHeight="1">
      <c r="A60" s="314" t="s">
        <v>327</v>
      </c>
      <c r="C60" s="39">
        <v>6014</v>
      </c>
      <c r="D60" s="331">
        <v>10</v>
      </c>
      <c r="E60" s="48">
        <v>7</v>
      </c>
      <c r="F60" s="31" t="str">
        <f>IFERROR(VLOOKUP($C60,[14]Nod!$A$3:$E$982,4,FALSE)," ")</f>
        <v>PRO230</v>
      </c>
      <c r="G60" s="31">
        <f>IFERROR(VLOOKUP($C60,[14]Nod!$A$3:$E$982,5,FALSE)," ")</f>
        <v>1</v>
      </c>
      <c r="H60" s="352"/>
      <c r="I60" s="67"/>
      <c r="J60" s="68"/>
      <c r="K60" s="346"/>
      <c r="L60" s="281"/>
      <c r="M60" s="281"/>
    </row>
    <row r="61" spans="1:13" ht="15" customHeight="1">
      <c r="A61" s="314" t="s">
        <v>326</v>
      </c>
      <c r="C61" s="39">
        <v>6014</v>
      </c>
      <c r="D61" s="331"/>
      <c r="E61" s="48"/>
      <c r="F61" s="31" t="str">
        <f>IFERROR(VLOOKUP($C61,[14]Nod!$A$3:$E$982,4,FALSE)," ")</f>
        <v>PRO230</v>
      </c>
      <c r="G61" s="31">
        <f>IFERROR(VLOOKUP($C61,[14]Nod!$A$3:$E$982,5,FALSE)," ")</f>
        <v>1</v>
      </c>
      <c r="H61" s="351" t="s">
        <v>60</v>
      </c>
      <c r="I61" s="67"/>
      <c r="J61" s="68"/>
      <c r="K61" s="346"/>
      <c r="L61" s="281"/>
      <c r="M61" s="281"/>
    </row>
    <row r="62" spans="1:13" ht="15" customHeight="1" thickBot="1">
      <c r="A62" s="49" t="s">
        <v>35</v>
      </c>
      <c r="B62" s="3"/>
      <c r="C62" s="40"/>
      <c r="D62" s="333"/>
      <c r="E62" s="302"/>
      <c r="F62" s="31" t="str">
        <f>IFERROR(VLOOKUP($C62,[14]Nod!$A$3:$E$982,4,FALSE)," ")</f>
        <v xml:space="preserve"> </v>
      </c>
      <c r="G62" s="31" t="str">
        <f>IFERROR(VLOOKUP($C62,[14]Nod!$A$3:$E$982,5,FALSE)," ")</f>
        <v xml:space="preserve"> </v>
      </c>
      <c r="H62" s="57" t="s">
        <v>61</v>
      </c>
      <c r="I62" s="67"/>
      <c r="J62" s="68">
        <v>6002</v>
      </c>
      <c r="K62" s="344">
        <v>278.24036429062511</v>
      </c>
      <c r="L62" s="281" t="str">
        <f>VLOOKUP($J62,[14]Nod!$A$3:$E$981,4,FALSE)</f>
        <v>PAN115</v>
      </c>
      <c r="M62" s="281">
        <f>VLOOKUP($J62,[14]Nod!$A$3:$E$981,5,FALSE)</f>
        <v>7</v>
      </c>
    </row>
    <row r="63" spans="1:13" ht="15" customHeight="1">
      <c r="A63" s="50">
        <v>2</v>
      </c>
      <c r="B63" s="44"/>
      <c r="C63" s="45"/>
      <c r="D63" s="332">
        <f>SUM(D64:D82)</f>
        <v>730.88000000000011</v>
      </c>
      <c r="E63" s="297"/>
      <c r="F63" s="31" t="str">
        <f>IFERROR(VLOOKUP($C63,[14]Nod!$A$3:$E$982,4,FALSE)," ")</f>
        <v xml:space="preserve"> </v>
      </c>
      <c r="G63" s="31" t="str">
        <f>IFERROR(VLOOKUP($C63,[14]Nod!$A$3:$E$982,5,FALSE)," ")</f>
        <v xml:space="preserve"> </v>
      </c>
      <c r="H63" s="57" t="s">
        <v>63</v>
      </c>
      <c r="I63" s="67"/>
      <c r="J63" s="68">
        <v>6002</v>
      </c>
      <c r="K63" s="344">
        <v>323.27230825680715</v>
      </c>
      <c r="L63" s="281" t="str">
        <f>VLOOKUP($J63,[14]Nod!$A$3:$E$981,4,FALSE)</f>
        <v>PAN115</v>
      </c>
      <c r="M63" s="281">
        <f>VLOOKUP($J63,[14]Nod!$A$3:$E$981,5,FALSE)</f>
        <v>7</v>
      </c>
    </row>
    <row r="64" spans="1:13" ht="15" customHeight="1">
      <c r="A64" s="301" t="s">
        <v>43</v>
      </c>
      <c r="B64" s="3"/>
      <c r="C64" s="40">
        <v>6096</v>
      </c>
      <c r="D64" s="331">
        <v>300</v>
      </c>
      <c r="E64" s="302">
        <v>0</v>
      </c>
      <c r="F64" s="31" t="str">
        <f>IFERROR(VLOOKUP($C64,[14]Nod!$A$3:$E$982,4,FALSE)," ")</f>
        <v>FOR230</v>
      </c>
      <c r="G64" s="31">
        <f>IFERROR(VLOOKUP($C64,[14]Nod!$A$3:$E$982,5,FALSE)," ")</f>
        <v>2</v>
      </c>
      <c r="H64" s="57" t="s">
        <v>65</v>
      </c>
      <c r="I64" s="67"/>
      <c r="J64" s="68">
        <v>6470</v>
      </c>
      <c r="K64" s="344">
        <v>63.549700000000001</v>
      </c>
      <c r="L64" s="281" t="str">
        <f>VLOOKUP($J64,[14]Nod!$A$3:$E$981,4,FALSE)</f>
        <v>24DIC230</v>
      </c>
      <c r="M64" s="281">
        <f>VLOOKUP($J64,[14]Nod!$A$3:$E$981,5,FALSE)</f>
        <v>7</v>
      </c>
    </row>
    <row r="65" spans="1:13" ht="15" customHeight="1">
      <c r="A65" s="301" t="s">
        <v>194</v>
      </c>
      <c r="B65" s="3"/>
      <c r="C65" s="40">
        <v>6179</v>
      </c>
      <c r="D65" s="331">
        <v>120</v>
      </c>
      <c r="E65" s="302">
        <v>0</v>
      </c>
      <c r="F65" s="31" t="str">
        <f>IFERROR(VLOOKUP($C65,[14]Nod!$A$3:$E$982,4,FALSE)," ")</f>
        <v>GUA230</v>
      </c>
      <c r="G65" s="31">
        <f>IFERROR(VLOOKUP($C65,[14]Nod!$A$3:$E$982,5,FALSE)," ")</f>
        <v>2</v>
      </c>
      <c r="H65" s="351" t="s">
        <v>185</v>
      </c>
      <c r="I65" s="67"/>
      <c r="J65" s="68"/>
      <c r="K65" s="346"/>
      <c r="L65" s="281"/>
      <c r="M65" s="281"/>
    </row>
    <row r="66" spans="1:13" ht="15" customHeight="1">
      <c r="A66" s="301" t="s">
        <v>46</v>
      </c>
      <c r="B66" s="3"/>
      <c r="C66" s="40">
        <v>6179</v>
      </c>
      <c r="D66" s="331">
        <v>25.34</v>
      </c>
      <c r="E66" s="302">
        <v>0</v>
      </c>
      <c r="F66" s="31" t="str">
        <f>IFERROR(VLOOKUP($C66,[14]Nod!$A$3:$E$982,4,FALSE)," ")</f>
        <v>GUA230</v>
      </c>
      <c r="G66" s="31">
        <f>IFERROR(VLOOKUP($C66,[14]Nod!$A$3:$E$982,5,FALSE)," ")</f>
        <v>2</v>
      </c>
      <c r="H66" s="57" t="s">
        <v>68</v>
      </c>
      <c r="I66" s="67"/>
      <c r="J66" s="68">
        <v>6024</v>
      </c>
      <c r="K66" s="344">
        <v>22.443999999999999</v>
      </c>
      <c r="L66" s="281" t="str">
        <f>VLOOKUP($J66,[14]Nod!$A$3:$E$981,4,FALSE)</f>
        <v>CHI115</v>
      </c>
      <c r="M66" s="281">
        <f>VLOOKUP($J66,[14]Nod!$A$3:$E$981,5,FALSE)</f>
        <v>7</v>
      </c>
    </row>
    <row r="67" spans="1:13" ht="15" customHeight="1">
      <c r="A67" s="301" t="s">
        <v>48</v>
      </c>
      <c r="B67" s="3"/>
      <c r="C67" s="40">
        <v>6179</v>
      </c>
      <c r="D67" s="331">
        <v>35</v>
      </c>
      <c r="E67" s="302">
        <v>0</v>
      </c>
      <c r="F67" s="31" t="str">
        <f>IFERROR(VLOOKUP($C67,[14]Nod!$A$3:$E$982,4,FALSE)," ")</f>
        <v>GUA230</v>
      </c>
      <c r="G67" s="31">
        <f>IFERROR(VLOOKUP($C67,[14]Nod!$A$3:$E$982,5,FALSE)," ")</f>
        <v>2</v>
      </c>
      <c r="H67" s="57" t="s">
        <v>72</v>
      </c>
      <c r="I67" s="67"/>
      <c r="J67" s="68">
        <v>6002</v>
      </c>
      <c r="K67" s="344">
        <v>0.18659999999999999</v>
      </c>
      <c r="L67" s="281" t="str">
        <f>VLOOKUP($J67,[14]Nod!$A$3:$E$981,4,FALSE)</f>
        <v>PAN115</v>
      </c>
      <c r="M67" s="281">
        <f>VLOOKUP($J67,[14]Nod!$A$3:$E$981,5,FALSE)</f>
        <v>7</v>
      </c>
    </row>
    <row r="68" spans="1:13" ht="15" customHeight="1">
      <c r="A68" s="301" t="s">
        <v>50</v>
      </c>
      <c r="B68" s="3"/>
      <c r="C68" s="40">
        <v>6179</v>
      </c>
      <c r="D68" s="331">
        <v>58.66</v>
      </c>
      <c r="E68" s="302">
        <v>0</v>
      </c>
      <c r="F68" s="31" t="str">
        <f>IFERROR(VLOOKUP($C68,[14]Nod!$A$3:$E$982,4,FALSE)," ")</f>
        <v>GUA230</v>
      </c>
      <c r="G68" s="31">
        <f>IFERROR(VLOOKUP($C68,[14]Nod!$A$3:$E$982,5,FALSE)," ")</f>
        <v>2</v>
      </c>
      <c r="H68" s="57" t="s">
        <v>78</v>
      </c>
      <c r="I68" s="67"/>
      <c r="J68" s="68">
        <v>6002</v>
      </c>
      <c r="K68" s="344">
        <v>0</v>
      </c>
      <c r="L68" s="281" t="str">
        <f>VLOOKUP($J68,[14]Nod!$A$3:$E$981,4,FALSE)</f>
        <v>PAN115</v>
      </c>
      <c r="M68" s="281">
        <f>VLOOKUP($J68,[14]Nod!$A$3:$E$981,5,FALSE)</f>
        <v>7</v>
      </c>
    </row>
    <row r="69" spans="1:13" ht="15" customHeight="1">
      <c r="A69" s="301" t="s">
        <v>325</v>
      </c>
      <c r="B69" s="3"/>
      <c r="C69" s="40">
        <v>6179</v>
      </c>
      <c r="D69" s="331">
        <v>9.69</v>
      </c>
      <c r="E69" s="302">
        <v>0</v>
      </c>
      <c r="F69" s="31" t="str">
        <f>IFERROR(VLOOKUP($C69,[14]Nod!$A$3:$E$982,4,FALSE)," ")</f>
        <v>GUA230</v>
      </c>
      <c r="G69" s="31">
        <f>IFERROR(VLOOKUP($C69,[14]Nod!$A$3:$E$982,5,FALSE)," ")</f>
        <v>2</v>
      </c>
      <c r="H69" s="350" t="s">
        <v>44</v>
      </c>
      <c r="I69" s="67"/>
      <c r="J69" s="68">
        <v>6002</v>
      </c>
      <c r="K69" s="344">
        <v>1.3520000000000001</v>
      </c>
      <c r="L69" s="281" t="str">
        <f>VLOOKUP($J69,[14]Nod!$A$3:$E$981,4,FALSE)</f>
        <v>PAN115</v>
      </c>
      <c r="M69" s="281">
        <f>VLOOKUP($J69,[14]Nod!$A$3:$E$981,5,FALSE)</f>
        <v>7</v>
      </c>
    </row>
    <row r="70" spans="1:13" ht="15" customHeight="1">
      <c r="A70" s="301" t="s">
        <v>324</v>
      </c>
      <c r="B70" s="3"/>
      <c r="C70" s="40">
        <v>6179</v>
      </c>
      <c r="D70" s="331">
        <v>8.1</v>
      </c>
      <c r="E70" s="302">
        <v>0</v>
      </c>
      <c r="F70" s="31" t="str">
        <f>IFERROR(VLOOKUP($C70,[14]Nod!$A$3:$E$982,4,FALSE)," ")</f>
        <v>GUA230</v>
      </c>
      <c r="G70" s="31">
        <f>IFERROR(VLOOKUP($C70,[14]Nod!$A$3:$E$982,5,FALSE)," ")</f>
        <v>2</v>
      </c>
      <c r="H70" s="303" t="s">
        <v>35</v>
      </c>
      <c r="I70" s="304"/>
      <c r="J70" s="306"/>
      <c r="K70" s="346"/>
      <c r="L70" s="281"/>
      <c r="M70" s="281"/>
    </row>
    <row r="71" spans="1:13" ht="15" customHeight="1">
      <c r="A71" s="301" t="s">
        <v>323</v>
      </c>
      <c r="B71" s="3"/>
      <c r="C71" s="40">
        <v>6179</v>
      </c>
      <c r="D71" s="331">
        <v>9.99</v>
      </c>
      <c r="E71" s="302">
        <v>0</v>
      </c>
      <c r="F71" s="31" t="str">
        <f>IFERROR(VLOOKUP($C71,[14]Nod!$A$3:$E$982,4,FALSE)," ")</f>
        <v>GUA230</v>
      </c>
      <c r="G71" s="31">
        <f>IFERROR(VLOOKUP($C71,[14]Nod!$A$3:$E$982,5,FALSE)," ")</f>
        <v>2</v>
      </c>
      <c r="H71" s="307">
        <v>8</v>
      </c>
      <c r="I71" s="299"/>
      <c r="J71" s="328"/>
      <c r="K71" s="345">
        <f>SUM(K72:K73)</f>
        <v>1.31</v>
      </c>
      <c r="L71" s="281"/>
      <c r="M71" s="281"/>
    </row>
    <row r="72" spans="1:13" ht="15" customHeight="1">
      <c r="A72" s="301" t="s">
        <v>322</v>
      </c>
      <c r="B72" s="3"/>
      <c r="C72" s="40">
        <v>6179</v>
      </c>
      <c r="D72" s="331">
        <v>7.5</v>
      </c>
      <c r="E72" s="302">
        <v>0</v>
      </c>
      <c r="F72" s="31" t="str">
        <f>IFERROR(VLOOKUP($C72,[14]Nod!$A$3:$E$982,4,FALSE)," ")</f>
        <v>GUA230</v>
      </c>
      <c r="G72" s="31">
        <f>IFERROR(VLOOKUP($C72,[14]Nod!$A$3:$E$982,5,FALSE)," ")</f>
        <v>2</v>
      </c>
      <c r="H72" s="296" t="s">
        <v>60</v>
      </c>
      <c r="I72" s="67"/>
      <c r="J72" s="68"/>
      <c r="K72" s="346"/>
      <c r="L72" s="281"/>
      <c r="M72" s="281"/>
    </row>
    <row r="73" spans="1:13" ht="15" customHeight="1">
      <c r="A73" s="301" t="s">
        <v>321</v>
      </c>
      <c r="B73" s="3"/>
      <c r="C73" s="40">
        <v>6179</v>
      </c>
      <c r="D73" s="331">
        <v>2.5</v>
      </c>
      <c r="E73" s="302">
        <v>0</v>
      </c>
      <c r="F73" s="31" t="str">
        <f>IFERROR(VLOOKUP($C73,[14]Nod!$A$3:$E$982,4,FALSE)," ")</f>
        <v>GUA230</v>
      </c>
      <c r="G73" s="31">
        <f>IFERROR(VLOOKUP($C73,[14]Nod!$A$3:$E$982,5,FALSE)," ")</f>
        <v>2</v>
      </c>
      <c r="H73" s="349" t="s">
        <v>82</v>
      </c>
      <c r="I73" s="67"/>
      <c r="J73" s="68">
        <v>6100</v>
      </c>
      <c r="K73" s="348">
        <v>1.31</v>
      </c>
      <c r="L73" s="281" t="str">
        <f>VLOOKUP($J73,[14]Nod!$A$3:$E$981,4,FALSE)</f>
        <v>BAY230</v>
      </c>
      <c r="M73" s="281">
        <f>VLOOKUP($J73,[14]Nod!$A$3:$E$981,5,FALSE)</f>
        <v>8</v>
      </c>
    </row>
    <row r="74" spans="1:13" ht="15" customHeight="1">
      <c r="A74" s="314" t="s">
        <v>320</v>
      </c>
      <c r="B74" s="3"/>
      <c r="C74" s="40">
        <v>6179</v>
      </c>
      <c r="D74" s="331">
        <v>9.98</v>
      </c>
      <c r="E74" s="302">
        <v>0</v>
      </c>
      <c r="F74" s="31" t="str">
        <f>IFERROR(VLOOKUP($C74,[14]Nod!$A$3:$E$982,4,FALSE)," ")</f>
        <v>GUA230</v>
      </c>
      <c r="G74" s="31">
        <f>IFERROR(VLOOKUP($C74,[14]Nod!$A$3:$E$982,5,FALSE)," ")</f>
        <v>2</v>
      </c>
      <c r="H74" s="303" t="s">
        <v>35</v>
      </c>
      <c r="I74" s="304"/>
      <c r="J74" s="306"/>
      <c r="K74" s="346"/>
      <c r="L74" s="281"/>
      <c r="M74" s="281"/>
    </row>
    <row r="75" spans="1:13" ht="15" customHeight="1">
      <c r="A75" s="347" t="s">
        <v>319</v>
      </c>
      <c r="B75" s="3"/>
      <c r="C75" s="40">
        <v>6179</v>
      </c>
      <c r="D75" s="331">
        <v>9.99</v>
      </c>
      <c r="E75" s="302">
        <v>0</v>
      </c>
      <c r="F75" s="31" t="str">
        <f>IFERROR(VLOOKUP($C75,[14]Nod!$A$3:$E$982,4,FALSE)," ")</f>
        <v>GUA230</v>
      </c>
      <c r="G75" s="31">
        <f>IFERROR(VLOOKUP($C75,[14]Nod!$A$3:$E$982,5,FALSE)," ")</f>
        <v>2</v>
      </c>
      <c r="H75" s="307">
        <v>9</v>
      </c>
      <c r="I75" s="299"/>
      <c r="J75" s="327"/>
      <c r="K75" s="345">
        <f>SUM(K76:K80)</f>
        <v>125.84747418222581</v>
      </c>
      <c r="L75" s="281"/>
      <c r="M75" s="281"/>
    </row>
    <row r="76" spans="1:13" ht="15" customHeight="1">
      <c r="A76" s="347" t="s">
        <v>318</v>
      </c>
      <c r="B76" s="3"/>
      <c r="C76" s="40">
        <v>6179</v>
      </c>
      <c r="D76" s="331">
        <v>9.99</v>
      </c>
      <c r="E76" s="302">
        <v>0</v>
      </c>
      <c r="F76" s="31" t="str">
        <f>IFERROR(VLOOKUP($C76,[14]Nod!$A$3:$E$982,4,FALSE)," ")</f>
        <v>GUA230</v>
      </c>
      <c r="G76" s="31">
        <f>IFERROR(VLOOKUP($C76,[14]Nod!$A$3:$E$982,5,FALSE)," ")</f>
        <v>2</v>
      </c>
      <c r="H76" s="296" t="s">
        <v>60</v>
      </c>
      <c r="I76" s="67"/>
      <c r="J76" s="68"/>
      <c r="K76" s="346"/>
      <c r="L76" s="281"/>
      <c r="M76" s="281"/>
    </row>
    <row r="77" spans="1:13" ht="15" customHeight="1">
      <c r="A77" s="347" t="s">
        <v>317</v>
      </c>
      <c r="B77" s="3"/>
      <c r="C77" s="40">
        <v>6179</v>
      </c>
      <c r="D77" s="331">
        <v>9.99</v>
      </c>
      <c r="E77" s="302">
        <v>0</v>
      </c>
      <c r="F77" s="31" t="str">
        <f>IFERROR(VLOOKUP($C77,[14]Nod!$A$3:$E$982,4,FALSE)," ")</f>
        <v>GUA230</v>
      </c>
      <c r="G77" s="31">
        <f>IFERROR(VLOOKUP($C77,[14]Nod!$A$3:$E$982,5,FALSE)," ")</f>
        <v>2</v>
      </c>
      <c r="H77" s="69" t="s">
        <v>85</v>
      </c>
      <c r="I77" s="67"/>
      <c r="J77" s="68">
        <v>6059</v>
      </c>
      <c r="K77" s="344">
        <v>117.90547418222582</v>
      </c>
      <c r="L77" s="281" t="str">
        <f>VLOOKUP($J77,[14]Nod!$A$3:$E$981,4,FALSE)</f>
        <v>LM1115</v>
      </c>
      <c r="M77" s="281">
        <f>VLOOKUP($J77,[14]Nod!$A$3:$E$981,5,FALSE)</f>
        <v>9</v>
      </c>
    </row>
    <row r="78" spans="1:13" ht="15" customHeight="1">
      <c r="A78" s="314" t="s">
        <v>316</v>
      </c>
      <c r="B78" s="3"/>
      <c r="C78" s="40">
        <v>6179</v>
      </c>
      <c r="D78" s="331">
        <v>80</v>
      </c>
      <c r="E78" s="302">
        <v>1</v>
      </c>
      <c r="F78" s="31" t="str">
        <f>IFERROR(VLOOKUP($C78,[14]Nod!$A$3:$E$982,4,FALSE)," ")</f>
        <v>GUA230</v>
      </c>
      <c r="G78" s="31">
        <f>IFERROR(VLOOKUP($C78,[14]Nod!$A$3:$E$982,5,FALSE)," ")</f>
        <v>2</v>
      </c>
      <c r="H78" s="296" t="s">
        <v>42</v>
      </c>
      <c r="I78" s="67"/>
      <c r="J78" s="68"/>
      <c r="K78" s="346"/>
      <c r="L78" s="281"/>
      <c r="M78" s="281"/>
    </row>
    <row r="79" spans="1:13" ht="15" customHeight="1">
      <c r="A79" s="314" t="s">
        <v>315</v>
      </c>
      <c r="B79" s="3"/>
      <c r="C79" s="40">
        <v>6179</v>
      </c>
      <c r="D79" s="331">
        <v>10</v>
      </c>
      <c r="E79" s="302">
        <v>6</v>
      </c>
      <c r="F79" s="31" t="str">
        <f>IFERROR(VLOOKUP($C79,[14]Nod!$A$3:$E$982,4,FALSE)," ")</f>
        <v>GUA230</v>
      </c>
      <c r="G79" s="31">
        <f>IFERROR(VLOOKUP($C79,[14]Nod!$A$3:$E$982,5,FALSE)," ")</f>
        <v>2</v>
      </c>
      <c r="H79" s="69" t="s">
        <v>88</v>
      </c>
      <c r="I79" s="67"/>
      <c r="J79" s="68">
        <v>6170</v>
      </c>
      <c r="K79" s="344">
        <v>7.25</v>
      </c>
      <c r="L79" s="281" t="str">
        <f>VLOOKUP($J79,[14]Nod!$A$3:$E$981,4,FALSE)</f>
        <v>CPA115</v>
      </c>
      <c r="M79" s="281">
        <f>VLOOKUP($J79,[14]Nod!$A$3:$E$981,5,FALSE)</f>
        <v>9</v>
      </c>
    </row>
    <row r="80" spans="1:13" ht="15" customHeight="1">
      <c r="A80" s="314" t="s">
        <v>314</v>
      </c>
      <c r="B80" s="3"/>
      <c r="C80" s="40">
        <v>6179</v>
      </c>
      <c r="D80" s="331">
        <v>4.1500000000000004</v>
      </c>
      <c r="E80" s="302">
        <v>7</v>
      </c>
      <c r="F80" s="31" t="str">
        <f>IFERROR(VLOOKUP($C80,[14]Nod!$A$3:$E$982,4,FALSE)," ")</f>
        <v>GUA230</v>
      </c>
      <c r="G80" s="31">
        <f>IFERROR(VLOOKUP($C80,[14]Nod!$A$3:$E$982,5,FALSE)," ")</f>
        <v>2</v>
      </c>
      <c r="H80" s="69" t="s">
        <v>44</v>
      </c>
      <c r="I80" s="67"/>
      <c r="J80" s="68">
        <v>6059</v>
      </c>
      <c r="K80" s="344">
        <v>0.69199999999999995</v>
      </c>
      <c r="L80" s="281" t="str">
        <f>VLOOKUP($J80,[14]Nod!$A$3:$E$981,4,FALSE)</f>
        <v>LM1115</v>
      </c>
      <c r="M80" s="281">
        <f>VLOOKUP($J80,[14]Nod!$A$3:$E$981,5,FALSE)</f>
        <v>9</v>
      </c>
    </row>
    <row r="81" spans="1:13" ht="15" customHeight="1">
      <c r="A81" s="314" t="s">
        <v>313</v>
      </c>
      <c r="B81" s="3"/>
      <c r="C81" s="40">
        <v>6179</v>
      </c>
      <c r="D81" s="331">
        <v>20</v>
      </c>
      <c r="E81" s="302">
        <v>7</v>
      </c>
      <c r="F81" s="31" t="str">
        <f>IFERROR(VLOOKUP($C81,[14]Nod!$A$3:$E$982,4,FALSE)," ")</f>
        <v>GUA230</v>
      </c>
      <c r="G81" s="31">
        <f>IFERROR(VLOOKUP($C81,[14]Nod!$A$3:$E$982,5,FALSE)," ")</f>
        <v>2</v>
      </c>
      <c r="H81" s="303" t="s">
        <v>35</v>
      </c>
      <c r="I81" s="304"/>
      <c r="J81" s="306"/>
      <c r="K81" s="346"/>
      <c r="L81" s="281"/>
      <c r="M81" s="281"/>
    </row>
    <row r="82" spans="1:13" ht="15" customHeight="1">
      <c r="A82" s="314" t="s">
        <v>312</v>
      </c>
      <c r="B82" s="3"/>
      <c r="C82" s="40"/>
      <c r="D82" s="331"/>
      <c r="E82" s="302"/>
      <c r="F82" s="31" t="str">
        <f>IFERROR(VLOOKUP($C82,[14]Nod!$A$3:$E$982,4,FALSE)," ")</f>
        <v xml:space="preserve"> </v>
      </c>
      <c r="G82" s="31" t="str">
        <f>IFERROR(VLOOKUP($C82,[14]Nod!$A$3:$E$982,5,FALSE)," ")</f>
        <v xml:space="preserve"> </v>
      </c>
      <c r="H82" s="309">
        <v>10</v>
      </c>
      <c r="I82" s="310"/>
      <c r="J82" s="326"/>
      <c r="K82" s="345">
        <f>SUM(K83:K85)</f>
        <v>57.779453498797743</v>
      </c>
      <c r="L82" s="281"/>
      <c r="M82" s="281"/>
    </row>
    <row r="83" spans="1:13" ht="15" customHeight="1" thickBot="1">
      <c r="A83" s="53" t="s">
        <v>35</v>
      </c>
      <c r="B83" s="42"/>
      <c r="C83" s="43"/>
      <c r="D83" s="333"/>
      <c r="E83" s="315"/>
      <c r="F83" s="31" t="str">
        <f>IFERROR(VLOOKUP($C83,[14]Nod!$A$3:$E$982,4,FALSE)," ")</f>
        <v xml:space="preserve"> </v>
      </c>
      <c r="G83" s="31" t="str">
        <f>IFERROR(VLOOKUP($C83,[14]Nod!$A$3:$E$982,5,FALSE)," ")</f>
        <v xml:space="preserve"> </v>
      </c>
      <c r="H83" s="296" t="s">
        <v>29</v>
      </c>
      <c r="I83" s="67"/>
      <c r="J83" s="68"/>
      <c r="K83" s="344"/>
      <c r="L83" s="281"/>
      <c r="M83" s="281"/>
    </row>
    <row r="84" spans="1:13" ht="15" customHeight="1">
      <c r="A84" s="33">
        <v>3</v>
      </c>
      <c r="B84" s="34"/>
      <c r="C84" s="35"/>
      <c r="D84" s="332">
        <f>SUM(D85:D93)</f>
        <v>178.73000000000005</v>
      </c>
      <c r="E84" s="317"/>
      <c r="F84" s="31" t="str">
        <f>IFERROR(VLOOKUP($C84,[14]Nod!$A$3:$E$982,4,FALSE)," ")</f>
        <v xml:space="preserve"> </v>
      </c>
      <c r="G84" s="31" t="str">
        <f>IFERROR(VLOOKUP($C84,[14]Nod!$A$3:$E$982,5,FALSE)," ")</f>
        <v xml:space="preserve"> </v>
      </c>
      <c r="H84" s="69" t="s">
        <v>208</v>
      </c>
      <c r="I84" s="67"/>
      <c r="J84" s="68">
        <v>6340</v>
      </c>
      <c r="K84" s="344">
        <v>29.845370278678843</v>
      </c>
      <c r="L84" s="281" t="str">
        <f>VLOOKUP($J84,[14]Nod!$A$3:$E$981,4,FALSE)</f>
        <v>CAN230</v>
      </c>
      <c r="M84" s="281">
        <f>VLOOKUP($J84,[14]Nod!$A$3:$E$981,5,FALSE)</f>
        <v>10</v>
      </c>
    </row>
    <row r="85" spans="1:13" ht="15" customHeight="1">
      <c r="A85" s="301" t="s">
        <v>52</v>
      </c>
      <c r="B85" s="3"/>
      <c r="C85" s="40">
        <v>6087</v>
      </c>
      <c r="D85" s="331">
        <v>47.2</v>
      </c>
      <c r="E85" s="302">
        <v>0</v>
      </c>
      <c r="F85" s="31" t="str">
        <f>IFERROR(VLOOKUP($C85,[14]Nod!$A$3:$E$982,4,FALSE)," ")</f>
        <v>CAL115</v>
      </c>
      <c r="G85" s="31">
        <f>IFERROR(VLOOKUP($C85,[14]Nod!$A$3:$E$982,5,FALSE)," ")</f>
        <v>3</v>
      </c>
      <c r="H85" s="69" t="s">
        <v>99</v>
      </c>
      <c r="I85" s="67"/>
      <c r="J85" s="68">
        <v>6340</v>
      </c>
      <c r="K85" s="344">
        <v>27.9340832201189</v>
      </c>
      <c r="L85" s="281" t="str">
        <f>VLOOKUP($J85,[14]Nod!$A$3:$E$981,4,FALSE)</f>
        <v>CAN230</v>
      </c>
      <c r="M85" s="281">
        <f>VLOOKUP($J85,[14]Nod!$A$3:$E$981,5,FALSE)</f>
        <v>10</v>
      </c>
    </row>
    <row r="86" spans="1:13" ht="15" customHeight="1">
      <c r="A86" s="301" t="s">
        <v>54</v>
      </c>
      <c r="B86" s="3"/>
      <c r="C86" s="40">
        <v>6087</v>
      </c>
      <c r="D86" s="331">
        <v>54.76</v>
      </c>
      <c r="E86" s="302">
        <v>0</v>
      </c>
      <c r="F86" s="31" t="str">
        <f>IFERROR(VLOOKUP($C86,[14]Nod!$A$3:$E$982,4,FALSE)," ")</f>
        <v>CAL115</v>
      </c>
      <c r="G86" s="31">
        <f>IFERROR(VLOOKUP($C86,[14]Nod!$A$3:$E$982,5,FALSE)," ")</f>
        <v>3</v>
      </c>
      <c r="H86" s="303" t="s">
        <v>35</v>
      </c>
      <c r="I86" s="304"/>
      <c r="J86" s="305"/>
      <c r="K86" s="343"/>
      <c r="L86" s="281"/>
      <c r="M86" s="281"/>
    </row>
    <row r="87" spans="1:13" ht="15" customHeight="1">
      <c r="A87" s="301" t="s">
        <v>55</v>
      </c>
      <c r="B87" s="3"/>
      <c r="C87" s="40">
        <v>6087</v>
      </c>
      <c r="D87" s="331">
        <v>18</v>
      </c>
      <c r="E87" s="302">
        <v>0</v>
      </c>
      <c r="F87" s="31" t="str">
        <f>IFERROR(VLOOKUP($C87,[14]Nod!$A$3:$E$982,4,FALSE)," ")</f>
        <v>CAL115</v>
      </c>
      <c r="G87" s="31">
        <f>IFERROR(VLOOKUP($C87,[14]Nod!$A$3:$E$982,5,FALSE)," ")</f>
        <v>3</v>
      </c>
    </row>
    <row r="88" spans="1:13" ht="15" customHeight="1">
      <c r="A88" s="301" t="s">
        <v>56</v>
      </c>
      <c r="B88" s="3"/>
      <c r="C88" s="40">
        <v>6087</v>
      </c>
      <c r="D88" s="331">
        <v>15.5</v>
      </c>
      <c r="E88" s="302">
        <v>0</v>
      </c>
      <c r="F88" s="31" t="str">
        <f>IFERROR(VLOOKUP($C88,[14]Nod!$A$3:$E$982,4,FALSE)," ")</f>
        <v>CAL115</v>
      </c>
      <c r="G88" s="31">
        <f>IFERROR(VLOOKUP($C88,[14]Nod!$A$3:$E$982,5,FALSE)," ")</f>
        <v>3</v>
      </c>
      <c r="L88" s="281"/>
      <c r="M88" s="281"/>
    </row>
    <row r="89" spans="1:13" ht="15" customHeight="1">
      <c r="A89" s="301" t="s">
        <v>59</v>
      </c>
      <c r="B89" s="3"/>
      <c r="C89" s="40">
        <v>6087</v>
      </c>
      <c r="D89" s="331">
        <v>9.73</v>
      </c>
      <c r="E89" s="302">
        <v>0</v>
      </c>
      <c r="F89" s="31" t="str">
        <f>IFERROR(VLOOKUP($C89,[14]Nod!$A$3:$E$982,4,FALSE)," ")</f>
        <v>CAL115</v>
      </c>
      <c r="G89" s="31">
        <f>IFERROR(VLOOKUP($C89,[14]Nod!$A$3:$E$982,5,FALSE)," ")</f>
        <v>3</v>
      </c>
      <c r="L89" s="281"/>
      <c r="M89" s="281"/>
    </row>
    <row r="90" spans="1:13" ht="15" customHeight="1">
      <c r="A90" s="314" t="s">
        <v>58</v>
      </c>
      <c r="B90" s="3"/>
      <c r="C90" s="40">
        <v>6087</v>
      </c>
      <c r="D90" s="331">
        <v>7.8</v>
      </c>
      <c r="E90" s="302">
        <v>0</v>
      </c>
      <c r="F90" s="31" t="str">
        <f>IFERROR(VLOOKUP($C90,[14]Nod!$A$3:$E$982,4,FALSE)," ")</f>
        <v>CAL115</v>
      </c>
      <c r="G90" s="31">
        <f>IFERROR(VLOOKUP($C90,[14]Nod!$A$3:$E$982,5,FALSE)," ")</f>
        <v>3</v>
      </c>
      <c r="L90" s="281"/>
      <c r="M90" s="281"/>
    </row>
    <row r="91" spans="1:13" ht="15" customHeight="1">
      <c r="A91" s="314" t="s">
        <v>311</v>
      </c>
      <c r="B91" s="3"/>
      <c r="C91" s="40">
        <v>6087</v>
      </c>
      <c r="D91" s="338">
        <v>8.58</v>
      </c>
      <c r="E91" s="302">
        <v>0</v>
      </c>
      <c r="F91" s="31" t="str">
        <f>IFERROR(VLOOKUP($C91,[14]Nod!$A$3:$E$982,4,FALSE)," ")</f>
        <v>CAL115</v>
      </c>
      <c r="G91" s="31">
        <f>IFERROR(VLOOKUP($C91,[14]Nod!$A$3:$E$982,5,FALSE)," ")</f>
        <v>3</v>
      </c>
      <c r="L91" s="281"/>
      <c r="M91" s="281"/>
    </row>
    <row r="92" spans="1:13" ht="15" customHeight="1">
      <c r="A92" s="314" t="s">
        <v>310</v>
      </c>
      <c r="B92" s="3"/>
      <c r="C92" s="40">
        <v>6087</v>
      </c>
      <c r="D92" s="331">
        <v>8.58</v>
      </c>
      <c r="E92" s="302">
        <v>0</v>
      </c>
      <c r="F92" s="31" t="str">
        <f>IFERROR(VLOOKUP($C92,[14]Nod!$A$3:$E$982,4,FALSE)," ")</f>
        <v>CAL115</v>
      </c>
      <c r="G92" s="31">
        <f>IFERROR(VLOOKUP($C92,[14]Nod!$A$3:$E$982,5,FALSE)," ")</f>
        <v>3</v>
      </c>
      <c r="L92" s="281"/>
      <c r="M92" s="281"/>
    </row>
    <row r="93" spans="1:13" ht="15" customHeight="1">
      <c r="A93" s="314" t="s">
        <v>309</v>
      </c>
      <c r="B93" s="3"/>
      <c r="C93" s="40">
        <v>6087</v>
      </c>
      <c r="D93" s="331">
        <v>8.58</v>
      </c>
      <c r="E93" s="302">
        <v>0</v>
      </c>
      <c r="F93" s="31" t="str">
        <f>IFERROR(VLOOKUP($C93,[14]Nod!$A$3:$E$982,4,FALSE)," ")</f>
        <v>CAL115</v>
      </c>
      <c r="G93" s="31">
        <f>IFERROR(VLOOKUP($C93,[14]Nod!$A$3:$E$982,5,FALSE)," ")</f>
        <v>3</v>
      </c>
      <c r="L93" s="281"/>
      <c r="M93" s="281"/>
    </row>
    <row r="94" spans="1:13" ht="15" customHeight="1" thickBot="1">
      <c r="A94" s="49" t="s">
        <v>35</v>
      </c>
      <c r="B94" s="3"/>
      <c r="C94" s="40"/>
      <c r="D94" s="335"/>
      <c r="E94" s="302"/>
      <c r="F94" s="31" t="str">
        <f>IFERROR(VLOOKUP($C94,[14]Nod!$A$3:$E$982,4,FALSE)," ")</f>
        <v xml:space="preserve"> </v>
      </c>
      <c r="G94" s="31" t="str">
        <f>IFERROR(VLOOKUP($C94,[14]Nod!$A$3:$E$982,5,FALSE)," ")</f>
        <v xml:space="preserve"> </v>
      </c>
      <c r="L94" s="281"/>
      <c r="M94" s="281"/>
    </row>
    <row r="95" spans="1:13" ht="15" customHeight="1">
      <c r="A95" s="47">
        <v>4</v>
      </c>
      <c r="B95" s="44"/>
      <c r="C95" s="45"/>
      <c r="D95" s="332">
        <f>SUM(D96:D140)</f>
        <v>654.92099999999982</v>
      </c>
      <c r="E95" s="297"/>
      <c r="F95" s="31" t="str">
        <f>IFERROR(VLOOKUP($C95,[14]Nod!$A$3:$E$982,4,FALSE)," ")</f>
        <v xml:space="preserve"> </v>
      </c>
      <c r="G95" s="31" t="str">
        <f>IFERROR(VLOOKUP($C95,[14]Nod!$A$3:$E$982,5,FALSE)," ")</f>
        <v xml:space="preserve"> </v>
      </c>
      <c r="L95" s="281"/>
      <c r="M95" s="281"/>
    </row>
    <row r="96" spans="1:13" ht="15" customHeight="1">
      <c r="A96" s="301" t="s">
        <v>62</v>
      </c>
      <c r="B96" s="3"/>
      <c r="C96" s="40">
        <v>6380</v>
      </c>
      <c r="D96" s="331">
        <v>10</v>
      </c>
      <c r="E96" s="302">
        <v>0</v>
      </c>
      <c r="F96" s="31" t="str">
        <f>IFERROR(VLOOKUP($C96,[14]Nod!$A$3:$E$982,4,FALSE)," ")</f>
        <v>BOQIII230</v>
      </c>
      <c r="G96" s="31">
        <f>IFERROR(VLOOKUP($C96,[14]Nod!$A$3:$E$982,5,FALSE)," ")</f>
        <v>4</v>
      </c>
      <c r="L96" s="281"/>
      <c r="M96" s="281"/>
    </row>
    <row r="97" spans="1:13" ht="15" customHeight="1">
      <c r="A97" s="301" t="s">
        <v>64</v>
      </c>
      <c r="B97" s="3"/>
      <c r="C97" s="40">
        <v>6380</v>
      </c>
      <c r="D97" s="331">
        <v>5.8</v>
      </c>
      <c r="E97" s="302">
        <v>0</v>
      </c>
      <c r="F97" s="31" t="str">
        <f>IFERROR(VLOOKUP($C97,[14]Nod!$A$3:$E$982,4,FALSE)," ")</f>
        <v>BOQIII230</v>
      </c>
      <c r="G97" s="31">
        <f>IFERROR(VLOOKUP($C97,[14]Nod!$A$3:$E$982,5,FALSE)," ")</f>
        <v>4</v>
      </c>
      <c r="L97" s="281"/>
      <c r="M97" s="281"/>
    </row>
    <row r="98" spans="1:13" ht="15" customHeight="1">
      <c r="A98" s="301" t="s">
        <v>66</v>
      </c>
      <c r="B98" s="3"/>
      <c r="C98" s="40">
        <v>6013</v>
      </c>
      <c r="D98" s="331">
        <v>6</v>
      </c>
      <c r="E98" s="302">
        <v>0</v>
      </c>
      <c r="F98" s="31" t="str">
        <f>IFERROR(VLOOKUP($C98,[14]Nod!$A$3:$E$982,4,FALSE)," ")</f>
        <v>MDN34</v>
      </c>
      <c r="G98" s="31">
        <f>IFERROR(VLOOKUP($C98,[14]Nod!$A$3:$E$982,5,FALSE)," ")</f>
        <v>4</v>
      </c>
      <c r="L98" s="281"/>
      <c r="M98" s="281"/>
    </row>
    <row r="99" spans="1:13" ht="15" customHeight="1">
      <c r="A99" s="320" t="s">
        <v>206</v>
      </c>
      <c r="B99" s="3"/>
      <c r="C99" s="40">
        <v>6013</v>
      </c>
      <c r="D99" s="331">
        <v>4.75</v>
      </c>
      <c r="E99" s="302">
        <v>0</v>
      </c>
      <c r="F99" s="31" t="str">
        <f>IFERROR(VLOOKUP($C99,[14]Nod!$A$3:$E$982,4,FALSE)," ")</f>
        <v>MDN34</v>
      </c>
      <c r="G99" s="31">
        <f>IFERROR(VLOOKUP($C99,[14]Nod!$A$3:$E$982,5,FALSE)," ")</f>
        <v>4</v>
      </c>
      <c r="L99" s="281"/>
      <c r="M99" s="281"/>
    </row>
    <row r="100" spans="1:13" ht="15" customHeight="1">
      <c r="A100" s="301" t="s">
        <v>187</v>
      </c>
      <c r="B100" s="3"/>
      <c r="C100" s="40">
        <v>6380</v>
      </c>
      <c r="D100" s="331">
        <v>20.91</v>
      </c>
      <c r="E100" s="302">
        <v>0</v>
      </c>
      <c r="F100" s="31" t="str">
        <f>IFERROR(VLOOKUP($C100,[14]Nod!$A$3:$E$982,4,FALSE)," ")</f>
        <v>BOQIII230</v>
      </c>
      <c r="G100" s="31">
        <f>IFERROR(VLOOKUP($C100,[14]Nod!$A$3:$E$982,5,FALSE)," ")</f>
        <v>4</v>
      </c>
      <c r="L100" s="281"/>
      <c r="M100" s="281"/>
    </row>
    <row r="101" spans="1:13" ht="15" customHeight="1">
      <c r="A101" s="301" t="s">
        <v>308</v>
      </c>
      <c r="B101" s="3"/>
      <c r="C101" s="40">
        <v>6380</v>
      </c>
      <c r="D101" s="331">
        <v>13.18</v>
      </c>
      <c r="E101" s="302">
        <v>0</v>
      </c>
      <c r="F101" s="31" t="str">
        <f>IFERROR(VLOOKUP($C101,[14]Nod!$A$3:$E$982,4,FALSE)," ")</f>
        <v>BOQIII230</v>
      </c>
      <c r="G101" s="31">
        <f>IFERROR(VLOOKUP($C101,[14]Nod!$A$3:$E$982,5,FALSE)," ")</f>
        <v>4</v>
      </c>
      <c r="L101" s="281"/>
      <c r="M101" s="281"/>
    </row>
    <row r="102" spans="1:13" ht="15" customHeight="1">
      <c r="A102" s="301" t="s">
        <v>67</v>
      </c>
      <c r="B102" s="3"/>
      <c r="C102" s="40">
        <v>6380</v>
      </c>
      <c r="D102" s="331">
        <v>14</v>
      </c>
      <c r="E102" s="302">
        <v>0</v>
      </c>
      <c r="F102" s="31" t="str">
        <f>IFERROR(VLOOKUP($C102,[14]Nod!$A$3:$E$982,4,FALSE)," ")</f>
        <v>BOQIII230</v>
      </c>
      <c r="G102" s="31">
        <f>IFERROR(VLOOKUP($C102,[14]Nod!$A$3:$E$982,5,FALSE)," ")</f>
        <v>4</v>
      </c>
      <c r="L102" s="281"/>
      <c r="M102" s="281"/>
    </row>
    <row r="103" spans="1:13" ht="15" customHeight="1">
      <c r="A103" s="301" t="s">
        <v>207</v>
      </c>
      <c r="B103" s="3"/>
      <c r="C103" s="54">
        <v>6013</v>
      </c>
      <c r="D103" s="331">
        <v>2.5</v>
      </c>
      <c r="E103" s="302">
        <v>0</v>
      </c>
      <c r="F103" s="31" t="str">
        <f>IFERROR(VLOOKUP($C103,[14]Nod!$A$3:$E$982,4,FALSE)," ")</f>
        <v>MDN34</v>
      </c>
      <c r="G103" s="31">
        <f>IFERROR(VLOOKUP($C103,[14]Nod!$A$3:$E$982,5,FALSE)," ")</f>
        <v>4</v>
      </c>
      <c r="L103" s="281"/>
      <c r="M103" s="281"/>
    </row>
    <row r="104" spans="1:13" ht="15" customHeight="1">
      <c r="A104" s="301" t="s">
        <v>209</v>
      </c>
      <c r="B104" s="3"/>
      <c r="C104" s="54">
        <v>6013</v>
      </c>
      <c r="D104" s="331">
        <v>3.12</v>
      </c>
      <c r="E104" s="302">
        <v>0</v>
      </c>
      <c r="F104" s="31" t="str">
        <f>IFERROR(VLOOKUP($C104,[14]Nod!$A$3:$E$982,4,FALSE)," ")</f>
        <v>MDN34</v>
      </c>
      <c r="G104" s="31">
        <f>IFERROR(VLOOKUP($C104,[14]Nod!$A$3:$E$982,5,FALSE)," ")</f>
        <v>4</v>
      </c>
      <c r="L104" s="281"/>
      <c r="M104" s="281"/>
    </row>
    <row r="105" spans="1:13" ht="15" customHeight="1">
      <c r="A105" s="301" t="s">
        <v>70</v>
      </c>
      <c r="B105" s="3"/>
      <c r="C105" s="40">
        <v>6380</v>
      </c>
      <c r="D105" s="331">
        <v>10</v>
      </c>
      <c r="E105" s="302">
        <v>0</v>
      </c>
      <c r="F105" s="31" t="str">
        <f>IFERROR(VLOOKUP($C105,[14]Nod!$A$3:$E$982,4,FALSE)," ")</f>
        <v>BOQIII230</v>
      </c>
      <c r="G105" s="31">
        <f>IFERROR(VLOOKUP($C105,[14]Nod!$A$3:$E$982,5,FALSE)," ")</f>
        <v>4</v>
      </c>
      <c r="L105" s="281"/>
      <c r="M105" s="281"/>
    </row>
    <row r="106" spans="1:13" ht="15" customHeight="1">
      <c r="A106" s="301" t="s">
        <v>71</v>
      </c>
      <c r="B106" s="3"/>
      <c r="C106" s="40">
        <v>6380</v>
      </c>
      <c r="D106" s="331">
        <v>10</v>
      </c>
      <c r="E106" s="302">
        <v>0</v>
      </c>
      <c r="F106" s="31" t="str">
        <f>IFERROR(VLOOKUP($C106,[14]Nod!$A$3:$E$982,4,FALSE)," ")</f>
        <v>BOQIII230</v>
      </c>
      <c r="G106" s="31">
        <f>IFERROR(VLOOKUP($C106,[14]Nod!$A$3:$E$982,5,FALSE)," ")</f>
        <v>4</v>
      </c>
      <c r="L106" s="281"/>
      <c r="M106" s="281"/>
    </row>
    <row r="107" spans="1:13" ht="15" customHeight="1">
      <c r="A107" s="301" t="s">
        <v>73</v>
      </c>
      <c r="B107" s="3"/>
      <c r="C107" s="40">
        <v>6013</v>
      </c>
      <c r="D107" s="331">
        <v>8.1199999999999992</v>
      </c>
      <c r="E107" s="302">
        <v>0</v>
      </c>
      <c r="F107" s="31" t="str">
        <f>IFERROR(VLOOKUP($C107,[14]Nod!$A$3:$E$982,4,FALSE)," ")</f>
        <v>MDN34</v>
      </c>
      <c r="G107" s="31">
        <f>IFERROR(VLOOKUP($C107,[14]Nod!$A$3:$E$982,5,FALSE)," ")</f>
        <v>4</v>
      </c>
      <c r="L107" s="281"/>
      <c r="M107" s="281"/>
    </row>
    <row r="108" spans="1:13" ht="15" customHeight="1">
      <c r="A108" s="301" t="s">
        <v>75</v>
      </c>
      <c r="B108" s="3"/>
      <c r="C108" s="40">
        <v>6182</v>
      </c>
      <c r="D108" s="331">
        <v>51.65</v>
      </c>
      <c r="E108" s="302">
        <v>0</v>
      </c>
      <c r="F108" s="31" t="str">
        <f>IFERROR(VLOOKUP($C108,[14]Nod!$A$3:$E$982,4,FALSE)," ")</f>
        <v>VEL230</v>
      </c>
      <c r="G108" s="31">
        <f>IFERROR(VLOOKUP($C108,[14]Nod!$A$3:$E$982,5,FALSE)," ")</f>
        <v>4</v>
      </c>
      <c r="K108" s="295"/>
      <c r="L108" s="281"/>
      <c r="M108" s="281"/>
    </row>
    <row r="109" spans="1:13" ht="15" customHeight="1">
      <c r="A109" s="301" t="s">
        <v>77</v>
      </c>
      <c r="B109" s="3"/>
      <c r="C109" s="40">
        <v>6182</v>
      </c>
      <c r="D109" s="331">
        <v>32.6</v>
      </c>
      <c r="E109" s="302">
        <v>0</v>
      </c>
      <c r="F109" s="31" t="str">
        <f>IFERROR(VLOOKUP($C109,[14]Nod!$A$3:$E$982,4,FALSE)," ")</f>
        <v>VEL230</v>
      </c>
      <c r="G109" s="31">
        <f>IFERROR(VLOOKUP($C109,[14]Nod!$A$3:$E$982,5,FALSE)," ")</f>
        <v>4</v>
      </c>
      <c r="K109" s="295"/>
      <c r="L109" s="281"/>
      <c r="M109" s="281"/>
    </row>
    <row r="110" spans="1:13" ht="15" customHeight="1">
      <c r="A110" s="301" t="s">
        <v>79</v>
      </c>
      <c r="B110" s="3"/>
      <c r="C110" s="40">
        <v>6380</v>
      </c>
      <c r="D110" s="331">
        <v>5.12</v>
      </c>
      <c r="E110" s="302">
        <v>0</v>
      </c>
      <c r="F110" s="31" t="str">
        <f>IFERROR(VLOOKUP($C110,[14]Nod!$A$3:$E$982,4,FALSE)," ")</f>
        <v>BOQIII230</v>
      </c>
      <c r="G110" s="31">
        <f>IFERROR(VLOOKUP($C110,[14]Nod!$A$3:$E$982,5,FALSE)," ")</f>
        <v>4</v>
      </c>
      <c r="K110" s="295"/>
      <c r="L110" s="281"/>
      <c r="M110" s="281"/>
    </row>
    <row r="111" spans="1:13" ht="15" customHeight="1">
      <c r="A111" s="301" t="s">
        <v>196</v>
      </c>
      <c r="B111" s="3"/>
      <c r="C111" s="40">
        <v>6380</v>
      </c>
      <c r="D111" s="331">
        <v>5.86</v>
      </c>
      <c r="E111" s="302">
        <v>0</v>
      </c>
      <c r="F111" s="31" t="str">
        <f>IFERROR(VLOOKUP($C111,[14]Nod!$A$3:$E$982,4,FALSE)," ")</f>
        <v>BOQIII230</v>
      </c>
      <c r="G111" s="31">
        <f>IFERROR(VLOOKUP($C111,[14]Nod!$A$3:$E$982,5,FALSE)," ")</f>
        <v>4</v>
      </c>
      <c r="K111" s="295"/>
      <c r="L111" s="281"/>
      <c r="M111" s="281"/>
    </row>
    <row r="112" spans="1:13" ht="15" customHeight="1">
      <c r="A112" s="301" t="s">
        <v>80</v>
      </c>
      <c r="B112" s="3"/>
      <c r="C112" s="40">
        <v>6182</v>
      </c>
      <c r="D112" s="331">
        <v>72.2</v>
      </c>
      <c r="E112" s="302">
        <v>0</v>
      </c>
      <c r="F112" s="31" t="str">
        <f>IFERROR(VLOOKUP($C112,[14]Nod!$A$3:$E$982,4,FALSE)," ")</f>
        <v>VEL230</v>
      </c>
      <c r="G112" s="31">
        <f>IFERROR(VLOOKUP($C112,[14]Nod!$A$3:$E$982,5,FALSE)," ")</f>
        <v>4</v>
      </c>
      <c r="K112" s="295"/>
      <c r="L112" s="281"/>
      <c r="M112" s="281"/>
    </row>
    <row r="113" spans="1:13" ht="15" customHeight="1">
      <c r="A113" s="301" t="s">
        <v>81</v>
      </c>
      <c r="B113" s="22"/>
      <c r="C113" s="55">
        <v>6380</v>
      </c>
      <c r="D113" s="331">
        <v>6.3</v>
      </c>
      <c r="E113" s="318">
        <v>0</v>
      </c>
      <c r="F113" s="31" t="str">
        <f>IFERROR(VLOOKUP($C113,[14]Nod!$A$3:$E$982,4,FALSE)," ")</f>
        <v>BOQIII230</v>
      </c>
      <c r="G113" s="31">
        <f>IFERROR(VLOOKUP($C113,[14]Nod!$A$3:$E$982,5,FALSE)," ")</f>
        <v>4</v>
      </c>
      <c r="K113" s="295"/>
      <c r="L113" s="281"/>
      <c r="M113" s="281"/>
    </row>
    <row r="114" spans="1:13" ht="15" customHeight="1">
      <c r="A114" s="301" t="s">
        <v>197</v>
      </c>
      <c r="B114" s="22"/>
      <c r="C114" s="55">
        <v>6013</v>
      </c>
      <c r="D114" s="331">
        <v>8.86</v>
      </c>
      <c r="E114" s="318">
        <v>0</v>
      </c>
      <c r="F114" s="31" t="str">
        <f>IFERROR(VLOOKUP($C114,[14]Nod!$A$3:$E$982,4,FALSE)," ")</f>
        <v>MDN34</v>
      </c>
      <c r="G114" s="31">
        <f>IFERROR(VLOOKUP($C114,[14]Nod!$A$3:$E$982,5,FALSE)," ")</f>
        <v>4</v>
      </c>
      <c r="K114" s="295"/>
      <c r="L114" s="281"/>
      <c r="M114" s="281"/>
    </row>
    <row r="115" spans="1:13" ht="15" customHeight="1">
      <c r="A115" s="301" t="s">
        <v>198</v>
      </c>
      <c r="B115" s="3"/>
      <c r="C115" s="54">
        <v>6013</v>
      </c>
      <c r="D115" s="331">
        <v>9</v>
      </c>
      <c r="E115" s="302">
        <v>0</v>
      </c>
      <c r="F115" s="31" t="str">
        <f>IFERROR(VLOOKUP($C115,[14]Nod!$A$3:$E$982,4,FALSE)," ")</f>
        <v>MDN34</v>
      </c>
      <c r="G115" s="31">
        <f>IFERROR(VLOOKUP($C115,[14]Nod!$A$3:$E$982,5,FALSE)," ")</f>
        <v>4</v>
      </c>
      <c r="K115" s="295"/>
      <c r="L115" s="281"/>
      <c r="M115" s="281"/>
    </row>
    <row r="116" spans="1:13" ht="15" customHeight="1">
      <c r="A116" s="301" t="s">
        <v>83</v>
      </c>
      <c r="B116" s="3"/>
      <c r="C116" s="54">
        <v>6520</v>
      </c>
      <c r="D116" s="331">
        <v>19.8</v>
      </c>
      <c r="E116" s="302">
        <v>0</v>
      </c>
      <c r="F116" s="31" t="str">
        <f>IFERROR(VLOOKUP($C116,[14]Nod!$A$3:$E$982,4,FALSE)," ")</f>
        <v>SBA230</v>
      </c>
      <c r="G116" s="31">
        <f>IFERROR(VLOOKUP($C116,[14]Nod!$A$3:$E$982,5,FALSE)," ")</f>
        <v>4</v>
      </c>
      <c r="K116" s="295"/>
      <c r="L116" s="281"/>
      <c r="M116" s="281"/>
    </row>
    <row r="117" spans="1:13" ht="15" customHeight="1">
      <c r="A117" s="301" t="s">
        <v>84</v>
      </c>
      <c r="B117" s="3"/>
      <c r="C117" s="54">
        <v>6550</v>
      </c>
      <c r="D117" s="331">
        <v>28.56</v>
      </c>
      <c r="E117" s="302">
        <v>0</v>
      </c>
      <c r="F117" s="31" t="str">
        <f>IFERROR(VLOOKUP($C117,[14]Nod!$A$3:$E$982,4,FALSE)," ")</f>
        <v>BEV230</v>
      </c>
      <c r="G117" s="31">
        <f>IFERROR(VLOOKUP($C117,[14]Nod!$A$3:$E$982,5,FALSE)," ")</f>
        <v>4</v>
      </c>
      <c r="K117" s="295"/>
      <c r="L117" s="281"/>
      <c r="M117" s="281"/>
    </row>
    <row r="118" spans="1:13" ht="15" customHeight="1">
      <c r="A118" s="301" t="s">
        <v>210</v>
      </c>
      <c r="B118" s="3"/>
      <c r="C118" s="40">
        <v>6380</v>
      </c>
      <c r="D118" s="331">
        <v>2.02</v>
      </c>
      <c r="E118" s="302">
        <v>0</v>
      </c>
      <c r="F118" s="31" t="str">
        <f>IFERROR(VLOOKUP($C118,[14]Nod!$A$3:$E$982,4,FALSE)," ")</f>
        <v>BOQIII230</v>
      </c>
      <c r="G118" s="31">
        <f>IFERROR(VLOOKUP($C118,[14]Nod!$A$3:$E$982,5,FALSE)," ")</f>
        <v>4</v>
      </c>
      <c r="K118" s="295"/>
      <c r="L118" s="281"/>
      <c r="M118" s="281"/>
    </row>
    <row r="119" spans="1:13" ht="15" customHeight="1">
      <c r="A119" s="301" t="s">
        <v>86</v>
      </c>
      <c r="B119" s="3"/>
      <c r="C119" s="40">
        <v>6380</v>
      </c>
      <c r="D119" s="331">
        <v>7.62</v>
      </c>
      <c r="E119" s="302">
        <v>0</v>
      </c>
      <c r="F119" s="31" t="str">
        <f>IFERROR(VLOOKUP($C119,[14]Nod!$A$3:$E$982,4,FALSE)," ")</f>
        <v>BOQIII230</v>
      </c>
      <c r="G119" s="31">
        <f>IFERROR(VLOOKUP($C119,[14]Nod!$A$3:$E$982,5,FALSE)," ")</f>
        <v>4</v>
      </c>
      <c r="K119" s="295"/>
      <c r="L119" s="281"/>
      <c r="M119" s="281"/>
    </row>
    <row r="120" spans="1:13" ht="15" customHeight="1">
      <c r="A120" s="301" t="s">
        <v>199</v>
      </c>
      <c r="B120" s="3"/>
      <c r="C120" s="40">
        <v>6380</v>
      </c>
      <c r="D120" s="331">
        <v>10</v>
      </c>
      <c r="E120" s="302">
        <v>0</v>
      </c>
      <c r="F120" s="31" t="str">
        <f>IFERROR(VLOOKUP($C120,[14]Nod!$A$3:$E$982,4,FALSE)," ")</f>
        <v>BOQIII230</v>
      </c>
      <c r="G120" s="31">
        <f>IFERROR(VLOOKUP($C120,[14]Nod!$A$3:$E$982,5,FALSE)," ")</f>
        <v>4</v>
      </c>
      <c r="K120" s="295"/>
      <c r="L120" s="281"/>
      <c r="M120" s="281"/>
    </row>
    <row r="121" spans="1:13" ht="15" customHeight="1">
      <c r="A121" s="301" t="s">
        <v>200</v>
      </c>
      <c r="B121" s="3"/>
      <c r="C121" s="40">
        <v>6380</v>
      </c>
      <c r="D121" s="331">
        <v>10</v>
      </c>
      <c r="E121" s="302">
        <v>0</v>
      </c>
      <c r="F121" s="31" t="str">
        <f>IFERROR(VLOOKUP($C121,[14]Nod!$A$3:$E$982,4,FALSE)," ")</f>
        <v>BOQIII230</v>
      </c>
      <c r="G121" s="31">
        <f>IFERROR(VLOOKUP($C121,[14]Nod!$A$3:$E$982,5,FALSE)," ")</f>
        <v>4</v>
      </c>
      <c r="K121" s="295"/>
      <c r="L121" s="281"/>
      <c r="M121" s="281"/>
    </row>
    <row r="122" spans="1:13" ht="15" customHeight="1">
      <c r="A122" s="301" t="s">
        <v>201</v>
      </c>
      <c r="B122" s="3"/>
      <c r="C122" s="55">
        <v>6013</v>
      </c>
      <c r="D122" s="331">
        <v>10</v>
      </c>
      <c r="E122" s="302">
        <v>0</v>
      </c>
      <c r="F122" s="31" t="str">
        <f>IFERROR(VLOOKUP($C122,[14]Nod!$A$3:$E$982,4,FALSE)," ")</f>
        <v>MDN34</v>
      </c>
      <c r="G122" s="31">
        <f>IFERROR(VLOOKUP($C122,[14]Nod!$A$3:$E$982,5,FALSE)," ")</f>
        <v>4</v>
      </c>
      <c r="K122" s="295"/>
      <c r="L122" s="281"/>
      <c r="M122" s="281"/>
    </row>
    <row r="123" spans="1:13" ht="15" customHeight="1">
      <c r="A123" s="301" t="s">
        <v>202</v>
      </c>
      <c r="B123" s="3"/>
      <c r="C123" s="55">
        <v>6013</v>
      </c>
      <c r="D123" s="331">
        <v>10</v>
      </c>
      <c r="E123" s="302">
        <v>0</v>
      </c>
      <c r="F123" s="31" t="str">
        <f>IFERROR(VLOOKUP($C123,[14]Nod!$A$3:$E$982,4,FALSE)," ")</f>
        <v>MDN34</v>
      </c>
      <c r="G123" s="31">
        <f>IFERROR(VLOOKUP($C123,[14]Nod!$A$3:$E$982,5,FALSE)," ")</f>
        <v>4</v>
      </c>
      <c r="K123" s="295"/>
      <c r="L123" s="281"/>
      <c r="M123" s="281"/>
    </row>
    <row r="124" spans="1:13" ht="15" customHeight="1">
      <c r="A124" s="301" t="s">
        <v>203</v>
      </c>
      <c r="B124" s="3"/>
      <c r="C124" s="55">
        <v>6013</v>
      </c>
      <c r="D124" s="331">
        <v>9.9600000000000009</v>
      </c>
      <c r="E124" s="302">
        <v>0</v>
      </c>
      <c r="F124" s="31" t="str">
        <f>IFERROR(VLOOKUP($C124,[14]Nod!$A$3:$E$982,4,FALSE)," ")</f>
        <v>MDN34</v>
      </c>
      <c r="G124" s="31">
        <f>IFERROR(VLOOKUP($C124,[14]Nod!$A$3:$E$982,5,FALSE)," ")</f>
        <v>4</v>
      </c>
      <c r="K124" s="295"/>
      <c r="L124" s="281"/>
      <c r="M124" s="281"/>
    </row>
    <row r="125" spans="1:13" ht="15" customHeight="1">
      <c r="A125" s="301" t="s">
        <v>204</v>
      </c>
      <c r="B125" s="3"/>
      <c r="C125" s="55">
        <v>6013</v>
      </c>
      <c r="D125" s="331">
        <v>9.9600000000000009</v>
      </c>
      <c r="E125" s="302">
        <v>0</v>
      </c>
      <c r="F125" s="31" t="str">
        <f>IFERROR(VLOOKUP($C125,[14]Nod!$A$3:$E$982,4,FALSE)," ")</f>
        <v>MDN34</v>
      </c>
      <c r="G125" s="31">
        <f>IFERROR(VLOOKUP($C125,[14]Nod!$A$3:$E$982,5,FALSE)," ")</f>
        <v>4</v>
      </c>
      <c r="K125" s="295"/>
      <c r="L125" s="281"/>
      <c r="M125" s="281"/>
    </row>
    <row r="126" spans="1:13" ht="15" customHeight="1">
      <c r="A126" s="301" t="s">
        <v>87</v>
      </c>
      <c r="B126" s="3"/>
      <c r="C126" s="40">
        <v>6182</v>
      </c>
      <c r="D126" s="331">
        <v>0.74099999999999999</v>
      </c>
      <c r="E126" s="302">
        <v>0</v>
      </c>
      <c r="F126" s="31" t="str">
        <f>IFERROR(VLOOKUP($C126,[14]Nod!$A$3:$E$982,4,FALSE)," ")</f>
        <v>VEL230</v>
      </c>
      <c r="G126" s="31">
        <f>IFERROR(VLOOKUP($C126,[14]Nod!$A$3:$E$982,5,FALSE)," ")</f>
        <v>4</v>
      </c>
      <c r="K126" s="295"/>
      <c r="L126" s="281"/>
      <c r="M126" s="281"/>
    </row>
    <row r="127" spans="1:13" ht="15" customHeight="1">
      <c r="A127" s="301" t="s">
        <v>211</v>
      </c>
      <c r="B127" s="3"/>
      <c r="C127" s="40">
        <v>6182</v>
      </c>
      <c r="D127" s="331">
        <v>4.75</v>
      </c>
      <c r="E127" s="302">
        <v>0</v>
      </c>
      <c r="F127" s="31" t="str">
        <f>IFERROR(VLOOKUP($C127,[14]Nod!$A$3:$E$982,4,FALSE)," ")</f>
        <v>VEL230</v>
      </c>
      <c r="G127" s="31">
        <f>IFERROR(VLOOKUP($C127,[14]Nod!$A$3:$E$982,5,FALSE)," ")</f>
        <v>4</v>
      </c>
      <c r="K127" s="295"/>
      <c r="L127" s="281"/>
      <c r="M127" s="281"/>
    </row>
    <row r="128" spans="1:13" ht="15" customHeight="1">
      <c r="A128" s="301" t="s">
        <v>307</v>
      </c>
      <c r="B128" s="3"/>
      <c r="C128" s="40">
        <v>6182</v>
      </c>
      <c r="D128" s="331">
        <v>31.8</v>
      </c>
      <c r="E128" s="302">
        <v>0</v>
      </c>
      <c r="F128" s="31" t="str">
        <f>IFERROR(VLOOKUP($C128,[14]Nod!$A$3:$E$982,4,FALSE)," ")</f>
        <v>VEL230</v>
      </c>
      <c r="G128" s="31">
        <f>IFERROR(VLOOKUP($C128,[14]Nod!$A$3:$E$982,5,FALSE)," ")</f>
        <v>4</v>
      </c>
      <c r="K128" s="295"/>
      <c r="L128" s="281"/>
      <c r="M128" s="281"/>
    </row>
    <row r="129" spans="1:13" ht="15" customHeight="1">
      <c r="A129" s="301" t="s">
        <v>212</v>
      </c>
      <c r="C129" s="40">
        <v>6380</v>
      </c>
      <c r="D129" s="331">
        <v>0.99</v>
      </c>
      <c r="E129" s="302">
        <v>0</v>
      </c>
      <c r="F129" s="31" t="str">
        <f>IFERROR(VLOOKUP($C129,[14]Nod!$A$3:$E$982,4,FALSE)," ")</f>
        <v>BOQIII230</v>
      </c>
      <c r="G129" s="31">
        <f>IFERROR(VLOOKUP($C129,[14]Nod!$A$3:$E$982,5,FALSE)," ")</f>
        <v>4</v>
      </c>
      <c r="K129" s="295"/>
      <c r="L129" s="281"/>
      <c r="M129" s="281"/>
    </row>
    <row r="130" spans="1:13" ht="15" customHeight="1">
      <c r="A130" s="301" t="s">
        <v>306</v>
      </c>
      <c r="C130" s="40">
        <v>6380</v>
      </c>
      <c r="D130" s="331">
        <v>5</v>
      </c>
      <c r="E130" s="302">
        <v>0</v>
      </c>
      <c r="F130" s="31" t="str">
        <f>IFERROR(VLOOKUP($C130,[14]Nod!$A$3:$E$982,4,FALSE)," ")</f>
        <v>BOQIII230</v>
      </c>
      <c r="G130" s="31">
        <f>IFERROR(VLOOKUP($C130,[14]Nod!$A$3:$E$982,5,FALSE)," ")</f>
        <v>4</v>
      </c>
      <c r="K130" s="295"/>
      <c r="L130" s="281"/>
      <c r="M130" s="281"/>
    </row>
    <row r="131" spans="1:13" ht="15" customHeight="1">
      <c r="A131" s="301" t="s">
        <v>205</v>
      </c>
      <c r="C131" s="40">
        <v>6380</v>
      </c>
      <c r="D131" s="331">
        <v>9.9</v>
      </c>
      <c r="E131" s="302">
        <v>0</v>
      </c>
      <c r="F131" s="31" t="str">
        <f>IFERROR(VLOOKUP($C131,[14]Nod!$A$3:$E$982,4,FALSE)," ")</f>
        <v>BOQIII230</v>
      </c>
      <c r="G131" s="31">
        <f>IFERROR(VLOOKUP($C131,[14]Nod!$A$3:$E$982,5,FALSE)," ")</f>
        <v>4</v>
      </c>
      <c r="K131" s="295"/>
      <c r="L131" s="281"/>
      <c r="M131" s="281"/>
    </row>
    <row r="132" spans="1:13" ht="15" customHeight="1">
      <c r="A132" s="301" t="s">
        <v>195</v>
      </c>
      <c r="C132" s="40">
        <v>6013</v>
      </c>
      <c r="D132" s="331">
        <v>70</v>
      </c>
      <c r="E132" s="302">
        <v>0</v>
      </c>
      <c r="F132" s="31" t="str">
        <f>IFERROR(VLOOKUP($C132,[14]Nod!$A$3:$E$982,4,FALSE)," ")</f>
        <v>MDN34</v>
      </c>
      <c r="G132" s="31">
        <f>IFERROR(VLOOKUP($C132,[14]Nod!$A$3:$E$982,5,FALSE)," ")</f>
        <v>4</v>
      </c>
      <c r="K132" s="295"/>
      <c r="L132" s="281"/>
      <c r="M132" s="281"/>
    </row>
    <row r="133" spans="1:13" ht="15" customHeight="1">
      <c r="A133" s="301" t="s">
        <v>89</v>
      </c>
      <c r="C133" s="40">
        <v>6013</v>
      </c>
      <c r="D133" s="331">
        <v>4.1500000000000004</v>
      </c>
      <c r="E133" s="302">
        <v>0</v>
      </c>
      <c r="F133" s="31" t="str">
        <f>IFERROR(VLOOKUP($C133,[14]Nod!$A$3:$E$982,4,FALSE)," ")</f>
        <v>MDN34</v>
      </c>
      <c r="G133" s="31">
        <f>IFERROR(VLOOKUP($C133,[14]Nod!$A$3:$E$982,5,FALSE)," ")</f>
        <v>4</v>
      </c>
      <c r="K133" s="295"/>
      <c r="L133" s="281"/>
      <c r="M133" s="281"/>
    </row>
    <row r="134" spans="1:13" ht="15" customHeight="1">
      <c r="A134" s="314" t="s">
        <v>305</v>
      </c>
      <c r="C134" s="40">
        <v>6013</v>
      </c>
      <c r="D134" s="331">
        <v>5</v>
      </c>
      <c r="E134" s="302">
        <v>0</v>
      </c>
      <c r="F134" s="31" t="str">
        <f>IFERROR(VLOOKUP($C134,[14]Nod!$A$3:$E$982,4,FALSE)," ")</f>
        <v>MDN34</v>
      </c>
      <c r="G134" s="31">
        <f>IFERROR(VLOOKUP($C134,[14]Nod!$A$3:$E$982,5,FALSE)," ")</f>
        <v>4</v>
      </c>
      <c r="K134" s="295"/>
      <c r="L134" s="281"/>
      <c r="M134" s="281"/>
    </row>
    <row r="135" spans="1:13" ht="15" customHeight="1">
      <c r="A135" s="314" t="s">
        <v>304</v>
      </c>
      <c r="C135" s="40">
        <v>6013</v>
      </c>
      <c r="D135" s="331">
        <v>5</v>
      </c>
      <c r="E135" s="302">
        <v>0</v>
      </c>
      <c r="F135" s="31" t="str">
        <f>IFERROR(VLOOKUP($C135,[14]Nod!$A$3:$E$982,4,FALSE)," ")</f>
        <v>MDN34</v>
      </c>
      <c r="G135" s="31">
        <f>IFERROR(VLOOKUP($C135,[14]Nod!$A$3:$E$982,5,FALSE)," ")</f>
        <v>4</v>
      </c>
      <c r="K135" s="295"/>
      <c r="L135" s="281"/>
      <c r="M135" s="281"/>
    </row>
    <row r="136" spans="1:13" ht="15" customHeight="1">
      <c r="A136" s="314" t="s">
        <v>303</v>
      </c>
      <c r="C136" s="40">
        <v>6013</v>
      </c>
      <c r="D136" s="331">
        <v>9.9</v>
      </c>
      <c r="E136" s="302">
        <v>0</v>
      </c>
      <c r="F136" s="31" t="str">
        <f>IFERROR(VLOOKUP($C136,[14]Nod!$A$3:$E$982,4,FALSE)," ")</f>
        <v>MDN34</v>
      </c>
      <c r="G136" s="31">
        <f>IFERROR(VLOOKUP($C136,[14]Nod!$A$3:$E$982,5,FALSE)," ")</f>
        <v>4</v>
      </c>
      <c r="K136" s="295"/>
      <c r="L136" s="281"/>
      <c r="M136" s="281"/>
    </row>
    <row r="137" spans="1:13" ht="15" customHeight="1">
      <c r="A137" s="314" t="s">
        <v>302</v>
      </c>
      <c r="C137" s="40">
        <v>6013</v>
      </c>
      <c r="D137" s="331">
        <v>9.9</v>
      </c>
      <c r="E137" s="302">
        <v>0</v>
      </c>
      <c r="F137" s="31" t="str">
        <f>IFERROR(VLOOKUP($C137,[14]Nod!$A$3:$E$982,4,FALSE)," ")</f>
        <v>MDN34</v>
      </c>
      <c r="G137" s="31">
        <f>IFERROR(VLOOKUP($C137,[14]Nod!$A$3:$E$982,5,FALSE)," ")</f>
        <v>4</v>
      </c>
      <c r="K137" s="295"/>
      <c r="L137" s="281"/>
      <c r="M137" s="281"/>
    </row>
    <row r="138" spans="1:13" ht="15" customHeight="1">
      <c r="A138" s="314" t="s">
        <v>301</v>
      </c>
      <c r="C138" s="40">
        <v>6013</v>
      </c>
      <c r="D138" s="331">
        <v>9.9</v>
      </c>
      <c r="E138" s="302">
        <v>0</v>
      </c>
      <c r="F138" s="31" t="str">
        <f>IFERROR(VLOOKUP($C138,[14]Nod!$A$3:$E$982,4,FALSE)," ")</f>
        <v>MDN34</v>
      </c>
      <c r="G138" s="31">
        <f>IFERROR(VLOOKUP($C138,[14]Nod!$A$3:$E$982,5,FALSE)," ")</f>
        <v>4</v>
      </c>
      <c r="K138" s="295"/>
      <c r="L138" s="281"/>
      <c r="M138" s="281"/>
    </row>
    <row r="139" spans="1:13" ht="15" customHeight="1">
      <c r="A139" s="301" t="s">
        <v>300</v>
      </c>
      <c r="C139" s="40">
        <v>6013</v>
      </c>
      <c r="D139" s="331">
        <v>10</v>
      </c>
      <c r="E139" s="302">
        <v>0</v>
      </c>
      <c r="F139" s="31" t="str">
        <f>IFERROR(VLOOKUP($C139,[14]Nod!$A$3:$E$982,4,FALSE)," ")</f>
        <v>MDN34</v>
      </c>
      <c r="G139" s="31">
        <f>IFERROR(VLOOKUP($C139,[14]Nod!$A$3:$E$982,5,FALSE)," ")</f>
        <v>4</v>
      </c>
      <c r="K139" s="295"/>
      <c r="L139" s="281"/>
      <c r="M139" s="281"/>
    </row>
    <row r="140" spans="1:13" ht="15" customHeight="1">
      <c r="A140" s="301" t="s">
        <v>299</v>
      </c>
      <c r="C140" s="40">
        <v>6013</v>
      </c>
      <c r="D140" s="331">
        <v>60</v>
      </c>
      <c r="E140" s="302">
        <v>1</v>
      </c>
      <c r="F140" s="31" t="str">
        <f>IFERROR(VLOOKUP($C140,[14]Nod!$A$3:$E$982,4,FALSE)," ")</f>
        <v>MDN34</v>
      </c>
      <c r="G140" s="31">
        <f>IFERROR(VLOOKUP($C140,[14]Nod!$A$3:$E$982,5,FALSE)," ")</f>
        <v>4</v>
      </c>
      <c r="K140" s="295"/>
      <c r="L140" s="281"/>
      <c r="M140" s="281"/>
    </row>
    <row r="141" spans="1:13" ht="15" customHeight="1" thickBot="1">
      <c r="A141" s="53" t="s">
        <v>35</v>
      </c>
      <c r="B141" s="42"/>
      <c r="C141" s="43"/>
      <c r="D141" s="333"/>
      <c r="E141" s="315"/>
      <c r="F141" s="31" t="str">
        <f>IFERROR(VLOOKUP($C141,[14]Nod!$A$3:$E$982,4,FALSE)," ")</f>
        <v xml:space="preserve"> </v>
      </c>
      <c r="G141" s="31" t="str">
        <f>IFERROR(VLOOKUP($C141,[14]Nod!$A$3:$E$982,5,FALSE)," ")</f>
        <v xml:space="preserve"> </v>
      </c>
      <c r="K141" s="295"/>
      <c r="L141" s="281"/>
      <c r="M141" s="281"/>
    </row>
    <row r="142" spans="1:13" ht="15" customHeight="1">
      <c r="A142" s="47">
        <v>5</v>
      </c>
      <c r="B142" s="44"/>
      <c r="C142" s="45"/>
      <c r="D142" s="332">
        <f>SUM(D143:D202)</f>
        <v>992.00999999999988</v>
      </c>
      <c r="E142" s="297"/>
      <c r="F142" s="31" t="str">
        <f>IFERROR(VLOOKUP($C142,[14]Nod!$A$3:$E$982,4,FALSE)," ")</f>
        <v xml:space="preserve"> </v>
      </c>
      <c r="G142" s="31" t="str">
        <f>IFERROR(VLOOKUP($C142,[14]Nod!$A$3:$E$982,5,FALSE)," ")</f>
        <v xml:space="preserve"> </v>
      </c>
      <c r="K142" s="295"/>
      <c r="L142" s="281"/>
      <c r="M142" s="281"/>
    </row>
    <row r="143" spans="1:13" ht="15" customHeight="1">
      <c r="A143" s="301" t="s">
        <v>213</v>
      </c>
      <c r="C143" s="39">
        <v>6460</v>
      </c>
      <c r="D143" s="331">
        <v>6.66</v>
      </c>
      <c r="E143" s="302">
        <v>0</v>
      </c>
      <c r="F143" s="31" t="str">
        <f>IFERROR(VLOOKUP($C143,[14]Nod!$A$3:$E$982,4,FALSE)," ")</f>
        <v>ECO230</v>
      </c>
      <c r="G143" s="31">
        <f>IFERROR(VLOOKUP($C143,[14]Nod!$A$3:$E$982,5,FALSE)," ")</f>
        <v>5</v>
      </c>
      <c r="K143" s="295"/>
      <c r="L143" s="281"/>
      <c r="M143" s="281"/>
    </row>
    <row r="144" spans="1:13" ht="15" customHeight="1">
      <c r="A144" s="301" t="s">
        <v>90</v>
      </c>
      <c r="C144" s="39">
        <v>6460</v>
      </c>
      <c r="D144" s="331">
        <v>7</v>
      </c>
      <c r="E144" s="323">
        <v>0</v>
      </c>
      <c r="F144" s="31" t="str">
        <f>IFERROR(VLOOKUP($C144,[14]Nod!$A$3:$E$982,4,FALSE)," ")</f>
        <v>ECO230</v>
      </c>
      <c r="G144" s="31">
        <f>IFERROR(VLOOKUP($C144,[14]Nod!$A$3:$E$982,5,FALSE)," ")</f>
        <v>5</v>
      </c>
      <c r="K144" s="295"/>
      <c r="L144" s="281"/>
      <c r="M144" s="281"/>
    </row>
    <row r="145" spans="1:13" ht="15" customHeight="1">
      <c r="A145" s="301" t="s">
        <v>219</v>
      </c>
      <c r="C145" s="39">
        <v>6460</v>
      </c>
      <c r="D145" s="331">
        <v>9.99</v>
      </c>
      <c r="E145" s="302">
        <v>0</v>
      </c>
      <c r="F145" s="31" t="str">
        <f>IFERROR(VLOOKUP($C145,[14]Nod!$A$3:$E$982,4,FALSE)," ")</f>
        <v>ECO230</v>
      </c>
      <c r="G145" s="31">
        <f>IFERROR(VLOOKUP($C145,[14]Nod!$A$3:$E$982,5,FALSE)," ")</f>
        <v>5</v>
      </c>
      <c r="K145" s="295"/>
      <c r="L145" s="281"/>
      <c r="M145" s="281"/>
    </row>
    <row r="146" spans="1:13" ht="15" customHeight="1">
      <c r="A146" s="301" t="s">
        <v>220</v>
      </c>
      <c r="C146" s="39">
        <v>6460</v>
      </c>
      <c r="D146" s="342">
        <v>9.99</v>
      </c>
      <c r="E146" s="302">
        <v>0</v>
      </c>
      <c r="F146" s="31" t="str">
        <f>IFERROR(VLOOKUP($C146,[14]Nod!$A$3:$E$982,4,FALSE)," ")</f>
        <v>ECO230</v>
      </c>
      <c r="G146" s="31">
        <f>IFERROR(VLOOKUP($C146,[14]Nod!$A$3:$E$982,5,FALSE)," ")</f>
        <v>5</v>
      </c>
      <c r="K146" s="295"/>
      <c r="L146" s="281"/>
      <c r="M146" s="281"/>
    </row>
    <row r="147" spans="1:13" ht="15" customHeight="1">
      <c r="A147" s="301" t="s">
        <v>221</v>
      </c>
      <c r="C147" s="39">
        <v>6460</v>
      </c>
      <c r="D147" s="341">
        <v>4.8</v>
      </c>
      <c r="E147" s="302">
        <v>0</v>
      </c>
      <c r="F147" s="31" t="str">
        <f>IFERROR(VLOOKUP($C147,[14]Nod!$A$3:$E$982,4,FALSE)," ")</f>
        <v>ECO230</v>
      </c>
      <c r="G147" s="31">
        <f>IFERROR(VLOOKUP($C147,[14]Nod!$A$3:$E$982,5,FALSE)," ")</f>
        <v>5</v>
      </c>
      <c r="K147" s="295"/>
      <c r="L147" s="281"/>
      <c r="M147" s="281"/>
    </row>
    <row r="148" spans="1:13" ht="15" customHeight="1">
      <c r="A148" s="301" t="s">
        <v>222</v>
      </c>
      <c r="C148" s="39">
        <v>6460</v>
      </c>
      <c r="D148" s="341">
        <v>0.96</v>
      </c>
      <c r="E148" s="302">
        <v>0</v>
      </c>
      <c r="F148" s="31" t="str">
        <f>IFERROR(VLOOKUP($C148,[14]Nod!$A$3:$E$982,4,FALSE)," ")</f>
        <v>ECO230</v>
      </c>
      <c r="G148" s="31">
        <f>IFERROR(VLOOKUP($C148,[14]Nod!$A$3:$E$982,5,FALSE)," ")</f>
        <v>5</v>
      </c>
      <c r="K148" s="295"/>
      <c r="L148" s="281"/>
      <c r="M148" s="281"/>
    </row>
    <row r="149" spans="1:13" ht="15" customHeight="1">
      <c r="A149" s="301" t="s">
        <v>238</v>
      </c>
      <c r="C149" s="39">
        <v>6460</v>
      </c>
      <c r="D149" s="331">
        <v>0.48</v>
      </c>
      <c r="E149" s="302">
        <v>0</v>
      </c>
      <c r="F149" s="31" t="str">
        <f>IFERROR(VLOOKUP($C149,[14]Nod!$A$3:$E$982,4,FALSE)," ")</f>
        <v>ECO230</v>
      </c>
      <c r="G149" s="31">
        <f>IFERROR(VLOOKUP($C149,[14]Nod!$A$3:$E$982,5,FALSE)," ")</f>
        <v>5</v>
      </c>
      <c r="K149" s="295"/>
      <c r="L149" s="281"/>
      <c r="M149" s="281"/>
    </row>
    <row r="150" spans="1:13" ht="15" customHeight="1">
      <c r="A150" s="301" t="s">
        <v>298</v>
      </c>
      <c r="C150" s="39">
        <v>6460</v>
      </c>
      <c r="D150" s="339">
        <v>8.5</v>
      </c>
      <c r="E150" s="302">
        <v>0</v>
      </c>
      <c r="F150" s="31" t="str">
        <f>IFERROR(VLOOKUP($C150,[14]Nod!$A$3:$E$982,4,FALSE)," ")</f>
        <v>ECO230</v>
      </c>
      <c r="G150" s="31">
        <f>IFERROR(VLOOKUP($C150,[14]Nod!$A$3:$E$982,5,FALSE)," ")</f>
        <v>5</v>
      </c>
      <c r="K150" s="295"/>
      <c r="L150" s="281"/>
      <c r="M150" s="281"/>
    </row>
    <row r="151" spans="1:13" ht="15" customHeight="1">
      <c r="A151" s="301" t="s">
        <v>223</v>
      </c>
      <c r="C151" s="39">
        <v>6460</v>
      </c>
      <c r="D151" s="339">
        <v>8.5</v>
      </c>
      <c r="E151" s="302">
        <v>0</v>
      </c>
      <c r="F151" s="31" t="str">
        <f>IFERROR(VLOOKUP($C151,[14]Nod!$A$3:$E$982,4,FALSE)," ")</f>
        <v>ECO230</v>
      </c>
      <c r="G151" s="31">
        <f>IFERROR(VLOOKUP($C151,[14]Nod!$A$3:$E$982,5,FALSE)," ")</f>
        <v>5</v>
      </c>
      <c r="K151" s="295"/>
      <c r="L151" s="281"/>
      <c r="M151" s="281"/>
    </row>
    <row r="152" spans="1:13" ht="15" customHeight="1">
      <c r="A152" s="301" t="s">
        <v>297</v>
      </c>
      <c r="C152" s="39">
        <v>6460</v>
      </c>
      <c r="D152" s="331">
        <v>9.52</v>
      </c>
      <c r="E152" s="302">
        <v>0</v>
      </c>
      <c r="F152" s="31" t="str">
        <f>IFERROR(VLOOKUP($C152,[14]Nod!$A$3:$E$982,4,FALSE)," ")</f>
        <v>ECO230</v>
      </c>
      <c r="G152" s="31">
        <f>IFERROR(VLOOKUP($C152,[14]Nod!$A$3:$E$982,5,FALSE)," ")</f>
        <v>5</v>
      </c>
      <c r="K152" s="295"/>
      <c r="L152" s="281"/>
      <c r="M152" s="281"/>
    </row>
    <row r="153" spans="1:13" ht="15" customHeight="1">
      <c r="A153" s="301" t="s">
        <v>224</v>
      </c>
      <c r="C153" s="39">
        <v>6460</v>
      </c>
      <c r="D153" s="331">
        <v>10.78</v>
      </c>
      <c r="E153" s="302">
        <v>0</v>
      </c>
      <c r="F153" s="31" t="str">
        <f>IFERROR(VLOOKUP($C153,[14]Nod!$A$3:$E$982,4,FALSE)," ")</f>
        <v>ECO230</v>
      </c>
      <c r="G153" s="31">
        <f>IFERROR(VLOOKUP($C153,[14]Nod!$A$3:$E$982,5,FALSE)," ")</f>
        <v>5</v>
      </c>
      <c r="K153" s="295"/>
      <c r="L153" s="281"/>
      <c r="M153" s="281"/>
    </row>
    <row r="154" spans="1:13" ht="15" customHeight="1">
      <c r="A154" s="301" t="s">
        <v>225</v>
      </c>
      <c r="C154" s="39">
        <v>6460</v>
      </c>
      <c r="D154" s="331">
        <v>8.5</v>
      </c>
      <c r="E154" s="302">
        <v>0</v>
      </c>
      <c r="F154" s="31" t="str">
        <f>IFERROR(VLOOKUP($C154,[14]Nod!$A$3:$E$982,4,FALSE)," ")</f>
        <v>ECO230</v>
      </c>
      <c r="G154" s="31">
        <f>IFERROR(VLOOKUP($C154,[14]Nod!$A$3:$E$982,5,FALSE)," ")</f>
        <v>5</v>
      </c>
      <c r="K154" s="295"/>
      <c r="L154" s="281"/>
      <c r="M154" s="281"/>
    </row>
    <row r="155" spans="1:13" ht="15" customHeight="1">
      <c r="A155" s="301" t="s">
        <v>226</v>
      </c>
      <c r="C155" s="39">
        <v>6460</v>
      </c>
      <c r="D155" s="331">
        <v>10</v>
      </c>
      <c r="E155" s="302">
        <v>0</v>
      </c>
      <c r="F155" s="31" t="str">
        <f>IFERROR(VLOOKUP($C155,[14]Nod!$A$3:$E$982,4,FALSE)," ")</f>
        <v>ECO230</v>
      </c>
      <c r="G155" s="31">
        <f>IFERROR(VLOOKUP($C155,[14]Nod!$A$3:$E$982,5,FALSE)," ")</f>
        <v>5</v>
      </c>
      <c r="K155" s="295"/>
      <c r="L155" s="281"/>
      <c r="M155" s="281"/>
    </row>
    <row r="156" spans="1:13" ht="15" customHeight="1">
      <c r="A156" s="301" t="s">
        <v>227</v>
      </c>
      <c r="C156" s="39">
        <v>6460</v>
      </c>
      <c r="D156" s="331">
        <v>10</v>
      </c>
      <c r="E156" s="302">
        <v>0</v>
      </c>
      <c r="F156" s="31" t="str">
        <f>IFERROR(VLOOKUP($C156,[14]Nod!$A$3:$E$982,4,FALSE)," ")</f>
        <v>ECO230</v>
      </c>
      <c r="G156" s="31">
        <f>IFERROR(VLOOKUP($C156,[14]Nod!$A$3:$E$982,5,FALSE)," ")</f>
        <v>5</v>
      </c>
      <c r="K156" s="295"/>
      <c r="L156" s="281"/>
      <c r="M156" s="281"/>
    </row>
    <row r="157" spans="1:13" ht="15" customHeight="1">
      <c r="A157" s="301" t="s">
        <v>214</v>
      </c>
      <c r="C157" s="39">
        <v>6460</v>
      </c>
      <c r="D157" s="331">
        <v>17.5</v>
      </c>
      <c r="E157" s="302">
        <v>0</v>
      </c>
      <c r="F157" s="31" t="str">
        <f>IFERROR(VLOOKUP($C157,[14]Nod!$A$3:$E$982,4,FALSE)," ")</f>
        <v>ECO230</v>
      </c>
      <c r="G157" s="31">
        <f>IFERROR(VLOOKUP($C157,[14]Nod!$A$3:$E$982,5,FALSE)," ")</f>
        <v>5</v>
      </c>
      <c r="K157" s="295"/>
      <c r="L157" s="281"/>
      <c r="M157" s="281"/>
    </row>
    <row r="158" spans="1:13" ht="15" customHeight="1">
      <c r="A158" s="301" t="s">
        <v>215</v>
      </c>
      <c r="C158" s="39">
        <v>6460</v>
      </c>
      <c r="D158" s="331">
        <v>52.5</v>
      </c>
      <c r="E158" s="302">
        <v>0</v>
      </c>
      <c r="F158" s="31" t="str">
        <f>IFERROR(VLOOKUP($C158,[14]Nod!$A$3:$E$982,4,FALSE)," ")</f>
        <v>ECO230</v>
      </c>
      <c r="G158" s="31">
        <f>IFERROR(VLOOKUP($C158,[14]Nod!$A$3:$E$982,5,FALSE)," ")</f>
        <v>5</v>
      </c>
      <c r="K158" s="295"/>
      <c r="L158" s="281"/>
      <c r="M158" s="281"/>
    </row>
    <row r="159" spans="1:13" ht="15" customHeight="1">
      <c r="A159" s="301" t="s">
        <v>296</v>
      </c>
      <c r="C159" s="39">
        <v>6460</v>
      </c>
      <c r="D159" s="331">
        <v>55</v>
      </c>
      <c r="E159" s="302">
        <v>0</v>
      </c>
      <c r="F159" s="31" t="str">
        <f>IFERROR(VLOOKUP($C159,[14]Nod!$A$3:$E$982,4,FALSE)," ")</f>
        <v>ECO230</v>
      </c>
      <c r="G159" s="31">
        <f>IFERROR(VLOOKUP($C159,[14]Nod!$A$3:$E$982,5,FALSE)," ")</f>
        <v>5</v>
      </c>
      <c r="K159" s="295"/>
      <c r="L159" s="281"/>
      <c r="M159" s="281"/>
    </row>
    <row r="160" spans="1:13" ht="15" customHeight="1">
      <c r="A160" s="301" t="s">
        <v>295</v>
      </c>
      <c r="C160" s="39">
        <v>6460</v>
      </c>
      <c r="D160" s="331">
        <v>62.5</v>
      </c>
      <c r="E160" s="302">
        <v>0</v>
      </c>
      <c r="F160" s="31" t="str">
        <f>IFERROR(VLOOKUP($C160,[14]Nod!$A$3:$E$982,4,FALSE)," ")</f>
        <v>ECO230</v>
      </c>
      <c r="G160" s="31">
        <f>IFERROR(VLOOKUP($C160,[14]Nod!$A$3:$E$982,5,FALSE)," ")</f>
        <v>5</v>
      </c>
      <c r="K160" s="295"/>
      <c r="L160" s="281"/>
      <c r="M160" s="281"/>
    </row>
    <row r="161" spans="1:13" ht="15" customHeight="1">
      <c r="A161" s="301" t="s">
        <v>216</v>
      </c>
      <c r="C161" s="39">
        <v>6460</v>
      </c>
      <c r="D161" s="331">
        <v>32.5</v>
      </c>
      <c r="E161" s="302">
        <v>0</v>
      </c>
      <c r="F161" s="31" t="str">
        <f>IFERROR(VLOOKUP($C161,[14]Nod!$A$3:$E$982,4,FALSE)," ")</f>
        <v>ECO230</v>
      </c>
      <c r="G161" s="31">
        <f>IFERROR(VLOOKUP($C161,[14]Nod!$A$3:$E$982,5,FALSE)," ")</f>
        <v>5</v>
      </c>
      <c r="K161" s="295"/>
      <c r="L161" s="281"/>
      <c r="M161" s="281"/>
    </row>
    <row r="162" spans="1:13" ht="15" customHeight="1">
      <c r="A162" s="301" t="s">
        <v>217</v>
      </c>
      <c r="C162" s="39">
        <v>6460</v>
      </c>
      <c r="D162" s="331">
        <v>50</v>
      </c>
      <c r="E162" s="302">
        <v>0</v>
      </c>
      <c r="F162" s="31" t="str">
        <f>IFERROR(VLOOKUP($C162,[14]Nod!$A$3:$E$982,4,FALSE)," ")</f>
        <v>ECO230</v>
      </c>
      <c r="G162" s="31">
        <f>IFERROR(VLOOKUP($C162,[14]Nod!$A$3:$E$982,5,FALSE)," ")</f>
        <v>5</v>
      </c>
      <c r="K162" s="295"/>
      <c r="L162" s="281"/>
      <c r="M162" s="281"/>
    </row>
    <row r="163" spans="1:13" ht="15" customHeight="1">
      <c r="A163" s="301" t="s">
        <v>294</v>
      </c>
      <c r="C163" s="39">
        <v>6460</v>
      </c>
      <c r="D163" s="331">
        <v>66</v>
      </c>
      <c r="E163" s="302">
        <v>0</v>
      </c>
      <c r="F163" s="31" t="str">
        <f>IFERROR(VLOOKUP($C163,[14]Nod!$A$3:$E$982,4,FALSE)," ")</f>
        <v>ECO230</v>
      </c>
      <c r="G163" s="31">
        <f>IFERROR(VLOOKUP($C163,[14]Nod!$A$3:$E$982,5,FALSE)," ")</f>
        <v>5</v>
      </c>
      <c r="L163" s="281"/>
      <c r="M163" s="281"/>
    </row>
    <row r="164" spans="1:13" ht="15" customHeight="1">
      <c r="A164" s="301" t="s">
        <v>228</v>
      </c>
      <c r="C164" s="58">
        <v>6460</v>
      </c>
      <c r="D164" s="331">
        <v>16</v>
      </c>
      <c r="E164" s="302">
        <v>0</v>
      </c>
      <c r="F164" s="31" t="str">
        <f>IFERROR(VLOOKUP($C164,[14]Nod!$A$3:$E$982,4,FALSE)," ")</f>
        <v>ECO230</v>
      </c>
      <c r="G164" s="31">
        <f>IFERROR(VLOOKUP($C164,[14]Nod!$A$3:$E$982,5,FALSE)," ")</f>
        <v>5</v>
      </c>
      <c r="L164" s="281"/>
      <c r="M164" s="281"/>
    </row>
    <row r="165" spans="1:13" ht="15" customHeight="1">
      <c r="A165" s="320" t="s">
        <v>239</v>
      </c>
      <c r="C165" s="56">
        <v>6008</v>
      </c>
      <c r="D165" s="331">
        <v>5.66</v>
      </c>
      <c r="E165" s="302">
        <v>0</v>
      </c>
      <c r="F165" s="31" t="str">
        <f>IFERROR(VLOOKUP($C165,[14]Nod!$A$3:$E$982,4,FALSE)," ")</f>
        <v>LSA230</v>
      </c>
      <c r="G165" s="31">
        <f>IFERROR(VLOOKUP($C165,[14]Nod!$A$3:$E$982,5,FALSE)," ")</f>
        <v>5</v>
      </c>
      <c r="L165" s="281"/>
      <c r="M165" s="281"/>
    </row>
    <row r="166" spans="1:13" ht="15" customHeight="1">
      <c r="A166" s="301" t="s">
        <v>293</v>
      </c>
      <c r="C166" s="56">
        <v>6008</v>
      </c>
      <c r="D166" s="331">
        <v>9.9</v>
      </c>
      <c r="E166" s="302">
        <v>0</v>
      </c>
      <c r="F166" s="31" t="str">
        <f>IFERROR(VLOOKUP($C166,[14]Nod!$A$3:$E$982,4,FALSE)," ")</f>
        <v>LSA230</v>
      </c>
      <c r="G166" s="31">
        <f>IFERROR(VLOOKUP($C166,[14]Nod!$A$3:$E$982,5,FALSE)," ")</f>
        <v>5</v>
      </c>
      <c r="L166" s="281"/>
      <c r="M166" s="281"/>
    </row>
    <row r="167" spans="1:13" ht="15" customHeight="1">
      <c r="A167" s="301" t="s">
        <v>229</v>
      </c>
      <c r="C167" s="56">
        <v>6008</v>
      </c>
      <c r="D167" s="331">
        <v>5</v>
      </c>
      <c r="E167" s="302">
        <v>0</v>
      </c>
      <c r="F167" s="31" t="str">
        <f>IFERROR(VLOOKUP($C167,[14]Nod!$A$3:$E$982,4,FALSE)," ")</f>
        <v>LSA230</v>
      </c>
      <c r="G167" s="31">
        <f>IFERROR(VLOOKUP($C167,[14]Nod!$A$3:$E$982,5,FALSE)," ")</f>
        <v>5</v>
      </c>
      <c r="L167" s="281"/>
      <c r="M167" s="281"/>
    </row>
    <row r="168" spans="1:13" ht="15" customHeight="1">
      <c r="A168" s="301" t="s">
        <v>240</v>
      </c>
      <c r="C168" s="56">
        <v>6008</v>
      </c>
      <c r="D168" s="331">
        <v>120</v>
      </c>
      <c r="E168" s="302">
        <v>0</v>
      </c>
      <c r="F168" s="31" t="str">
        <f>IFERROR(VLOOKUP($C168,[14]Nod!$A$3:$E$982,4,FALSE)," ")</f>
        <v>LSA230</v>
      </c>
      <c r="G168" s="31">
        <f>IFERROR(VLOOKUP($C168,[14]Nod!$A$3:$E$982,5,FALSE)," ")</f>
        <v>5</v>
      </c>
      <c r="L168" s="281"/>
      <c r="M168" s="281"/>
    </row>
    <row r="169" spans="1:13" ht="15" customHeight="1">
      <c r="A169" s="301" t="s">
        <v>218</v>
      </c>
      <c r="C169" s="56">
        <v>6008</v>
      </c>
      <c r="D169" s="331">
        <v>9.9700000000000006</v>
      </c>
      <c r="E169" s="48">
        <v>0</v>
      </c>
      <c r="F169" s="31" t="str">
        <f>IFERROR(VLOOKUP($C169,[14]Nod!$A$3:$E$982,4,FALSE)," ")</f>
        <v>LSA230</v>
      </c>
      <c r="G169" s="31">
        <f>IFERROR(VLOOKUP($C169,[14]Nod!$A$3:$E$982,5,FALSE)," ")</f>
        <v>5</v>
      </c>
      <c r="L169" s="281"/>
      <c r="M169" s="281"/>
    </row>
    <row r="170" spans="1:13" ht="15" customHeight="1">
      <c r="A170" s="301" t="s">
        <v>230</v>
      </c>
      <c r="C170" s="56">
        <v>6008</v>
      </c>
      <c r="D170" s="339">
        <v>9.9700000000000006</v>
      </c>
      <c r="E170" s="48">
        <v>0</v>
      </c>
      <c r="F170" s="31" t="str">
        <f>IFERROR(VLOOKUP($C170,[14]Nod!$A$3:$E$982,4,FALSE)," ")</f>
        <v>LSA230</v>
      </c>
      <c r="G170" s="31">
        <f>IFERROR(VLOOKUP($C170,[14]Nod!$A$3:$E$982,5,FALSE)," ")</f>
        <v>5</v>
      </c>
      <c r="L170" s="281"/>
      <c r="M170" s="281"/>
    </row>
    <row r="171" spans="1:13" ht="15" customHeight="1">
      <c r="A171" s="301" t="s">
        <v>231</v>
      </c>
      <c r="C171" s="56">
        <v>6008</v>
      </c>
      <c r="D171" s="339">
        <v>9.8800000000000008</v>
      </c>
      <c r="E171" s="48">
        <v>0</v>
      </c>
      <c r="F171" s="31" t="str">
        <f>IFERROR(VLOOKUP($C171,[14]Nod!$A$3:$E$982,4,FALSE)," ")</f>
        <v>LSA230</v>
      </c>
      <c r="G171" s="31">
        <f>IFERROR(VLOOKUP($C171,[14]Nod!$A$3:$E$982,5,FALSE)," ")</f>
        <v>5</v>
      </c>
      <c r="L171" s="281"/>
      <c r="M171" s="281"/>
    </row>
    <row r="172" spans="1:13" ht="15" customHeight="1">
      <c r="A172" s="301" t="s">
        <v>292</v>
      </c>
      <c r="C172" s="56">
        <v>6008</v>
      </c>
      <c r="D172" s="331">
        <v>3.24</v>
      </c>
      <c r="E172" s="48">
        <v>0</v>
      </c>
      <c r="F172" s="31" t="str">
        <f>IFERROR(VLOOKUP($C172,[14]Nod!$A$3:$E$982,4,FALSE)," ")</f>
        <v>LSA230</v>
      </c>
      <c r="G172" s="31">
        <f>IFERROR(VLOOKUP($C172,[14]Nod!$A$3:$E$982,5,FALSE)," ")</f>
        <v>5</v>
      </c>
      <c r="L172" s="281"/>
      <c r="M172" s="281"/>
    </row>
    <row r="173" spans="1:13" ht="15" customHeight="1">
      <c r="A173" s="301" t="s">
        <v>241</v>
      </c>
      <c r="B173" s="59"/>
      <c r="C173" s="56">
        <v>6008</v>
      </c>
      <c r="D173" s="331">
        <v>2.4</v>
      </c>
      <c r="E173" s="48">
        <v>0</v>
      </c>
      <c r="F173" s="31" t="str">
        <f>IFERROR(VLOOKUP($C173,[14]Nod!$A$3:$E$982,4,FALSE)," ")</f>
        <v>LSA230</v>
      </c>
      <c r="G173" s="31">
        <f>IFERROR(VLOOKUP($C173,[14]Nod!$A$3:$E$982,5,FALSE)," ")</f>
        <v>5</v>
      </c>
      <c r="L173" s="281"/>
      <c r="M173" s="281"/>
    </row>
    <row r="174" spans="1:13" ht="15" customHeight="1">
      <c r="A174" s="301" t="s">
        <v>242</v>
      </c>
      <c r="B174" s="59"/>
      <c r="C174" s="56">
        <v>6008</v>
      </c>
      <c r="D174" s="331">
        <v>9.9</v>
      </c>
      <c r="E174" s="48">
        <v>0</v>
      </c>
      <c r="F174" s="31" t="str">
        <f>IFERROR(VLOOKUP($C174,[14]Nod!$A$3:$E$982,4,FALSE)," ")</f>
        <v>LSA230</v>
      </c>
      <c r="G174" s="31">
        <f>IFERROR(VLOOKUP($C174,[14]Nod!$A$3:$E$982,5,FALSE)," ")</f>
        <v>5</v>
      </c>
      <c r="L174" s="281"/>
      <c r="M174" s="281"/>
    </row>
    <row r="175" spans="1:13" ht="15" customHeight="1">
      <c r="A175" s="301" t="s">
        <v>291</v>
      </c>
      <c r="B175" s="59"/>
      <c r="C175" s="56">
        <v>6008</v>
      </c>
      <c r="D175" s="338">
        <v>9.99</v>
      </c>
      <c r="E175" s="48">
        <v>0</v>
      </c>
      <c r="F175" s="31" t="str">
        <f>IFERROR(VLOOKUP($C175,[14]Nod!$A$3:$E$982,4,FALSE)," ")</f>
        <v>LSA230</v>
      </c>
      <c r="G175" s="31">
        <f>IFERROR(VLOOKUP($C175,[14]Nod!$A$3:$E$982,5,FALSE)," ")</f>
        <v>5</v>
      </c>
      <c r="L175" s="281"/>
      <c r="M175" s="281"/>
    </row>
    <row r="176" spans="1:13" ht="15" customHeight="1">
      <c r="A176" s="340" t="s">
        <v>290</v>
      </c>
      <c r="B176" s="59"/>
      <c r="C176" s="56">
        <v>6008</v>
      </c>
      <c r="D176" s="331">
        <v>9.9</v>
      </c>
      <c r="E176" s="48">
        <v>0</v>
      </c>
      <c r="F176" s="31" t="str">
        <f>IFERROR(VLOOKUP($C176,[14]Nod!$A$3:$E$982,4,FALSE)," ")</f>
        <v>LSA230</v>
      </c>
      <c r="G176" s="31">
        <f>IFERROR(VLOOKUP($C176,[14]Nod!$A$3:$E$982,5,FALSE)," ")</f>
        <v>5</v>
      </c>
      <c r="L176" s="281"/>
      <c r="M176" s="281"/>
    </row>
    <row r="177" spans="1:13" ht="15" customHeight="1">
      <c r="A177" s="301" t="s">
        <v>235</v>
      </c>
      <c r="B177" s="59"/>
      <c r="C177" s="56">
        <v>6008</v>
      </c>
      <c r="D177" s="338">
        <v>9.99</v>
      </c>
      <c r="E177" s="48">
        <v>0</v>
      </c>
      <c r="F177" s="31" t="str">
        <f>IFERROR(VLOOKUP($C177,[14]Nod!$A$3:$E$982,4,FALSE)," ")</f>
        <v>LSA230</v>
      </c>
      <c r="G177" s="31">
        <f>IFERROR(VLOOKUP($C177,[14]Nod!$A$3:$E$982,5,FALSE)," ")</f>
        <v>5</v>
      </c>
      <c r="L177" s="281"/>
      <c r="M177" s="281"/>
    </row>
    <row r="178" spans="1:13" ht="15" customHeight="1">
      <c r="A178" s="301" t="s">
        <v>289</v>
      </c>
      <c r="B178" s="59"/>
      <c r="C178" s="56">
        <v>6008</v>
      </c>
      <c r="D178" s="331">
        <v>5</v>
      </c>
      <c r="E178" s="48">
        <v>0</v>
      </c>
      <c r="F178" s="31" t="str">
        <f>IFERROR(VLOOKUP($C178,[14]Nod!$A$3:$E$982,4,FALSE)," ")</f>
        <v>LSA230</v>
      </c>
      <c r="G178" s="31">
        <f>IFERROR(VLOOKUP($C178,[14]Nod!$A$3:$E$982,5,FALSE)," ")</f>
        <v>5</v>
      </c>
      <c r="L178" s="281"/>
      <c r="M178" s="281"/>
    </row>
    <row r="179" spans="1:13" ht="15" customHeight="1">
      <c r="A179" s="301" t="s">
        <v>243</v>
      </c>
      <c r="B179" s="59"/>
      <c r="C179" s="56">
        <v>6008</v>
      </c>
      <c r="D179" s="331">
        <v>5</v>
      </c>
      <c r="E179" s="48">
        <v>0</v>
      </c>
      <c r="F179" s="31" t="str">
        <f>IFERROR(VLOOKUP($C179,[14]Nod!$A$3:$E$982,4,FALSE)," ")</f>
        <v>LSA230</v>
      </c>
      <c r="G179" s="31">
        <f>IFERROR(VLOOKUP($C179,[14]Nod!$A$3:$E$982,5,FALSE)," ")</f>
        <v>5</v>
      </c>
      <c r="L179" s="281"/>
      <c r="M179" s="281"/>
    </row>
    <row r="180" spans="1:13" ht="15" customHeight="1">
      <c r="A180" s="301" t="s">
        <v>244</v>
      </c>
      <c r="B180" s="59"/>
      <c r="C180" s="56">
        <v>6008</v>
      </c>
      <c r="D180" s="338">
        <v>7.5</v>
      </c>
      <c r="E180" s="48">
        <v>0</v>
      </c>
      <c r="F180" s="31" t="str">
        <f>IFERROR(VLOOKUP($C180,[14]Nod!$A$3:$E$982,4,FALSE)," ")</f>
        <v>LSA230</v>
      </c>
      <c r="G180" s="31">
        <f>IFERROR(VLOOKUP($C180,[14]Nod!$A$3:$E$982,5,FALSE)," ")</f>
        <v>5</v>
      </c>
      <c r="L180" s="281"/>
      <c r="M180" s="281"/>
    </row>
    <row r="181" spans="1:13" ht="15" customHeight="1">
      <c r="A181" s="301" t="s">
        <v>288</v>
      </c>
      <c r="B181" s="59"/>
      <c r="C181" s="56">
        <v>6008</v>
      </c>
      <c r="D181" s="331">
        <v>10</v>
      </c>
      <c r="E181" s="48">
        <v>0</v>
      </c>
      <c r="F181" s="31" t="str">
        <f>IFERROR(VLOOKUP($C181,[14]Nod!$A$3:$E$982,4,FALSE)," ")</f>
        <v>LSA230</v>
      </c>
      <c r="G181" s="31">
        <f>IFERROR(VLOOKUP($C181,[14]Nod!$A$3:$E$982,5,FALSE)," ")</f>
        <v>5</v>
      </c>
      <c r="L181" s="281"/>
      <c r="M181" s="281"/>
    </row>
    <row r="182" spans="1:13" ht="15" customHeight="1">
      <c r="A182" s="314" t="s">
        <v>287</v>
      </c>
      <c r="B182" s="59"/>
      <c r="C182" s="56">
        <v>6008</v>
      </c>
      <c r="D182" s="331">
        <v>8.0399999999999991</v>
      </c>
      <c r="E182" s="48">
        <v>0</v>
      </c>
      <c r="F182" s="31" t="str">
        <f>IFERROR(VLOOKUP($C182,[14]Nod!$A$3:$E$982,4,FALSE)," ")</f>
        <v>LSA230</v>
      </c>
      <c r="G182" s="31">
        <f>IFERROR(VLOOKUP($C182,[14]Nod!$A$3:$E$982,5,FALSE)," ")</f>
        <v>5</v>
      </c>
      <c r="L182" s="281"/>
      <c r="M182" s="281"/>
    </row>
    <row r="183" spans="1:13" ht="15" customHeight="1">
      <c r="A183" s="301" t="s">
        <v>232</v>
      </c>
      <c r="B183" s="59"/>
      <c r="C183" s="56">
        <v>6008</v>
      </c>
      <c r="D183" s="331">
        <v>7.56</v>
      </c>
      <c r="E183" s="40">
        <v>0</v>
      </c>
      <c r="F183" s="31" t="str">
        <f>IFERROR(VLOOKUP($C183,[14]Nod!$A$3:$E$982,4,FALSE)," ")</f>
        <v>LSA230</v>
      </c>
      <c r="G183" s="31">
        <f>IFERROR(VLOOKUP($C183,[14]Nod!$A$3:$E$982,5,FALSE)," ")</f>
        <v>5</v>
      </c>
      <c r="L183" s="281"/>
      <c r="M183" s="281"/>
    </row>
    <row r="184" spans="1:13" ht="15" customHeight="1">
      <c r="A184" s="301" t="s">
        <v>233</v>
      </c>
      <c r="B184" s="59"/>
      <c r="C184" s="56">
        <v>6008</v>
      </c>
      <c r="D184" s="331">
        <v>9.9499999999999993</v>
      </c>
      <c r="E184" s="40">
        <v>0</v>
      </c>
      <c r="F184" s="31" t="str">
        <f>IFERROR(VLOOKUP($C184,[14]Nod!$A$3:$E$982,4,FALSE)," ")</f>
        <v>LSA230</v>
      </c>
      <c r="G184" s="31">
        <f>IFERROR(VLOOKUP($C184,[14]Nod!$A$3:$E$982,5,FALSE)," ")</f>
        <v>5</v>
      </c>
      <c r="L184" s="281"/>
      <c r="M184" s="281"/>
    </row>
    <row r="185" spans="1:13" ht="15" customHeight="1">
      <c r="A185" s="301" t="s">
        <v>234</v>
      </c>
      <c r="B185" s="59"/>
      <c r="C185" s="56">
        <v>6008</v>
      </c>
      <c r="D185" s="331">
        <v>5.0999999999999996</v>
      </c>
      <c r="E185" s="40">
        <v>0</v>
      </c>
      <c r="F185" s="31" t="str">
        <f>IFERROR(VLOOKUP($C185,[14]Nod!$A$3:$E$982,4,FALSE)," ")</f>
        <v>LSA230</v>
      </c>
      <c r="G185" s="31">
        <f>IFERROR(VLOOKUP($C185,[14]Nod!$A$3:$E$982,5,FALSE)," ")</f>
        <v>5</v>
      </c>
      <c r="L185" s="281"/>
      <c r="M185" s="281"/>
    </row>
    <row r="186" spans="1:13" ht="15" customHeight="1">
      <c r="A186" s="301" t="s">
        <v>286</v>
      </c>
      <c r="B186" s="59"/>
      <c r="C186" s="56">
        <v>6008</v>
      </c>
      <c r="D186" s="331">
        <v>9.99</v>
      </c>
      <c r="E186" s="40">
        <v>0</v>
      </c>
      <c r="F186" s="31" t="str">
        <f>IFERROR(VLOOKUP($C186,[14]Nod!$A$3:$E$982,4,FALSE)," ")</f>
        <v>LSA230</v>
      </c>
      <c r="G186" s="31">
        <f>IFERROR(VLOOKUP($C186,[14]Nod!$A$3:$E$982,5,FALSE)," ")</f>
        <v>5</v>
      </c>
      <c r="L186" s="281"/>
      <c r="M186" s="281"/>
    </row>
    <row r="187" spans="1:13" ht="15" customHeight="1">
      <c r="A187" s="301" t="s">
        <v>285</v>
      </c>
      <c r="B187" s="59"/>
      <c r="C187" s="56">
        <v>6008</v>
      </c>
      <c r="D187" s="331">
        <v>9.9</v>
      </c>
      <c r="E187" s="40">
        <v>0</v>
      </c>
      <c r="F187" s="31" t="str">
        <f>IFERROR(VLOOKUP($C187,[14]Nod!$A$3:$E$982,4,FALSE)," ")</f>
        <v>LSA230</v>
      </c>
      <c r="G187" s="31">
        <f>IFERROR(VLOOKUP($C187,[14]Nod!$A$3:$E$982,5,FALSE)," ")</f>
        <v>5</v>
      </c>
      <c r="L187" s="281"/>
      <c r="M187" s="281"/>
    </row>
    <row r="188" spans="1:13" ht="15" customHeight="1">
      <c r="A188" s="301" t="s">
        <v>236</v>
      </c>
      <c r="C188" s="56">
        <v>6008</v>
      </c>
      <c r="D188" s="331">
        <v>10</v>
      </c>
      <c r="E188" s="39">
        <v>0</v>
      </c>
      <c r="F188" s="31" t="str">
        <f>IFERROR(VLOOKUP($C188,[14]Nod!$A$3:$E$982,4,FALSE)," ")</f>
        <v>LSA230</v>
      </c>
      <c r="G188" s="31">
        <f>IFERROR(VLOOKUP($C188,[14]Nod!$A$3:$E$982,5,FALSE)," ")</f>
        <v>5</v>
      </c>
      <c r="L188" s="281"/>
      <c r="M188" s="281"/>
    </row>
    <row r="189" spans="1:13" ht="15" customHeight="1">
      <c r="A189" s="301" t="s">
        <v>237</v>
      </c>
      <c r="C189" s="56">
        <v>6008</v>
      </c>
      <c r="D189" s="331">
        <v>9.99</v>
      </c>
      <c r="E189" s="39">
        <v>0</v>
      </c>
      <c r="F189" s="31" t="str">
        <f>IFERROR(VLOOKUP($C189,[14]Nod!$A$3:$E$982,4,FALSE)," ")</f>
        <v>LSA230</v>
      </c>
      <c r="G189" s="31">
        <f>IFERROR(VLOOKUP($C189,[14]Nod!$A$3:$E$982,5,FALSE)," ")</f>
        <v>5</v>
      </c>
      <c r="L189" s="281"/>
      <c r="M189" s="281"/>
    </row>
    <row r="190" spans="1:13" ht="15" customHeight="1">
      <c r="A190" s="314" t="s">
        <v>284</v>
      </c>
      <c r="C190" s="56">
        <v>6008</v>
      </c>
      <c r="D190" s="331">
        <v>7.3</v>
      </c>
      <c r="E190" s="39">
        <v>0</v>
      </c>
      <c r="F190" s="31" t="str">
        <f>IFERROR(VLOOKUP($C190,[14]Nod!$A$3:$E$982,4,FALSE)," ")</f>
        <v>LSA230</v>
      </c>
      <c r="G190" s="31">
        <f>IFERROR(VLOOKUP($C190,[14]Nod!$A$3:$E$982,5,FALSE)," ")</f>
        <v>5</v>
      </c>
      <c r="L190" s="281"/>
      <c r="M190" s="281"/>
    </row>
    <row r="191" spans="1:13" ht="15" customHeight="1">
      <c r="A191" s="314" t="s">
        <v>283</v>
      </c>
      <c r="C191" s="56">
        <v>6008</v>
      </c>
      <c r="D191" s="331">
        <v>19.8</v>
      </c>
      <c r="E191" s="39">
        <v>0</v>
      </c>
      <c r="F191" s="31" t="str">
        <f>IFERROR(VLOOKUP($C191,[14]Nod!$A$3:$E$982,4,FALSE)," ")</f>
        <v>LSA230</v>
      </c>
      <c r="G191" s="31">
        <f>IFERROR(VLOOKUP($C191,[14]Nod!$A$3:$E$982,5,FALSE)," ")</f>
        <v>5</v>
      </c>
      <c r="L191" s="281"/>
      <c r="M191" s="281"/>
    </row>
    <row r="192" spans="1:13" ht="15" customHeight="1">
      <c r="A192" s="314" t="s">
        <v>282</v>
      </c>
      <c r="C192" s="56">
        <v>6008</v>
      </c>
      <c r="D192" s="331">
        <v>125</v>
      </c>
      <c r="E192" s="39">
        <v>5</v>
      </c>
      <c r="F192" s="31" t="str">
        <f>IFERROR(VLOOKUP($C192,[14]Nod!$A$3:$E$982,4,FALSE)," ")</f>
        <v>LSA230</v>
      </c>
      <c r="G192" s="31">
        <f>IFERROR(VLOOKUP($C192,[14]Nod!$A$3:$E$982,5,FALSE)," ")</f>
        <v>5</v>
      </c>
      <c r="L192" s="281"/>
      <c r="M192" s="281"/>
    </row>
    <row r="193" spans="1:13" ht="15" customHeight="1">
      <c r="A193" s="314" t="s">
        <v>281</v>
      </c>
      <c r="C193" s="56">
        <v>6008</v>
      </c>
      <c r="D193" s="331">
        <v>68.400000000000006</v>
      </c>
      <c r="E193" s="39">
        <v>7</v>
      </c>
      <c r="F193" s="31" t="str">
        <f>IFERROR(VLOOKUP($C193,[14]Nod!$A$3:$E$982,4,FALSE)," ")</f>
        <v>LSA230</v>
      </c>
      <c r="G193" s="31">
        <f>IFERROR(VLOOKUP($C193,[14]Nod!$A$3:$E$982,5,FALSE)," ")</f>
        <v>5</v>
      </c>
      <c r="L193" s="281"/>
      <c r="M193" s="281"/>
    </row>
    <row r="194" spans="1:13" ht="15" customHeight="1">
      <c r="A194" s="314" t="s">
        <v>280</v>
      </c>
      <c r="C194" s="39"/>
      <c r="D194" s="331"/>
      <c r="E194" s="39"/>
      <c r="L194" s="281"/>
      <c r="M194" s="281"/>
    </row>
    <row r="195" spans="1:13" ht="15" customHeight="1">
      <c r="A195" s="314" t="s">
        <v>279</v>
      </c>
      <c r="C195" s="39"/>
      <c r="D195" s="331"/>
      <c r="E195" s="39"/>
      <c r="L195" s="281"/>
      <c r="M195" s="281"/>
    </row>
    <row r="196" spans="1:13" ht="15" customHeight="1">
      <c r="A196" s="314" t="s">
        <v>278</v>
      </c>
      <c r="C196" s="39"/>
      <c r="D196" s="331"/>
      <c r="E196" s="39"/>
      <c r="L196" s="281"/>
      <c r="M196" s="281"/>
    </row>
    <row r="197" spans="1:13" ht="15" customHeight="1">
      <c r="A197" s="314" t="s">
        <v>277</v>
      </c>
      <c r="C197" s="39"/>
      <c r="D197" s="331"/>
      <c r="E197" s="39"/>
      <c r="L197" s="281"/>
      <c r="M197" s="281"/>
    </row>
    <row r="198" spans="1:13" ht="15" customHeight="1">
      <c r="A198" s="314" t="s">
        <v>276</v>
      </c>
      <c r="C198" s="39"/>
      <c r="D198" s="331"/>
      <c r="E198" s="39"/>
      <c r="L198" s="281"/>
      <c r="M198" s="281"/>
    </row>
    <row r="199" spans="1:13" ht="15" customHeight="1">
      <c r="A199" s="314" t="s">
        <v>275</v>
      </c>
      <c r="C199" s="39"/>
      <c r="D199" s="331"/>
      <c r="E199" s="39"/>
      <c r="L199" s="281"/>
      <c r="M199" s="281"/>
    </row>
    <row r="200" spans="1:13" ht="15" customHeight="1">
      <c r="A200" s="314" t="s">
        <v>274</v>
      </c>
      <c r="C200" s="39"/>
      <c r="D200" s="331"/>
      <c r="E200" s="39"/>
      <c r="L200" s="281"/>
      <c r="M200" s="281"/>
    </row>
    <row r="201" spans="1:13" ht="15" customHeight="1">
      <c r="A201" s="314" t="s">
        <v>273</v>
      </c>
      <c r="C201" s="39"/>
      <c r="D201" s="331"/>
      <c r="E201" s="39"/>
      <c r="L201" s="281"/>
      <c r="M201" s="281"/>
    </row>
    <row r="202" spans="1:13" ht="15" customHeight="1">
      <c r="A202" s="314" t="s">
        <v>272</v>
      </c>
      <c r="C202" s="39"/>
      <c r="D202" s="331"/>
      <c r="E202" s="39"/>
      <c r="L202" s="281"/>
      <c r="M202" s="281"/>
    </row>
    <row r="203" spans="1:13" ht="15" customHeight="1" thickBot="1">
      <c r="A203" s="41" t="s">
        <v>35</v>
      </c>
      <c r="B203" s="59"/>
      <c r="C203" s="39"/>
      <c r="D203" s="333"/>
      <c r="E203" s="40"/>
      <c r="F203" s="31" t="str">
        <f>IFERROR(VLOOKUP($C203,[14]Nod!$A$3:$E$982,4,FALSE)," ")</f>
        <v xml:space="preserve"> </v>
      </c>
      <c r="G203" s="31" t="str">
        <f>IFERROR(VLOOKUP($C203,[14]Nod!$A$3:$E$982,5,FALSE)," ")</f>
        <v xml:space="preserve"> </v>
      </c>
      <c r="L203" s="281"/>
      <c r="M203" s="281"/>
    </row>
    <row r="204" spans="1:13" ht="15" customHeight="1">
      <c r="A204" s="47">
        <v>6</v>
      </c>
      <c r="B204" s="44"/>
      <c r="C204" s="45"/>
      <c r="D204" s="332">
        <f>SUM(D205:D223)</f>
        <v>321.21000000000004</v>
      </c>
      <c r="E204" s="297"/>
      <c r="F204" s="31" t="str">
        <f>IFERROR(VLOOKUP($C204,[14]Nod!$A$3:$E$982,4,FALSE)," ")</f>
        <v xml:space="preserve"> </v>
      </c>
      <c r="G204" s="31" t="str">
        <f>IFERROR(VLOOKUP($C204,[14]Nod!$A$3:$E$982,5,FALSE)," ")</f>
        <v xml:space="preserve"> </v>
      </c>
      <c r="L204" s="281"/>
      <c r="M204" s="281"/>
    </row>
    <row r="205" spans="1:13" ht="15" customHeight="1">
      <c r="A205" s="301" t="s">
        <v>91</v>
      </c>
      <c r="B205" s="3"/>
      <c r="C205" s="40">
        <v>6005</v>
      </c>
      <c r="D205" s="339">
        <v>147</v>
      </c>
      <c r="E205" s="302">
        <v>0</v>
      </c>
      <c r="F205" s="31" t="str">
        <f>IFERROR(VLOOKUP($C205,[14]Nod!$A$3:$E$982,4,FALSE)," ")</f>
        <v>CHO230</v>
      </c>
      <c r="G205" s="31">
        <f>IFERROR(VLOOKUP($C205,[14]Nod!$A$3:$E$982,5,FALSE)," ")</f>
        <v>6</v>
      </c>
      <c r="L205" s="281"/>
      <c r="M205" s="281"/>
    </row>
    <row r="206" spans="1:13" ht="15" customHeight="1">
      <c r="A206" s="301" t="s">
        <v>245</v>
      </c>
      <c r="B206" s="3"/>
      <c r="C206" s="54">
        <v>6005</v>
      </c>
      <c r="D206" s="331">
        <v>4.3</v>
      </c>
      <c r="E206" s="302">
        <v>0</v>
      </c>
      <c r="F206" s="31" t="str">
        <f>IFERROR(VLOOKUP($C206,[14]Nod!$A$3:$E$982,4,FALSE)," ")</f>
        <v>CHO230</v>
      </c>
      <c r="G206" s="31">
        <f>IFERROR(VLOOKUP($C206,[14]Nod!$A$3:$E$982,5,FALSE)," ")</f>
        <v>6</v>
      </c>
      <c r="L206" s="281"/>
      <c r="M206" s="281"/>
    </row>
    <row r="207" spans="1:13" ht="15" customHeight="1">
      <c r="A207" s="301" t="s">
        <v>271</v>
      </c>
      <c r="B207" s="3"/>
      <c r="C207" s="54">
        <v>6005</v>
      </c>
      <c r="D207" s="331">
        <v>0.96</v>
      </c>
      <c r="E207" s="302">
        <v>0</v>
      </c>
      <c r="F207" s="31" t="str">
        <f>IFERROR(VLOOKUP($C207,[14]Nod!$A$3:$E$982,4,FALSE)," ")</f>
        <v>CHO230</v>
      </c>
      <c r="G207" s="31">
        <f>IFERROR(VLOOKUP($C207,[14]Nod!$A$3:$E$982,5,FALSE)," ")</f>
        <v>6</v>
      </c>
      <c r="L207" s="281"/>
      <c r="M207" s="281"/>
    </row>
    <row r="208" spans="1:13" ht="15" customHeight="1">
      <c r="A208" s="301" t="s">
        <v>270</v>
      </c>
      <c r="B208" s="3"/>
      <c r="C208" s="54">
        <v>6005</v>
      </c>
      <c r="D208" s="331">
        <v>3</v>
      </c>
      <c r="E208" s="302">
        <v>0</v>
      </c>
      <c r="F208" s="31" t="str">
        <f>IFERROR(VLOOKUP($C208,[14]Nod!$A$3:$E$982,4,FALSE)," ")</f>
        <v>CHO230</v>
      </c>
      <c r="G208" s="31">
        <f>IFERROR(VLOOKUP($C208,[14]Nod!$A$3:$E$982,5,FALSE)," ")</f>
        <v>6</v>
      </c>
      <c r="L208" s="281"/>
      <c r="M208" s="281"/>
    </row>
    <row r="209" spans="1:13" ht="15" customHeight="1">
      <c r="A209" s="301" t="s">
        <v>269</v>
      </c>
      <c r="B209" s="3"/>
      <c r="C209" s="54">
        <v>6005</v>
      </c>
      <c r="D209" s="331">
        <v>0.5</v>
      </c>
      <c r="E209" s="302">
        <v>0</v>
      </c>
      <c r="F209" s="31" t="str">
        <f>IFERROR(VLOOKUP($C209,[14]Nod!$A$3:$E$982,4,FALSE)," ")</f>
        <v>CHO230</v>
      </c>
      <c r="G209" s="31">
        <f>IFERROR(VLOOKUP($C209,[14]Nod!$A$3:$E$982,5,FALSE)," ")</f>
        <v>6</v>
      </c>
      <c r="L209" s="281"/>
      <c r="M209" s="281"/>
    </row>
    <row r="210" spans="1:13" ht="15" customHeight="1">
      <c r="A210" s="301" t="s">
        <v>268</v>
      </c>
      <c r="B210" s="3"/>
      <c r="C210" s="54">
        <v>6005</v>
      </c>
      <c r="D210" s="338">
        <v>5</v>
      </c>
      <c r="E210" s="302">
        <v>0</v>
      </c>
      <c r="F210" s="31" t="str">
        <f>IFERROR(VLOOKUP($C210,[14]Nod!$A$3:$E$982,4,FALSE)," ")</f>
        <v>CHO230</v>
      </c>
      <c r="G210" s="31">
        <f>IFERROR(VLOOKUP($C210,[14]Nod!$A$3:$E$982,5,FALSE)," ")</f>
        <v>6</v>
      </c>
      <c r="L210" s="281"/>
      <c r="M210" s="281"/>
    </row>
    <row r="211" spans="1:13" ht="15" customHeight="1">
      <c r="A211" s="301" t="s">
        <v>267</v>
      </c>
      <c r="B211" s="3"/>
      <c r="C211" s="54">
        <v>6005</v>
      </c>
      <c r="D211" s="338">
        <v>20</v>
      </c>
      <c r="E211" s="302">
        <v>0</v>
      </c>
      <c r="F211" s="31" t="str">
        <f>IFERROR(VLOOKUP($C211,[14]Nod!$A$3:$E$982,4,FALSE)," ")</f>
        <v>CHO230</v>
      </c>
      <c r="G211" s="31">
        <f>IFERROR(VLOOKUP($C211,[14]Nod!$A$3:$E$982,5,FALSE)," ")</f>
        <v>6</v>
      </c>
      <c r="L211" s="281"/>
      <c r="M211" s="281"/>
    </row>
    <row r="212" spans="1:13" ht="15" customHeight="1">
      <c r="A212" s="301" t="s">
        <v>266</v>
      </c>
      <c r="B212" s="3"/>
      <c r="C212" s="54">
        <v>6005</v>
      </c>
      <c r="D212" s="331">
        <v>5</v>
      </c>
      <c r="E212" s="302">
        <v>0</v>
      </c>
      <c r="F212" s="31" t="str">
        <f>IFERROR(VLOOKUP($C212,[14]Nod!$A$3:$E$982,4,FALSE)," ")</f>
        <v>CHO230</v>
      </c>
      <c r="G212" s="31">
        <f>IFERROR(VLOOKUP($C212,[14]Nod!$A$3:$E$982,5,FALSE)," ")</f>
        <v>6</v>
      </c>
      <c r="L212" s="281"/>
      <c r="M212" s="281"/>
    </row>
    <row r="213" spans="1:13" ht="15" customHeight="1">
      <c r="A213" s="314" t="s">
        <v>265</v>
      </c>
      <c r="B213" s="3"/>
      <c r="C213" s="54">
        <v>6005</v>
      </c>
      <c r="D213" s="331">
        <v>9.9</v>
      </c>
      <c r="E213" s="39">
        <v>0</v>
      </c>
      <c r="F213" s="31" t="str">
        <f>IFERROR(VLOOKUP($C213,[14]Nod!$A$3:$E$982,4,FALSE)," ")</f>
        <v>CHO230</v>
      </c>
      <c r="G213" s="31">
        <f>IFERROR(VLOOKUP($C213,[14]Nod!$A$3:$E$982,5,FALSE)," ")</f>
        <v>6</v>
      </c>
      <c r="L213" s="281"/>
      <c r="M213" s="281"/>
    </row>
    <row r="214" spans="1:13" ht="15" customHeight="1">
      <c r="A214" s="314" t="s">
        <v>264</v>
      </c>
      <c r="B214" s="3"/>
      <c r="C214" s="54">
        <v>6005</v>
      </c>
      <c r="D214" s="331">
        <v>3</v>
      </c>
      <c r="E214" s="39">
        <v>0</v>
      </c>
      <c r="F214" s="31" t="str">
        <f>IFERROR(VLOOKUP($C214,[14]Nod!$A$3:$E$982,4,FALSE)," ")</f>
        <v>CHO230</v>
      </c>
      <c r="G214" s="31">
        <f>IFERROR(VLOOKUP($C214,[14]Nod!$A$3:$E$982,5,FALSE)," ")</f>
        <v>6</v>
      </c>
      <c r="L214" s="281"/>
      <c r="M214" s="281"/>
    </row>
    <row r="215" spans="1:13" ht="15" customHeight="1">
      <c r="A215" s="314" t="s">
        <v>263</v>
      </c>
      <c r="B215" s="3"/>
      <c r="C215" s="54">
        <v>6005</v>
      </c>
      <c r="D215" s="331">
        <v>9.9</v>
      </c>
      <c r="E215" s="39">
        <v>0</v>
      </c>
      <c r="F215" s="31" t="str">
        <f>IFERROR(VLOOKUP($C215,[14]Nod!$A$3:$E$982,4,FALSE)," ")</f>
        <v>CHO230</v>
      </c>
      <c r="G215" s="31">
        <f>IFERROR(VLOOKUP($C215,[14]Nod!$A$3:$E$982,5,FALSE)," ")</f>
        <v>6</v>
      </c>
      <c r="L215" s="281"/>
      <c r="M215" s="281"/>
    </row>
    <row r="216" spans="1:13" ht="15" customHeight="1">
      <c r="A216" s="314" t="s">
        <v>262</v>
      </c>
      <c r="B216" s="3"/>
      <c r="C216" s="54">
        <v>6005</v>
      </c>
      <c r="D216" s="331">
        <v>4.95</v>
      </c>
      <c r="E216" s="39">
        <v>0</v>
      </c>
      <c r="F216" s="31" t="str">
        <f>IFERROR(VLOOKUP($C216,[14]Nod!$A$3:$E$982,4,FALSE)," ")</f>
        <v>CHO230</v>
      </c>
      <c r="G216" s="31">
        <f>IFERROR(VLOOKUP($C216,[14]Nod!$A$3:$E$982,5,FALSE)," ")</f>
        <v>6</v>
      </c>
      <c r="L216" s="281"/>
      <c r="M216" s="281"/>
    </row>
    <row r="217" spans="1:13" ht="15" customHeight="1">
      <c r="A217" s="314" t="s">
        <v>261</v>
      </c>
      <c r="B217" s="3"/>
      <c r="C217" s="54">
        <v>6005</v>
      </c>
      <c r="D217" s="331">
        <v>8</v>
      </c>
      <c r="E217" s="39">
        <v>0</v>
      </c>
      <c r="F217" s="31" t="str">
        <f>IFERROR(VLOOKUP($C217,[14]Nod!$A$3:$E$982,4,FALSE)," ")</f>
        <v>CHO230</v>
      </c>
      <c r="G217" s="31">
        <f>IFERROR(VLOOKUP($C217,[14]Nod!$A$3:$E$982,5,FALSE)," ")</f>
        <v>6</v>
      </c>
      <c r="L217" s="281"/>
      <c r="M217" s="281"/>
    </row>
    <row r="218" spans="1:13" ht="15" customHeight="1">
      <c r="A218" s="314" t="s">
        <v>260</v>
      </c>
      <c r="B218" s="3"/>
      <c r="C218" s="54">
        <v>6005</v>
      </c>
      <c r="D218" s="331">
        <v>9.9</v>
      </c>
      <c r="E218" s="39">
        <v>0</v>
      </c>
      <c r="F218" s="31" t="str">
        <f>IFERROR(VLOOKUP($C218,[14]Nod!$A$3:$E$982,4,FALSE)," ")</f>
        <v>CHO230</v>
      </c>
      <c r="G218" s="31">
        <f>IFERROR(VLOOKUP($C218,[14]Nod!$A$3:$E$982,5,FALSE)," ")</f>
        <v>6</v>
      </c>
      <c r="L218" s="281"/>
      <c r="M218" s="281"/>
    </row>
    <row r="219" spans="1:13" ht="15" customHeight="1">
      <c r="A219" s="314" t="s">
        <v>259</v>
      </c>
      <c r="B219" s="3"/>
      <c r="C219" s="54">
        <v>6005</v>
      </c>
      <c r="D219" s="331">
        <v>19.899999999999999</v>
      </c>
      <c r="E219" s="302">
        <v>6</v>
      </c>
      <c r="F219" s="31" t="str">
        <f>IFERROR(VLOOKUP($C219,[14]Nod!$A$3:$E$982,4,FALSE)," ")</f>
        <v>CHO230</v>
      </c>
      <c r="G219" s="31">
        <f>IFERROR(VLOOKUP($C219,[14]Nod!$A$3:$E$982,5,FALSE)," ")</f>
        <v>6</v>
      </c>
      <c r="L219" s="281"/>
      <c r="M219" s="281"/>
    </row>
    <row r="220" spans="1:13" ht="15" customHeight="1">
      <c r="A220" s="314" t="s">
        <v>258</v>
      </c>
      <c r="B220" s="3"/>
      <c r="C220" s="54">
        <v>6005</v>
      </c>
      <c r="D220" s="331">
        <v>19.899999999999999</v>
      </c>
      <c r="E220" s="302">
        <v>6</v>
      </c>
      <c r="F220" s="31" t="str">
        <f>IFERROR(VLOOKUP($C220,[14]Nod!$A$3:$E$982,4,FALSE)," ")</f>
        <v>CHO230</v>
      </c>
      <c r="G220" s="31">
        <f>IFERROR(VLOOKUP($C220,[14]Nod!$A$3:$E$982,5,FALSE)," ")</f>
        <v>6</v>
      </c>
    </row>
    <row r="221" spans="1:13" ht="15" customHeight="1">
      <c r="A221" s="314" t="s">
        <v>257</v>
      </c>
      <c r="B221" s="3"/>
      <c r="C221" s="54">
        <v>6005</v>
      </c>
      <c r="D221" s="331">
        <v>10</v>
      </c>
      <c r="E221" s="302">
        <v>7</v>
      </c>
      <c r="F221" s="31" t="str">
        <f>IFERROR(VLOOKUP($C221,[14]Nod!$A$3:$E$982,4,FALSE)," ")</f>
        <v>CHO230</v>
      </c>
      <c r="G221" s="31">
        <f>IFERROR(VLOOKUP($C221,[14]Nod!$A$3:$E$982,5,FALSE)," ")</f>
        <v>6</v>
      </c>
    </row>
    <row r="222" spans="1:13" ht="15" customHeight="1">
      <c r="A222" s="314" t="s">
        <v>256</v>
      </c>
      <c r="B222" s="3"/>
      <c r="C222" s="54">
        <v>6005</v>
      </c>
      <c r="D222" s="331">
        <v>10</v>
      </c>
      <c r="E222" s="302">
        <v>7</v>
      </c>
      <c r="F222" s="31" t="str">
        <f>IFERROR(VLOOKUP($C222,[14]Nod!$A$3:$E$982,4,FALSE)," ")</f>
        <v>CHO230</v>
      </c>
      <c r="G222" s="31">
        <f>IFERROR(VLOOKUP($C222,[14]Nod!$A$3:$E$982,5,FALSE)," ")</f>
        <v>6</v>
      </c>
    </row>
    <row r="223" spans="1:13" ht="15" customHeight="1">
      <c r="A223" s="314" t="s">
        <v>255</v>
      </c>
      <c r="B223" s="3"/>
      <c r="C223" s="54">
        <v>6005</v>
      </c>
      <c r="D223" s="331">
        <v>30</v>
      </c>
      <c r="E223" s="302">
        <v>7</v>
      </c>
      <c r="F223" s="31" t="str">
        <f>IFERROR(VLOOKUP($C223,[14]Nod!$A$3:$E$982,4,FALSE)," ")</f>
        <v>CHO230</v>
      </c>
      <c r="G223" s="31">
        <f>IFERROR(VLOOKUP($C223,[14]Nod!$A$3:$E$982,5,FALSE)," ")</f>
        <v>6</v>
      </c>
    </row>
    <row r="224" spans="1:13" ht="15" customHeight="1" thickBot="1">
      <c r="A224" s="41" t="s">
        <v>35</v>
      </c>
      <c r="B224" s="3"/>
      <c r="C224" s="40"/>
      <c r="D224" s="337"/>
      <c r="E224" s="302"/>
      <c r="F224" s="31" t="str">
        <f>IFERROR(VLOOKUP($C224,[14]Nod!$A$3:$E$982,4,FALSE)," ")</f>
        <v xml:space="preserve"> </v>
      </c>
      <c r="G224" s="31" t="str">
        <f>IFERROR(VLOOKUP($C224,[14]Nod!$A$3:$E$982,5,FALSE)," ")</f>
        <v xml:space="preserve"> </v>
      </c>
    </row>
    <row r="225" spans="1:7" ht="15" customHeight="1">
      <c r="A225" s="47">
        <v>7</v>
      </c>
      <c r="B225" s="44"/>
      <c r="C225" s="45"/>
      <c r="D225" s="332">
        <f>SUM(D226:D230)</f>
        <v>154.33000000000001</v>
      </c>
      <c r="E225" s="297"/>
      <c r="F225" s="31" t="str">
        <f>IFERROR(VLOOKUP($C225,[14]Nod!$A$3:$E$982,4,FALSE)," ")</f>
        <v xml:space="preserve"> </v>
      </c>
      <c r="G225" s="31" t="str">
        <f>IFERROR(VLOOKUP($C225,[14]Nod!$A$3:$E$982,5,FALSE)," ")</f>
        <v xml:space="preserve"> </v>
      </c>
    </row>
    <row r="226" spans="1:7" ht="15" customHeight="1">
      <c r="A226" s="301" t="s">
        <v>246</v>
      </c>
      <c r="B226" s="3"/>
      <c r="C226" s="40">
        <v>6018</v>
      </c>
      <c r="D226" s="331">
        <v>97.7</v>
      </c>
      <c r="E226" s="302">
        <v>0</v>
      </c>
      <c r="F226" s="31" t="str">
        <f>IFERROR(VLOOKUP($C226,[14]Nod!$A$3:$E$982,4,FALSE)," ")</f>
        <v>CAC115</v>
      </c>
      <c r="G226" s="31">
        <f>IFERROR(VLOOKUP($C226,[14]Nod!$A$3:$E$982,5,FALSE)," ")</f>
        <v>7</v>
      </c>
    </row>
    <row r="227" spans="1:7" ht="15" customHeight="1">
      <c r="A227" s="301" t="s">
        <v>92</v>
      </c>
      <c r="B227" s="3"/>
      <c r="C227" s="40">
        <v>6171</v>
      </c>
      <c r="D227" s="331">
        <v>53.53</v>
      </c>
      <c r="E227" s="302">
        <v>0</v>
      </c>
      <c r="F227" s="31" t="str">
        <f>IFERROR(VLOOKUP($C227,[14]Nod!$A$3:$E$982,4,FALSE)," ")</f>
        <v>PAC230</v>
      </c>
      <c r="G227" s="31">
        <f>IFERROR(VLOOKUP($C227,[14]Nod!$A$3:$E$982,5,FALSE)," ")</f>
        <v>7</v>
      </c>
    </row>
    <row r="228" spans="1:7" ht="15" customHeight="1">
      <c r="A228" s="301" t="s">
        <v>254</v>
      </c>
      <c r="B228" s="3"/>
      <c r="C228" s="40">
        <v>6002</v>
      </c>
      <c r="D228" s="331">
        <v>0.1</v>
      </c>
      <c r="E228" s="302">
        <v>0</v>
      </c>
      <c r="F228" s="31" t="str">
        <f>IFERROR(VLOOKUP($C228,[14]Nod!$A$3:$E$982,4,FALSE)," ")</f>
        <v>PAN115</v>
      </c>
      <c r="G228" s="31">
        <f>IFERROR(VLOOKUP($C228,[14]Nod!$A$3:$E$982,5,FALSE)," ")</f>
        <v>7</v>
      </c>
    </row>
    <row r="229" spans="1:7" ht="15" customHeight="1">
      <c r="A229" s="301" t="s">
        <v>247</v>
      </c>
      <c r="B229" s="3"/>
      <c r="C229" s="40">
        <v>6018</v>
      </c>
      <c r="D229" s="331">
        <v>3</v>
      </c>
      <c r="E229" s="302">
        <v>0</v>
      </c>
      <c r="F229" s="31" t="str">
        <f>IFERROR(VLOOKUP($C229,[14]Nod!$A$3:$E$982,4,FALSE)," ")</f>
        <v>CAC115</v>
      </c>
      <c r="G229" s="31">
        <f>IFERROR(VLOOKUP($C229,[14]Nod!$A$3:$E$982,5,FALSE)," ")</f>
        <v>7</v>
      </c>
    </row>
    <row r="230" spans="1:7" ht="15" customHeight="1">
      <c r="A230" s="336" t="s">
        <v>253</v>
      </c>
      <c r="B230" s="3"/>
      <c r="C230" s="40"/>
      <c r="D230" s="331"/>
      <c r="E230" s="40"/>
      <c r="F230" s="31" t="str">
        <f>IFERROR(VLOOKUP($C230,[14]Nod!$A$3:$E$982,4,FALSE)," ")</f>
        <v xml:space="preserve"> </v>
      </c>
      <c r="G230" s="31" t="str">
        <f>IFERROR(VLOOKUP($C230,[14]Nod!$A$3:$E$982,5,FALSE)," ")</f>
        <v xml:space="preserve"> </v>
      </c>
    </row>
    <row r="231" spans="1:7" ht="15" customHeight="1" thickBot="1">
      <c r="A231" s="41" t="s">
        <v>35</v>
      </c>
      <c r="B231" s="3"/>
      <c r="C231" s="40"/>
      <c r="D231" s="335"/>
      <c r="E231" s="302"/>
      <c r="F231" s="31" t="str">
        <f>IFERROR(VLOOKUP($C231,[14]Nod!$A$3:$E$982,4,FALSE)," ")</f>
        <v xml:space="preserve"> </v>
      </c>
    </row>
    <row r="232" spans="1:7" ht="15" customHeight="1">
      <c r="A232" s="36">
        <v>8</v>
      </c>
      <c r="B232" s="61"/>
      <c r="C232" s="35"/>
      <c r="D232" s="332">
        <f>SUM(D233)</f>
        <v>260</v>
      </c>
      <c r="E232" s="297"/>
      <c r="F232" s="31" t="str">
        <f>IFERROR(VLOOKUP($C232,[14]Nod!$A$3:$E$982,4,FALSE)," ")</f>
        <v xml:space="preserve"> </v>
      </c>
      <c r="G232" s="31" t="str">
        <f>IFERROR(VLOOKUP($C232,[14]Nod!$A$3:$E$982,5,FALSE)," ")</f>
        <v xml:space="preserve"> </v>
      </c>
    </row>
    <row r="233" spans="1:7" ht="15" customHeight="1">
      <c r="A233" s="51" t="s">
        <v>93</v>
      </c>
      <c r="B233" s="3"/>
      <c r="C233" s="40">
        <v>6100</v>
      </c>
      <c r="D233" s="331">
        <v>260</v>
      </c>
      <c r="E233" s="302">
        <v>0</v>
      </c>
      <c r="F233" s="31" t="str">
        <f>IFERROR(VLOOKUP($C233,[14]Nod!$A$3:$E$982,4,FALSE)," ")</f>
        <v>BAY230</v>
      </c>
      <c r="G233" s="31">
        <f>IFERROR(VLOOKUP($C233,[14]Nod!$A$3:$E$982,5,FALSE)," ")</f>
        <v>8</v>
      </c>
    </row>
    <row r="234" spans="1:7" ht="15" customHeight="1" thickBot="1">
      <c r="A234" s="41" t="s">
        <v>35</v>
      </c>
      <c r="B234" s="42"/>
      <c r="C234" s="43"/>
      <c r="D234" s="334"/>
      <c r="E234" s="315"/>
      <c r="F234" s="31" t="str">
        <f>IFERROR(VLOOKUP($C234,[14]Nod!$A$3:$E$982,4,FALSE)," ")</f>
        <v xml:space="preserve"> </v>
      </c>
      <c r="G234" s="31" t="str">
        <f>IFERROR(VLOOKUP($C234,[14]Nod!$A$3:$E$982,5,FALSE)," ")</f>
        <v xml:space="preserve"> </v>
      </c>
    </row>
    <row r="235" spans="1:7" ht="15" customHeight="1">
      <c r="A235" s="47">
        <v>9</v>
      </c>
      <c r="B235" s="62"/>
      <c r="C235" s="63"/>
      <c r="D235" s="332">
        <f>SUM(D236:D245)</f>
        <v>1565.45</v>
      </c>
      <c r="E235" s="317"/>
      <c r="F235" s="31" t="str">
        <f>IFERROR(VLOOKUP($C235,[14]Nod!$A$3:$E$982,4,FALSE)," ")</f>
        <v xml:space="preserve"> </v>
      </c>
      <c r="G235" s="31" t="str">
        <f>IFERROR(VLOOKUP($C235,[14]Nod!$A$3:$E$982,5,FALSE)," ")</f>
        <v xml:space="preserve"> </v>
      </c>
    </row>
    <row r="236" spans="1:7" ht="15" customHeight="1">
      <c r="A236" s="301" t="s">
        <v>94</v>
      </c>
      <c r="B236" s="3"/>
      <c r="C236" s="40">
        <v>6059</v>
      </c>
      <c r="D236" s="331">
        <v>68</v>
      </c>
      <c r="E236" s="302">
        <v>0</v>
      </c>
      <c r="F236" s="31" t="str">
        <f>IFERROR(VLOOKUP($C236,[14]Nod!$A$3:$E$982,4,FALSE)," ")</f>
        <v>LM1115</v>
      </c>
      <c r="G236" s="31">
        <f>IFERROR(VLOOKUP($C236,[14]Nod!$A$3:$E$982,5,FALSE)," ")</f>
        <v>9</v>
      </c>
    </row>
    <row r="237" spans="1:7" ht="15" customHeight="1">
      <c r="A237" s="301" t="s">
        <v>95</v>
      </c>
      <c r="B237" s="3"/>
      <c r="C237" s="40">
        <v>6059</v>
      </c>
      <c r="D237" s="331">
        <v>87.2</v>
      </c>
      <c r="E237" s="302">
        <v>0</v>
      </c>
      <c r="F237" s="31" t="str">
        <f>IFERROR(VLOOKUP($C237,[14]Nod!$A$3:$E$982,4,FALSE)," ")</f>
        <v>LM1115</v>
      </c>
      <c r="G237" s="31">
        <f>IFERROR(VLOOKUP($C237,[14]Nod!$A$3:$E$982,5,FALSE)," ")</f>
        <v>9</v>
      </c>
    </row>
    <row r="238" spans="1:7" ht="15" customHeight="1">
      <c r="A238" s="301" t="s">
        <v>96</v>
      </c>
      <c r="B238" s="3"/>
      <c r="C238" s="40">
        <v>6059</v>
      </c>
      <c r="D238" s="331">
        <v>150</v>
      </c>
      <c r="E238" s="302">
        <v>0</v>
      </c>
      <c r="F238" s="31" t="str">
        <f>IFERROR(VLOOKUP($C238,[14]Nod!$A$3:$E$982,4,FALSE)," ")</f>
        <v>LM1115</v>
      </c>
      <c r="G238" s="31">
        <f>IFERROR(VLOOKUP($C238,[14]Nod!$A$3:$E$982,5,FALSE)," ")</f>
        <v>9</v>
      </c>
    </row>
    <row r="239" spans="1:7" ht="15" customHeight="1">
      <c r="A239" s="301" t="s">
        <v>97</v>
      </c>
      <c r="B239" s="3"/>
      <c r="C239" s="40">
        <v>6173</v>
      </c>
      <c r="D239" s="331">
        <v>381</v>
      </c>
      <c r="E239" s="302">
        <v>0</v>
      </c>
      <c r="F239" s="31" t="str">
        <f>IFERROR(VLOOKUP($C239,[14]Nod!$A$3:$E$982,4,FALSE)," ")</f>
        <v>STR115</v>
      </c>
      <c r="G239" s="31">
        <f>IFERROR(VLOOKUP($C239,[14]Nod!$A$3:$E$982,5,FALSE)," ")</f>
        <v>9</v>
      </c>
    </row>
    <row r="240" spans="1:7" ht="15" customHeight="1">
      <c r="A240" s="301" t="s">
        <v>98</v>
      </c>
      <c r="B240" s="3"/>
      <c r="C240" s="40">
        <v>6173</v>
      </c>
      <c r="D240" s="331">
        <v>5.05</v>
      </c>
      <c r="E240" s="302">
        <v>0</v>
      </c>
      <c r="F240" s="31" t="str">
        <f>IFERROR(VLOOKUP($C240,[14]Nod!$A$3:$E$982,4,FALSE)," ")</f>
        <v>STR115</v>
      </c>
      <c r="G240" s="31">
        <f>IFERROR(VLOOKUP($C240,[14]Nod!$A$3:$E$982,5,FALSE)," ")</f>
        <v>9</v>
      </c>
    </row>
    <row r="241" spans="1:7" ht="15" customHeight="1">
      <c r="A241" s="301" t="s">
        <v>248</v>
      </c>
      <c r="B241" s="3"/>
      <c r="C241" s="40">
        <v>6059</v>
      </c>
      <c r="D241" s="331">
        <v>49.2</v>
      </c>
      <c r="E241" s="302">
        <v>0</v>
      </c>
      <c r="F241" s="31" t="str">
        <f>IFERROR(VLOOKUP($C241,[14]Nod!$A$3:$E$982,4,FALSE)," ")</f>
        <v>LM1115</v>
      </c>
      <c r="G241" s="31">
        <f>IFERROR(VLOOKUP($C241,[14]Nod!$A$3:$E$982,5,FALSE)," ")</f>
        <v>9</v>
      </c>
    </row>
    <row r="242" spans="1:7" ht="15" customHeight="1">
      <c r="A242" s="301" t="s">
        <v>249</v>
      </c>
      <c r="B242" s="3"/>
      <c r="C242" s="40">
        <v>6173</v>
      </c>
      <c r="D242" s="331">
        <v>670</v>
      </c>
      <c r="E242" s="302">
        <v>0</v>
      </c>
      <c r="F242" s="31" t="str">
        <f>IFERROR(VLOOKUP($C242,[14]Nod!$A$3:$E$982,4,FALSE)," ")</f>
        <v>STR115</v>
      </c>
      <c r="G242" s="31">
        <f>IFERROR(VLOOKUP($C242,[14]Nod!$A$3:$E$982,5,FALSE)," ")</f>
        <v>9</v>
      </c>
    </row>
    <row r="243" spans="1:7" ht="15" customHeight="1">
      <c r="A243" s="314" t="s">
        <v>252</v>
      </c>
      <c r="C243" s="40">
        <v>6173</v>
      </c>
      <c r="D243" s="331">
        <v>34</v>
      </c>
      <c r="E243" s="39">
        <v>0</v>
      </c>
      <c r="F243" s="31" t="str">
        <f>IFERROR(VLOOKUP($C243,[14]Nod!$A$3:$E$982,4,FALSE)," ")</f>
        <v>STR115</v>
      </c>
      <c r="G243" s="31">
        <f>IFERROR(VLOOKUP($C243,[14]Nod!$A$3:$E$982,5,FALSE)," ")</f>
        <v>9</v>
      </c>
    </row>
    <row r="244" spans="1:7" ht="15" customHeight="1">
      <c r="A244" s="314" t="s">
        <v>251</v>
      </c>
      <c r="C244" s="40">
        <v>6173</v>
      </c>
      <c r="D244" s="331">
        <v>34</v>
      </c>
      <c r="E244" s="39">
        <v>0</v>
      </c>
      <c r="F244" s="31" t="str">
        <f>IFERROR(VLOOKUP($C244,[14]Nod!$A$3:$E$982,4,FALSE)," ")</f>
        <v>STR115</v>
      </c>
      <c r="G244" s="31">
        <f>IFERROR(VLOOKUP($C244,[14]Nod!$A$3:$E$982,5,FALSE)," ")</f>
        <v>9</v>
      </c>
    </row>
    <row r="245" spans="1:7" ht="15" customHeight="1">
      <c r="A245" s="314" t="s">
        <v>250</v>
      </c>
      <c r="C245" s="40">
        <v>6173</v>
      </c>
      <c r="D245" s="331">
        <v>87</v>
      </c>
      <c r="E245" s="39">
        <v>0</v>
      </c>
      <c r="F245" s="31" t="str">
        <f>IFERROR(VLOOKUP($C245,[14]Nod!$A$3:$E$982,4,FALSE)," ")</f>
        <v>STR115</v>
      </c>
      <c r="G245" s="31">
        <f>IFERROR(VLOOKUP($C245,[14]Nod!$A$3:$E$982,5,FALSE)," ")</f>
        <v>9</v>
      </c>
    </row>
    <row r="246" spans="1:7" ht="15" customHeight="1" thickBot="1">
      <c r="A246" s="41" t="s">
        <v>35</v>
      </c>
      <c r="B246" s="3"/>
      <c r="C246" s="40"/>
      <c r="D246" s="333"/>
      <c r="E246" s="302"/>
      <c r="F246" s="31" t="str">
        <f>IFERROR(VLOOKUP($C246,[14]Nod!$A$3:$E$982,4,FALSE)," ")</f>
        <v xml:space="preserve"> </v>
      </c>
      <c r="G246" s="31" t="str">
        <f>IFERROR(VLOOKUP($C246,[14]Nod!$A$3:$E$982,5,FALSE)," ")</f>
        <v xml:space="preserve"> </v>
      </c>
    </row>
    <row r="247" spans="1:7" ht="15" customHeight="1">
      <c r="A247" s="47">
        <v>10</v>
      </c>
      <c r="B247" s="62"/>
      <c r="C247" s="64"/>
      <c r="D247" s="332">
        <f>SUM(D248:D249)</f>
        <v>252.17</v>
      </c>
      <c r="E247" s="297"/>
      <c r="F247" s="31" t="str">
        <f>IFERROR(VLOOKUP($C247,[14]Nod!$A$3:$E$982,4,FALSE)," ")</f>
        <v xml:space="preserve"> </v>
      </c>
      <c r="G247" s="31" t="str">
        <f>IFERROR(VLOOKUP($C247,[14]Nod!$A$3:$E$982,5,FALSE)," ")</f>
        <v xml:space="preserve"> </v>
      </c>
    </row>
    <row r="248" spans="1:7" ht="15" customHeight="1">
      <c r="A248" s="37" t="s">
        <v>99</v>
      </c>
      <c r="B248" s="3"/>
      <c r="C248" s="40">
        <v>6263</v>
      </c>
      <c r="D248" s="331">
        <v>222.17</v>
      </c>
      <c r="E248" s="39">
        <v>0</v>
      </c>
      <c r="F248" s="31" t="str">
        <f>IFERROR(VLOOKUP($C248,[14]Nod!$A$3:$E$982,4,FALSE)," ")</f>
        <v>ESP230</v>
      </c>
      <c r="G248" s="31">
        <f>IFERROR(VLOOKUP($C248,[14]Nod!$A$3:$E$982,5,FALSE)," ")</f>
        <v>10</v>
      </c>
    </row>
    <row r="249" spans="1:7" ht="15" customHeight="1">
      <c r="A249" s="37" t="s">
        <v>100</v>
      </c>
      <c r="B249" s="3"/>
      <c r="C249" s="40">
        <v>6263</v>
      </c>
      <c r="D249" s="331">
        <v>30</v>
      </c>
      <c r="E249" s="39">
        <v>0</v>
      </c>
      <c r="F249" s="31" t="str">
        <f>IFERROR(VLOOKUP($C249,[14]Nod!$A$3:$E$982,4,FALSE)," ")</f>
        <v>ESP230</v>
      </c>
      <c r="G249" s="31">
        <f>IFERROR(VLOOKUP($C249,[14]Nod!$A$3:$E$982,5,FALSE)," ")</f>
        <v>10</v>
      </c>
    </row>
    <row r="250" spans="1:7" ht="15" customHeight="1">
      <c r="A250" s="60" t="s">
        <v>35</v>
      </c>
      <c r="B250" s="42"/>
      <c r="C250" s="43"/>
      <c r="D250" s="330"/>
      <c r="E250" s="315"/>
      <c r="F250" s="3"/>
      <c r="G250" s="3"/>
    </row>
    <row r="254" spans="1:7" ht="15" customHeight="1">
      <c r="F254" s="281"/>
      <c r="G254" s="281"/>
    </row>
    <row r="255" spans="1:7" ht="15" customHeight="1">
      <c r="F255" s="281"/>
      <c r="G255" s="281"/>
    </row>
    <row r="256" spans="1:7" ht="15" customHeight="1">
      <c r="F256" s="281"/>
      <c r="G256" s="281"/>
    </row>
    <row r="257" spans="6:7" ht="15" customHeight="1">
      <c r="F257" s="281"/>
      <c r="G257" s="281"/>
    </row>
    <row r="258" spans="6:7" ht="15" customHeight="1">
      <c r="F258" s="281"/>
      <c r="G258" s="281"/>
    </row>
    <row r="259" spans="6:7" ht="15" customHeight="1">
      <c r="F259" s="281"/>
      <c r="G259" s="281"/>
    </row>
    <row r="260" spans="6:7" ht="15" customHeight="1">
      <c r="F260" s="281"/>
      <c r="G260" s="281"/>
    </row>
    <row r="261" spans="6:7" ht="15" customHeight="1">
      <c r="F261" s="281"/>
      <c r="G261" s="281"/>
    </row>
    <row r="262" spans="6:7" ht="15" customHeight="1">
      <c r="F262" s="281"/>
      <c r="G262" s="281"/>
    </row>
    <row r="263" spans="6:7" ht="15" customHeight="1">
      <c r="F263" s="281"/>
      <c r="G263" s="281"/>
    </row>
    <row r="264" spans="6:7" ht="15" customHeight="1">
      <c r="F264" s="281"/>
      <c r="G264" s="281"/>
    </row>
    <row r="265" spans="6:7" ht="15" customHeight="1">
      <c r="F265" s="281"/>
      <c r="G265" s="281"/>
    </row>
    <row r="266" spans="6:7" ht="15" customHeight="1">
      <c r="F266" s="281"/>
      <c r="G266" s="281"/>
    </row>
    <row r="267" spans="6:7" ht="15" customHeight="1">
      <c r="F267" s="281"/>
      <c r="G267" s="281"/>
    </row>
    <row r="268" spans="6:7" ht="15" customHeight="1">
      <c r="F268" s="281"/>
      <c r="G268" s="281"/>
    </row>
    <row r="269" spans="6:7" ht="15" customHeight="1">
      <c r="F269" s="281"/>
      <c r="G269" s="281"/>
    </row>
    <row r="270" spans="6:7" ht="15" customHeight="1">
      <c r="F270" s="281"/>
      <c r="G270" s="281"/>
    </row>
    <row r="271" spans="6:7" ht="15" customHeight="1">
      <c r="F271" s="281"/>
      <c r="G271" s="281"/>
    </row>
    <row r="272" spans="6:7" ht="15" customHeight="1">
      <c r="F272" s="281"/>
      <c r="G272" s="281"/>
    </row>
    <row r="273" spans="6:7" ht="15" customHeight="1">
      <c r="F273" s="281"/>
      <c r="G273" s="281"/>
    </row>
    <row r="274" spans="6:7" ht="15" customHeight="1">
      <c r="F274" s="281"/>
      <c r="G274" s="281"/>
    </row>
    <row r="275" spans="6:7" ht="15" customHeight="1">
      <c r="F275" s="281"/>
      <c r="G275" s="281"/>
    </row>
    <row r="276" spans="6:7" ht="15" customHeight="1">
      <c r="F276" s="281"/>
      <c r="G276" s="281"/>
    </row>
    <row r="277" spans="6:7" ht="15" customHeight="1">
      <c r="F277" s="281"/>
      <c r="G277" s="281"/>
    </row>
    <row r="278" spans="6:7" ht="15" customHeight="1">
      <c r="F278" s="281"/>
      <c r="G278" s="281"/>
    </row>
    <row r="279" spans="6:7" ht="15" customHeight="1">
      <c r="F279" s="281"/>
      <c r="G279" s="281"/>
    </row>
  </sheetData>
  <mergeCells count="1">
    <mergeCell ref="A9:L9"/>
  </mergeCells>
  <conditionalFormatting sqref="B11:L12">
    <cfRule type="cellIs" dxfId="150" priority="12" operator="equal">
      <formula>0</formula>
    </cfRule>
  </conditionalFormatting>
  <conditionalFormatting sqref="E18:E61">
    <cfRule type="cellIs" dxfId="149" priority="3" operator="equal">
      <formula>0</formula>
    </cfRule>
  </conditionalFormatting>
  <conditionalFormatting sqref="E64:E93 E233:E234 E236:E242">
    <cfRule type="cellIs" dxfId="148" priority="9" operator="equal">
      <formula>0</formula>
    </cfRule>
  </conditionalFormatting>
  <conditionalFormatting sqref="E96:E140">
    <cfRule type="cellIs" dxfId="147" priority="8" operator="equal">
      <formula>0</formula>
    </cfRule>
  </conditionalFormatting>
  <conditionalFormatting sqref="E143:E182">
    <cfRule type="cellIs" dxfId="146" priority="2" operator="equal">
      <formula>0</formula>
    </cfRule>
  </conditionalFormatting>
  <conditionalFormatting sqref="E226:E229">
    <cfRule type="cellIs" dxfId="145" priority="6" operator="equal">
      <formula>0</formula>
    </cfRule>
  </conditionalFormatting>
  <conditionalFormatting sqref="E231">
    <cfRule type="cellIs" dxfId="144" priority="1" operator="equal">
      <formula>0</formula>
    </cfRule>
  </conditionalFormatting>
  <conditionalFormatting sqref="K108:K162 E205:E212 E219:E224">
    <cfRule type="cellIs" dxfId="143" priority="13" operator="equal">
      <formula>0</formula>
    </cfRule>
  </conditionalFormatting>
  <conditionalFormatting sqref="M11:M12">
    <cfRule type="cellIs" dxfId="142" priority="10" stopIfTrue="1" operator="notEqual">
      <formula>L11</formula>
    </cfRule>
  </conditionalFormatting>
  <printOptions horizontalCentered="1"/>
  <pageMargins left="0.39370078740157483" right="0.39370078740157483" top="0.39370078740157483" bottom="0.39370078740157483" header="0.31496062992125984" footer="0.31496062992125984"/>
  <pageSetup paperSize="9" scale="5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366A6C-9AAF-442E-99C6-77B43351468B}">
  <sheetPr>
    <pageSetUpPr fitToPage="1"/>
  </sheetPr>
  <dimension ref="A1:N279"/>
  <sheetViews>
    <sheetView zoomScale="79" zoomScaleNormal="79" workbookViewId="0">
      <selection activeCell="P21" sqref="P21"/>
    </sheetView>
  </sheetViews>
  <sheetFormatPr baseColWidth="10" defaultColWidth="8.6640625" defaultRowHeight="15" customHeight="1"/>
  <cols>
    <col min="1" max="1" width="66" style="38" customWidth="1"/>
    <col min="2" max="2" width="15" style="38" customWidth="1"/>
    <col min="3" max="3" width="8.6640625" style="38"/>
    <col min="4" max="4" width="11.44140625" style="38" customWidth="1"/>
    <col min="5" max="5" width="9.44140625" style="38" customWidth="1"/>
    <col min="6" max="6" width="9.6640625" style="38" bestFit="1" customWidth="1"/>
    <col min="7" max="7" width="8.6640625" style="38"/>
    <col min="8" max="8" width="25" style="38" customWidth="1"/>
    <col min="9" max="9" width="9.5546875" style="38" customWidth="1"/>
    <col min="10" max="10" width="8.6640625" style="38"/>
    <col min="11" max="11" width="15.6640625" style="38" customWidth="1"/>
    <col min="12" max="12" width="11.33203125" style="38" bestFit="1" customWidth="1"/>
    <col min="13" max="13" width="12.109375" style="38" customWidth="1"/>
    <col min="14" max="14" width="9.6640625" style="38" customWidth="1"/>
    <col min="15" max="15" width="26.5546875" style="38" bestFit="1" customWidth="1"/>
    <col min="16" max="16" width="29.33203125" style="38" bestFit="1" customWidth="1"/>
    <col min="17" max="26" width="6.6640625" style="38" customWidth="1"/>
    <col min="27" max="16384" width="8.6640625" style="38"/>
  </cols>
  <sheetData>
    <row r="1" spans="1:14" ht="24.9" customHeight="1">
      <c r="A1" s="1" t="s">
        <v>0</v>
      </c>
      <c r="B1" s="1">
        <v>3</v>
      </c>
      <c r="C1" s="2" t="s">
        <v>363</v>
      </c>
      <c r="H1" s="4" t="s">
        <v>1</v>
      </c>
      <c r="I1" s="5"/>
      <c r="J1" s="3"/>
      <c r="K1" s="3"/>
      <c r="L1" s="3"/>
      <c r="M1" s="3"/>
      <c r="N1" s="3"/>
    </row>
    <row r="2" spans="1:14" ht="15" customHeight="1">
      <c r="A2" s="6"/>
      <c r="B2" s="7" t="s">
        <v>2</v>
      </c>
      <c r="C2" s="8"/>
      <c r="D2" s="254" t="s">
        <v>3</v>
      </c>
      <c r="E2" s="255"/>
      <c r="F2" s="256" t="s">
        <v>4</v>
      </c>
      <c r="H2" s="3"/>
      <c r="I2" s="3"/>
      <c r="J2" s="3"/>
      <c r="K2" s="3"/>
      <c r="L2" s="3"/>
      <c r="M2" s="3"/>
      <c r="N2" s="3"/>
    </row>
    <row r="3" spans="1:14" ht="15" customHeight="1">
      <c r="A3" s="9" t="s">
        <v>5</v>
      </c>
      <c r="B3" s="253">
        <v>52256.953719067715</v>
      </c>
      <c r="C3" s="10">
        <f>SUM(C4:C5)</f>
        <v>1</v>
      </c>
      <c r="D3" s="258">
        <f>SUM(D4:D5)</f>
        <v>3495.6899999999987</v>
      </c>
      <c r="E3" s="257">
        <f>D3/$D$3</f>
        <v>1</v>
      </c>
      <c r="F3" s="259" t="s">
        <v>6</v>
      </c>
      <c r="H3" s="9" t="s">
        <v>7</v>
      </c>
      <c r="I3" s="11">
        <v>0</v>
      </c>
      <c r="J3" s="12" t="s">
        <v>8</v>
      </c>
      <c r="K3" s="3"/>
      <c r="L3" s="13" t="s">
        <v>9</v>
      </c>
      <c r="M3" s="14">
        <v>0.45</v>
      </c>
      <c r="N3" s="15">
        <f>M3*B3</f>
        <v>23515.629173580473</v>
      </c>
    </row>
    <row r="4" spans="1:14" ht="15" customHeight="1">
      <c r="A4" s="16" t="s">
        <v>10</v>
      </c>
      <c r="B4" s="17">
        <f>C4*B3</f>
        <v>44692.75933738544</v>
      </c>
      <c r="C4" s="18">
        <v>0.85524999366883825</v>
      </c>
      <c r="D4" s="260">
        <f>SUMIFS([15]Ram!G2:G994,[15]Ram!C2:C994,230,[15]Ram!F2:F994,"S")</f>
        <v>3220.9299999999985</v>
      </c>
      <c r="E4" s="261">
        <f>D4/$D$3</f>
        <v>0.92140035300613032</v>
      </c>
      <c r="F4" s="262">
        <f>B4/D4</f>
        <v>13.875731337652622</v>
      </c>
      <c r="H4" s="3"/>
      <c r="I4" s="3"/>
      <c r="J4" s="3"/>
      <c r="K4" s="3"/>
      <c r="L4" s="13" t="s">
        <v>11</v>
      </c>
      <c r="M4" s="14">
        <v>0.55000000000000004</v>
      </c>
      <c r="N4" s="15">
        <f>M4*B3</f>
        <v>28741.324545487245</v>
      </c>
    </row>
    <row r="5" spans="1:14" ht="15" customHeight="1">
      <c r="A5" s="19" t="s">
        <v>12</v>
      </c>
      <c r="B5" s="20">
        <f>C5*B3</f>
        <v>7564.1943816822786</v>
      </c>
      <c r="C5" s="21">
        <f>1-C4</f>
        <v>0.14475000633116175</v>
      </c>
      <c r="D5" s="263">
        <f>SUMIFS([15]Ram!G2:G994,[15]Ram!C2:C994,115,[15]Ram!F2:F994,"S")</f>
        <v>274.76000000000005</v>
      </c>
      <c r="E5" s="264">
        <f>D5/$D$3</f>
        <v>7.8599646993869635E-2</v>
      </c>
      <c r="F5" s="265">
        <f>B5/D5</f>
        <v>27.530187733593962</v>
      </c>
      <c r="H5" s="3"/>
      <c r="I5" s="3"/>
      <c r="J5" s="3"/>
      <c r="K5" s="3"/>
      <c r="L5" s="3"/>
      <c r="M5" s="3"/>
      <c r="N5" s="3"/>
    </row>
    <row r="6" spans="1:14" ht="15" customHeight="1">
      <c r="A6" s="22"/>
      <c r="B6" s="22"/>
      <c r="C6" s="23"/>
      <c r="E6" s="266"/>
      <c r="H6" s="3"/>
      <c r="I6" s="3"/>
      <c r="J6" s="3"/>
      <c r="K6" s="3"/>
      <c r="L6" s="24" t="s">
        <v>13</v>
      </c>
      <c r="M6" s="25">
        <f>[15]ENERGIA!L17</f>
        <v>0</v>
      </c>
      <c r="N6" s="26" t="s">
        <v>14</v>
      </c>
    </row>
    <row r="7" spans="1:14" ht="15" customHeight="1">
      <c r="A7" s="27" t="s">
        <v>15</v>
      </c>
      <c r="B7" s="253">
        <v>57680.737555975516</v>
      </c>
      <c r="C7" s="10">
        <v>1</v>
      </c>
      <c r="D7" s="267">
        <f>SUMIF([15]Ram!F3:F994,"SD",[15]Ram!G3:G994)</f>
        <v>387.74</v>
      </c>
      <c r="E7" s="257">
        <v>1</v>
      </c>
      <c r="F7" s="268">
        <f>IF(B7&gt;0,B7/D7,0)</f>
        <v>148.76138019284963</v>
      </c>
      <c r="G7" s="38" t="s">
        <v>184</v>
      </c>
      <c r="H7" s="9" t="s">
        <v>16</v>
      </c>
      <c r="I7" s="11">
        <v>0</v>
      </c>
      <c r="J7" s="12" t="s">
        <v>8</v>
      </c>
      <c r="K7" s="3"/>
      <c r="L7" s="28" t="s">
        <v>17</v>
      </c>
      <c r="M7" s="29">
        <f>[15]ENERGIA!L2</f>
        <v>0</v>
      </c>
      <c r="N7" s="30" t="s">
        <v>14</v>
      </c>
    </row>
    <row r="9" spans="1:14" ht="15" customHeight="1">
      <c r="A9" s="363" t="s">
        <v>18</v>
      </c>
      <c r="B9" s="363"/>
      <c r="C9" s="363"/>
      <c r="D9" s="363"/>
      <c r="E9" s="363"/>
      <c r="F9" s="363"/>
      <c r="G9" s="363"/>
      <c r="H9" s="363"/>
      <c r="I9" s="363"/>
      <c r="J9" s="363"/>
      <c r="K9" s="363"/>
      <c r="L9" s="363"/>
    </row>
    <row r="10" spans="1:14" ht="15" customHeight="1">
      <c r="A10" s="269" t="s">
        <v>19</v>
      </c>
      <c r="B10" s="270">
        <v>1</v>
      </c>
      <c r="C10" s="271">
        <v>2</v>
      </c>
      <c r="D10" s="271">
        <v>3</v>
      </c>
      <c r="E10" s="271">
        <v>4</v>
      </c>
      <c r="F10" s="271">
        <v>5</v>
      </c>
      <c r="G10" s="271">
        <v>6</v>
      </c>
      <c r="H10" s="271">
        <v>7</v>
      </c>
      <c r="I10" s="271">
        <v>8</v>
      </c>
      <c r="J10" s="271">
        <v>9</v>
      </c>
      <c r="K10" s="272">
        <v>10</v>
      </c>
      <c r="L10" s="273" t="s">
        <v>20</v>
      </c>
    </row>
    <row r="11" spans="1:14" ht="15" customHeight="1">
      <c r="A11" s="274" t="s">
        <v>21</v>
      </c>
      <c r="B11" s="275">
        <f t="shared" ref="B11:K11" si="0">SUMIF($G$17:$G$1079,B$10,$D$17:$D$1080)</f>
        <v>792.31</v>
      </c>
      <c r="C11" s="275">
        <f t="shared" si="0"/>
        <v>730.88000000000011</v>
      </c>
      <c r="D11" s="275">
        <f t="shared" si="0"/>
        <v>178.73000000000005</v>
      </c>
      <c r="E11" s="275">
        <f t="shared" si="0"/>
        <v>654.92099999999982</v>
      </c>
      <c r="F11" s="275">
        <f t="shared" si="0"/>
        <v>1521.0099999999998</v>
      </c>
      <c r="G11" s="275">
        <f t="shared" si="0"/>
        <v>321.21000000000004</v>
      </c>
      <c r="H11" s="275">
        <f t="shared" si="0"/>
        <v>154.33000000000001</v>
      </c>
      <c r="I11" s="275">
        <f t="shared" si="0"/>
        <v>260</v>
      </c>
      <c r="J11" s="275">
        <f t="shared" si="0"/>
        <v>1565.45</v>
      </c>
      <c r="K11" s="275">
        <f t="shared" si="0"/>
        <v>252.17</v>
      </c>
      <c r="L11" s="276">
        <f>SUM(B11:K11)</f>
        <v>6431.0109999999995</v>
      </c>
      <c r="M11" s="284">
        <f>SUM(D17,D63,D84,D95,D142,D204,D225,D232,D235,D247)</f>
        <v>6431.0109999999995</v>
      </c>
    </row>
    <row r="12" spans="1:14" ht="15" customHeight="1">
      <c r="A12" s="278" t="s">
        <v>22</v>
      </c>
      <c r="B12" s="279">
        <f t="shared" ref="B12:K12" si="1">SUMIF($M$18:$M$1019,B$10,$K$18:$K$1019)</f>
        <v>23.818168817194277</v>
      </c>
      <c r="C12" s="279">
        <f t="shared" si="1"/>
        <v>0</v>
      </c>
      <c r="D12" s="279">
        <f t="shared" si="1"/>
        <v>4.5628709032387936E-2</v>
      </c>
      <c r="E12" s="279">
        <f t="shared" si="1"/>
        <v>155.06627029726724</v>
      </c>
      <c r="F12" s="279">
        <f t="shared" si="1"/>
        <v>343.2742066542113</v>
      </c>
      <c r="G12" s="279">
        <f t="shared" si="1"/>
        <v>233.21737299498511</v>
      </c>
      <c r="H12" s="279">
        <f t="shared" si="1"/>
        <v>1224.6824787760868</v>
      </c>
      <c r="I12" s="279">
        <f t="shared" si="1"/>
        <v>1.33</v>
      </c>
      <c r="J12" s="279">
        <f t="shared" si="1"/>
        <v>127.87605038516638</v>
      </c>
      <c r="K12" s="279">
        <f t="shared" si="1"/>
        <v>59.246646392995132</v>
      </c>
      <c r="L12" s="280">
        <f>SUM(B12:K12)</f>
        <v>2168.5568230269382</v>
      </c>
      <c r="M12" s="277">
        <f>SUM(K17,K22,K24,K28,K33,K44,K51,K71,K75,K82)</f>
        <v>2168.5568230269382</v>
      </c>
    </row>
    <row r="13" spans="1:14" ht="15" customHeight="1">
      <c r="M13" s="281"/>
    </row>
    <row r="15" spans="1:14" ht="15" customHeight="1">
      <c r="A15" s="285" t="s">
        <v>23</v>
      </c>
      <c r="B15" s="286"/>
      <c r="C15" s="286"/>
      <c r="D15" s="286"/>
      <c r="E15" s="286"/>
      <c r="F15" s="286"/>
      <c r="G15" s="287"/>
      <c r="H15" s="285" t="s">
        <v>24</v>
      </c>
      <c r="I15" s="286"/>
      <c r="J15" s="286"/>
      <c r="K15" s="286"/>
      <c r="L15" s="286"/>
      <c r="M15" s="286"/>
    </row>
    <row r="16" spans="1:14" ht="27" thickBot="1">
      <c r="A16" s="288" t="s">
        <v>25</v>
      </c>
      <c r="B16" s="289"/>
      <c r="C16" s="290" t="s">
        <v>26</v>
      </c>
      <c r="D16" s="32" t="s">
        <v>21</v>
      </c>
      <c r="E16" s="32" t="s">
        <v>27</v>
      </c>
      <c r="F16" s="282"/>
      <c r="G16" s="282"/>
      <c r="H16" s="291" t="s">
        <v>25</v>
      </c>
      <c r="I16" s="292"/>
      <c r="J16" s="293" t="s">
        <v>26</v>
      </c>
      <c r="K16" s="294" t="s">
        <v>22</v>
      </c>
      <c r="L16" s="283">
        <f>+K17+K22+K24+K28+K33+K44+K51+K71+K75+K82</f>
        <v>2168.5568230269382</v>
      </c>
      <c r="M16" s="282"/>
    </row>
    <row r="17" spans="1:13" ht="15" customHeight="1">
      <c r="A17" s="33">
        <v>1</v>
      </c>
      <c r="B17" s="34"/>
      <c r="C17" s="45"/>
      <c r="D17" s="332">
        <f>SUM(D18:D61)</f>
        <v>792.31</v>
      </c>
      <c r="E17" s="297"/>
      <c r="F17" s="31"/>
      <c r="G17" s="31"/>
      <c r="H17" s="298">
        <v>1</v>
      </c>
      <c r="I17" s="299"/>
      <c r="J17" s="327"/>
      <c r="K17" s="300">
        <f>SUM(K18:K20)</f>
        <v>23.818168817194277</v>
      </c>
      <c r="L17" s="281"/>
      <c r="M17" s="281"/>
    </row>
    <row r="18" spans="1:13" ht="15" customHeight="1">
      <c r="A18" s="301" t="s">
        <v>28</v>
      </c>
      <c r="C18" s="39">
        <v>6014</v>
      </c>
      <c r="D18" s="331">
        <v>87.6</v>
      </c>
      <c r="E18" s="302">
        <v>0</v>
      </c>
      <c r="F18" s="31" t="str">
        <f>IFERROR(VLOOKUP($C18,[15]Nod!$A$3:$E$986,4,FALSE)," ")</f>
        <v>PRO230</v>
      </c>
      <c r="G18" s="31">
        <f>IFERROR(VLOOKUP($C18,[15]Nod!$A$3:$E$986,5,FALSE)," ")</f>
        <v>1</v>
      </c>
      <c r="H18" s="296" t="s">
        <v>29</v>
      </c>
      <c r="I18" s="67"/>
      <c r="J18" s="68"/>
      <c r="K18" s="68"/>
      <c r="L18" s="281"/>
      <c r="M18" s="281"/>
    </row>
    <row r="19" spans="1:13" ht="15" customHeight="1">
      <c r="A19" s="301" t="s">
        <v>30</v>
      </c>
      <c r="C19" s="39">
        <v>6014</v>
      </c>
      <c r="D19" s="331">
        <v>57.4</v>
      </c>
      <c r="E19" s="302">
        <v>0</v>
      </c>
      <c r="F19" s="31" t="str">
        <f>IFERROR(VLOOKUP($C19,[15]Nod!$A$3:$E$986,4,FALSE)," ")</f>
        <v>PRO230</v>
      </c>
      <c r="G19" s="31">
        <f>IFERROR(VLOOKUP($C19,[15]Nod!$A$3:$E$986,5,FALSE)," ")</f>
        <v>1</v>
      </c>
      <c r="H19" s="69" t="s">
        <v>31</v>
      </c>
      <c r="I19" s="67"/>
      <c r="J19" s="68">
        <v>6014</v>
      </c>
      <c r="K19" s="65">
        <v>23.677992040258548</v>
      </c>
      <c r="L19" s="281" t="str">
        <f>VLOOKUP($J19,[15]Nod!$A$3:$E$985,4,FALSE)</f>
        <v>PRO230</v>
      </c>
      <c r="M19" s="281">
        <f>VLOOKUP($J19,[15]Nod!$A$3:$E$985,5,FALSE)</f>
        <v>1</v>
      </c>
    </row>
    <row r="20" spans="1:13" ht="15" customHeight="1">
      <c r="A20" s="301" t="s">
        <v>32</v>
      </c>
      <c r="C20" s="39">
        <v>6014</v>
      </c>
      <c r="D20" s="331">
        <v>30</v>
      </c>
      <c r="E20" s="302">
        <v>0</v>
      </c>
      <c r="F20" s="31" t="str">
        <f>IFERROR(VLOOKUP($C20,[15]Nod!$A$3:$E$986,4,FALSE)," ")</f>
        <v>PRO230</v>
      </c>
      <c r="G20" s="31">
        <f>IFERROR(VLOOKUP($C20,[15]Nod!$A$3:$E$986,5,FALSE)," ")</f>
        <v>1</v>
      </c>
      <c r="H20" s="69" t="s">
        <v>33</v>
      </c>
      <c r="I20" s="67"/>
      <c r="J20" s="68">
        <v>6014</v>
      </c>
      <c r="K20" s="65">
        <v>0.14017677693573002</v>
      </c>
      <c r="L20" s="281" t="str">
        <f>VLOOKUP($J20,[15]Nod!$A$3:$E$985,4,FALSE)</f>
        <v>PRO230</v>
      </c>
      <c r="M20" s="281">
        <f>VLOOKUP($J20,[15]Nod!$A$3:$E$985,5,FALSE)</f>
        <v>1</v>
      </c>
    </row>
    <row r="21" spans="1:13" ht="15" customHeight="1">
      <c r="A21" s="301" t="s">
        <v>34</v>
      </c>
      <c r="C21" s="39">
        <v>6014</v>
      </c>
      <c r="D21" s="331">
        <v>27.9</v>
      </c>
      <c r="E21" s="302">
        <v>0</v>
      </c>
      <c r="F21" s="31" t="str">
        <f>IFERROR(VLOOKUP($C21,[15]Nod!$A$3:$E$986,4,FALSE)," ")</f>
        <v>PRO230</v>
      </c>
      <c r="G21" s="31">
        <f>IFERROR(VLOOKUP($C21,[15]Nod!$A$3:$E$986,5,FALSE)," ")</f>
        <v>1</v>
      </c>
      <c r="H21" s="303" t="s">
        <v>35</v>
      </c>
      <c r="I21" s="304"/>
      <c r="J21" s="306"/>
      <c r="K21" s="306"/>
      <c r="L21" s="281"/>
      <c r="M21" s="281"/>
    </row>
    <row r="22" spans="1:13" ht="15" customHeight="1">
      <c r="A22" s="301" t="s">
        <v>36</v>
      </c>
      <c r="C22" s="39">
        <v>6014</v>
      </c>
      <c r="D22" s="331">
        <v>10</v>
      </c>
      <c r="E22" s="302">
        <v>0</v>
      </c>
      <c r="F22" s="31" t="str">
        <f>IFERROR(VLOOKUP($C22,[15]Nod!$A$3:$E$986,4,FALSE)," ")</f>
        <v>PRO230</v>
      </c>
      <c r="G22" s="31">
        <f>IFERROR(VLOOKUP($C22,[15]Nod!$A$3:$E$986,5,FALSE)," ")</f>
        <v>1</v>
      </c>
      <c r="H22" s="307">
        <v>2</v>
      </c>
      <c r="I22" s="299"/>
      <c r="J22" s="327"/>
      <c r="K22" s="300">
        <v>0</v>
      </c>
      <c r="L22" s="281"/>
      <c r="M22" s="281"/>
    </row>
    <row r="23" spans="1:13" ht="15" customHeight="1">
      <c r="A23" s="301" t="s">
        <v>189</v>
      </c>
      <c r="C23" s="39">
        <v>6014</v>
      </c>
      <c r="D23" s="331">
        <v>9.99</v>
      </c>
      <c r="E23" s="302">
        <v>0</v>
      </c>
      <c r="F23" s="31" t="str">
        <f>IFERROR(VLOOKUP($C23,[15]Nod!$A$3:$E$986,4,FALSE)," ")</f>
        <v>PRO230</v>
      </c>
      <c r="G23" s="31">
        <f>IFERROR(VLOOKUP($C23,[15]Nod!$A$3:$E$986,5,FALSE)," ")</f>
        <v>1</v>
      </c>
      <c r="H23" s="303" t="s">
        <v>35</v>
      </c>
      <c r="I23" s="304"/>
      <c r="J23" s="306"/>
      <c r="K23" s="306"/>
      <c r="L23" s="281"/>
      <c r="M23" s="281"/>
    </row>
    <row r="24" spans="1:13" ht="15" customHeight="1">
      <c r="A24" s="301" t="s">
        <v>190</v>
      </c>
      <c r="C24" s="39">
        <v>6014</v>
      </c>
      <c r="D24" s="331">
        <v>5.5</v>
      </c>
      <c r="E24" s="302">
        <v>0</v>
      </c>
      <c r="F24" s="31" t="str">
        <f>IFERROR(VLOOKUP($C24,[15]Nod!$A$3:$E$986,4,FALSE)," ")</f>
        <v>PRO230</v>
      </c>
      <c r="G24" s="31">
        <f>IFERROR(VLOOKUP($C24,[15]Nod!$A$3:$E$986,5,FALSE)," ")</f>
        <v>1</v>
      </c>
      <c r="H24" s="298">
        <v>3</v>
      </c>
      <c r="I24" s="299"/>
      <c r="J24" s="327"/>
      <c r="K24" s="300">
        <f>SUM(K25:K27)</f>
        <v>4.5628709032387936E-2</v>
      </c>
      <c r="L24" s="281"/>
      <c r="M24" s="281"/>
    </row>
    <row r="25" spans="1:13" ht="15" customHeight="1">
      <c r="A25" s="301" t="s">
        <v>359</v>
      </c>
      <c r="C25" s="39">
        <v>6014</v>
      </c>
      <c r="D25" s="331">
        <v>10</v>
      </c>
      <c r="E25" s="302">
        <v>0</v>
      </c>
      <c r="F25" s="31" t="str">
        <f>IFERROR(VLOOKUP($C25,[15]Nod!$A$3:$E$986,4,FALSE)," ")</f>
        <v>PRO230</v>
      </c>
      <c r="G25" s="31">
        <f>IFERROR(VLOOKUP($C25,[15]Nod!$A$3:$E$986,5,FALSE)," ")</f>
        <v>1</v>
      </c>
      <c r="H25" s="296" t="s">
        <v>29</v>
      </c>
      <c r="I25" s="67"/>
      <c r="J25" s="68"/>
      <c r="K25" s="68"/>
      <c r="L25" s="281"/>
      <c r="M25" s="281"/>
    </row>
    <row r="26" spans="1:13" ht="15" customHeight="1">
      <c r="A26" s="301" t="s">
        <v>358</v>
      </c>
      <c r="C26" s="39">
        <v>6014</v>
      </c>
      <c r="D26" s="331">
        <v>10</v>
      </c>
      <c r="E26" s="302">
        <v>0</v>
      </c>
      <c r="F26" s="31" t="str">
        <f>IFERROR(VLOOKUP($C26,[15]Nod!$A$3:$E$986,4,FALSE)," ")</f>
        <v>PRO230</v>
      </c>
      <c r="G26" s="31">
        <f>IFERROR(VLOOKUP($C26,[15]Nod!$A$3:$E$986,5,FALSE)," ")</f>
        <v>1</v>
      </c>
      <c r="H26" s="69" t="s">
        <v>37</v>
      </c>
      <c r="I26" s="67"/>
      <c r="J26" s="68">
        <v>6087</v>
      </c>
      <c r="K26" s="65">
        <v>4.5628709032387936E-2</v>
      </c>
      <c r="L26" s="281" t="str">
        <f>VLOOKUP($J26,[15]Nod!$A$3:$E$985,4,FALSE)</f>
        <v>CAL115</v>
      </c>
      <c r="M26" s="281">
        <f>VLOOKUP($J26,[15]Nod!$A$3:$E$985,5,FALSE)</f>
        <v>3</v>
      </c>
    </row>
    <row r="27" spans="1:13" ht="15" customHeight="1">
      <c r="A27" s="301" t="s">
        <v>357</v>
      </c>
      <c r="C27" s="39">
        <v>6014</v>
      </c>
      <c r="D27" s="331">
        <v>10</v>
      </c>
      <c r="E27" s="302">
        <v>0</v>
      </c>
      <c r="F27" s="31" t="str">
        <f>IFERROR(VLOOKUP($C27,[15]Nod!$A$3:$E$986,4,FALSE)," ")</f>
        <v>PRO230</v>
      </c>
      <c r="G27" s="31">
        <f>IFERROR(VLOOKUP($C27,[15]Nod!$A$3:$E$986,5,FALSE)," ")</f>
        <v>1</v>
      </c>
      <c r="H27" s="303" t="s">
        <v>35</v>
      </c>
      <c r="I27" s="304"/>
      <c r="J27" s="306"/>
      <c r="K27" s="306"/>
      <c r="L27" s="281"/>
      <c r="M27" s="281"/>
    </row>
    <row r="28" spans="1:13" ht="15" customHeight="1">
      <c r="A28" s="301" t="s">
        <v>356</v>
      </c>
      <c r="C28" s="39">
        <v>6014</v>
      </c>
      <c r="D28" s="331">
        <v>10</v>
      </c>
      <c r="E28" s="302">
        <v>0</v>
      </c>
      <c r="F28" s="31" t="str">
        <f>IFERROR(VLOOKUP($C28,[15]Nod!$A$3:$E$986,4,FALSE)," ")</f>
        <v>PRO230</v>
      </c>
      <c r="G28" s="31">
        <f>IFERROR(VLOOKUP($C28,[15]Nod!$A$3:$E$986,5,FALSE)," ")</f>
        <v>1</v>
      </c>
      <c r="H28" s="298">
        <v>4</v>
      </c>
      <c r="I28" s="299"/>
      <c r="J28" s="327"/>
      <c r="K28" s="300">
        <f>SUM(K29:K32)</f>
        <v>155.06627029726724</v>
      </c>
      <c r="L28" s="281"/>
      <c r="M28" s="281"/>
    </row>
    <row r="29" spans="1:13" ht="15" customHeight="1">
      <c r="A29" s="301" t="s">
        <v>355</v>
      </c>
      <c r="C29" s="39">
        <v>6014</v>
      </c>
      <c r="D29" s="331">
        <v>10</v>
      </c>
      <c r="E29" s="302">
        <v>0</v>
      </c>
      <c r="F29" s="31" t="str">
        <f>IFERROR(VLOOKUP($C29,[15]Nod!$A$3:$E$986,4,FALSE)," ")</f>
        <v>PRO230</v>
      </c>
      <c r="G29" s="31">
        <f>IFERROR(VLOOKUP($C29,[15]Nod!$A$3:$E$986,5,FALSE)," ")</f>
        <v>1</v>
      </c>
      <c r="H29" s="296" t="s">
        <v>29</v>
      </c>
      <c r="I29" s="67"/>
      <c r="J29" s="68"/>
      <c r="K29" s="68"/>
      <c r="L29" s="281"/>
      <c r="M29" s="281"/>
    </row>
    <row r="30" spans="1:13" ht="15" customHeight="1">
      <c r="A30" s="301" t="s">
        <v>354</v>
      </c>
      <c r="C30" s="39">
        <v>6014</v>
      </c>
      <c r="D30" s="331">
        <v>19.88</v>
      </c>
      <c r="E30" s="302">
        <v>0</v>
      </c>
      <c r="F30" s="31" t="str">
        <f>IFERROR(VLOOKUP($C30,[15]Nod!$A$3:$E$986,4,FALSE)," ")</f>
        <v>PRO230</v>
      </c>
      <c r="G30" s="31">
        <f>IFERROR(VLOOKUP($C30,[15]Nod!$A$3:$E$986,5,FALSE)," ")</f>
        <v>1</v>
      </c>
      <c r="H30" s="57" t="s">
        <v>38</v>
      </c>
      <c r="I30" s="67"/>
      <c r="J30" s="68">
        <v>6013</v>
      </c>
      <c r="K30" s="65"/>
      <c r="L30" s="281" t="str">
        <f>VLOOKUP($J30,[15]Nod!$A$3:$E$985,4,FALSE)</f>
        <v>MDN34</v>
      </c>
      <c r="M30" s="281">
        <f>VLOOKUP($J30,[15]Nod!$A$3:$E$985,5,FALSE)</f>
        <v>4</v>
      </c>
    </row>
    <row r="31" spans="1:13" ht="15" customHeight="1">
      <c r="A31" s="301" t="s">
        <v>188</v>
      </c>
      <c r="C31" s="39">
        <v>6014</v>
      </c>
      <c r="D31" s="331">
        <v>25.9</v>
      </c>
      <c r="E31" s="302">
        <v>0</v>
      </c>
      <c r="F31" s="31" t="str">
        <f>IFERROR(VLOOKUP($C31,[15]Nod!$A$3:$E$986,4,FALSE)," ")</f>
        <v>PRO230</v>
      </c>
      <c r="G31" s="31">
        <f>IFERROR(VLOOKUP($C31,[15]Nod!$A$3:$E$986,5,FALSE)," ")</f>
        <v>1</v>
      </c>
      <c r="H31" s="57" t="s">
        <v>39</v>
      </c>
      <c r="I31" s="67"/>
      <c r="J31" s="68">
        <v>6013</v>
      </c>
      <c r="K31" s="344">
        <v>155.06627029726724</v>
      </c>
      <c r="L31" s="281" t="str">
        <f>VLOOKUP($J31,[15]Nod!$A$3:$E$985,4,FALSE)</f>
        <v>MDN34</v>
      </c>
      <c r="M31" s="281">
        <f>VLOOKUP($J31,[15]Nod!$A$3:$E$985,5,FALSE)</f>
        <v>4</v>
      </c>
    </row>
    <row r="32" spans="1:13" ht="15" customHeight="1">
      <c r="A32" s="301" t="s">
        <v>353</v>
      </c>
      <c r="C32" s="39">
        <v>6014</v>
      </c>
      <c r="D32" s="331">
        <v>25.9</v>
      </c>
      <c r="E32" s="302">
        <v>0</v>
      </c>
      <c r="F32" s="31" t="str">
        <f>IFERROR(VLOOKUP($C32,[15]Nod!$A$3:$E$986,4,FALSE)," ")</f>
        <v>PRO230</v>
      </c>
      <c r="G32" s="31">
        <f>IFERROR(VLOOKUP($C32,[15]Nod!$A$3:$E$986,5,FALSE)," ")</f>
        <v>1</v>
      </c>
      <c r="H32" s="303" t="s">
        <v>35</v>
      </c>
      <c r="I32" s="304"/>
      <c r="J32" s="306"/>
      <c r="K32" s="308"/>
      <c r="L32" s="281"/>
      <c r="M32" s="281"/>
    </row>
    <row r="33" spans="1:13" ht="15" customHeight="1">
      <c r="A33" s="301" t="s">
        <v>352</v>
      </c>
      <c r="C33" s="39">
        <v>6014</v>
      </c>
      <c r="D33" s="331">
        <v>9.9</v>
      </c>
      <c r="E33" s="302">
        <v>0</v>
      </c>
      <c r="F33" s="31" t="str">
        <f>IFERROR(VLOOKUP($C33,[15]Nod!$A$3:$E$986,4,FALSE)," ")</f>
        <v>PRO230</v>
      </c>
      <c r="G33" s="31">
        <f>IFERROR(VLOOKUP($C33,[15]Nod!$A$3:$E$986,5,FALSE)," ")</f>
        <v>1</v>
      </c>
      <c r="H33" s="309">
        <v>5</v>
      </c>
      <c r="I33" s="310"/>
      <c r="J33" s="326"/>
      <c r="K33" s="311">
        <f>SUM(K34:K43)</f>
        <v>343.2742066542113</v>
      </c>
      <c r="L33" s="281"/>
      <c r="M33" s="281"/>
    </row>
    <row r="34" spans="1:13" ht="15" customHeight="1">
      <c r="A34" s="301" t="s">
        <v>191</v>
      </c>
      <c r="C34" s="39">
        <v>6014</v>
      </c>
      <c r="D34" s="331">
        <v>10</v>
      </c>
      <c r="E34" s="48">
        <v>0</v>
      </c>
      <c r="F34" s="31" t="str">
        <f>IFERROR(VLOOKUP($C34,[15]Nod!$A$3:$E$986,4,FALSE)," ")</f>
        <v>PRO230</v>
      </c>
      <c r="G34" s="31">
        <f>IFERROR(VLOOKUP($C34,[15]Nod!$A$3:$E$986,5,FALSE)," ")</f>
        <v>1</v>
      </c>
      <c r="H34" s="296" t="s">
        <v>40</v>
      </c>
      <c r="I34" s="67"/>
      <c r="J34" s="68"/>
      <c r="K34" s="312"/>
      <c r="L34" s="281"/>
      <c r="M34" s="281"/>
    </row>
    <row r="35" spans="1:13" ht="15" customHeight="1">
      <c r="A35" s="301" t="s">
        <v>192</v>
      </c>
      <c r="C35" s="39">
        <v>6014</v>
      </c>
      <c r="D35" s="331">
        <v>10</v>
      </c>
      <c r="E35" s="48">
        <v>0</v>
      </c>
      <c r="F35" s="31" t="str">
        <f>IFERROR(VLOOKUP($C35,[15]Nod!$A$3:$E$986,4,FALSE)," ")</f>
        <v>PRO230</v>
      </c>
      <c r="G35" s="31">
        <f>IFERROR(VLOOKUP($C35,[15]Nod!$A$3:$E$986,5,FALSE)," ")</f>
        <v>1</v>
      </c>
      <c r="H35" s="313" t="s">
        <v>41</v>
      </c>
      <c r="I35" s="67"/>
      <c r="J35" s="68">
        <v>6460</v>
      </c>
      <c r="K35" s="65">
        <v>257.76588159728681</v>
      </c>
      <c r="L35" s="281" t="str">
        <f>VLOOKUP($J35,[15]Nod!$A$3:$E$985,4,FALSE)</f>
        <v>ECO230</v>
      </c>
      <c r="M35" s="281">
        <f>VLOOKUP($J35,[15]Nod!$A$3:$E$985,5,FALSE)</f>
        <v>5</v>
      </c>
    </row>
    <row r="36" spans="1:13" ht="15" customHeight="1">
      <c r="A36" s="301" t="s">
        <v>193</v>
      </c>
      <c r="C36" s="39">
        <v>6014</v>
      </c>
      <c r="D36" s="331">
        <v>19.88</v>
      </c>
      <c r="E36" s="48">
        <v>0</v>
      </c>
      <c r="F36" s="31" t="str">
        <f>IFERROR(VLOOKUP($C36,[15]Nod!$A$3:$E$986,4,FALSE)," ")</f>
        <v>PRO230</v>
      </c>
      <c r="G36" s="31">
        <f>IFERROR(VLOOKUP($C36,[15]Nod!$A$3:$E$986,5,FALSE)," ")</f>
        <v>1</v>
      </c>
      <c r="H36" s="313" t="s">
        <v>104</v>
      </c>
      <c r="I36" s="67"/>
      <c r="J36" s="68">
        <v>6460</v>
      </c>
      <c r="K36" s="65">
        <v>19.733786060315271</v>
      </c>
      <c r="L36" s="281" t="str">
        <f>VLOOKUP($J36,[15]Nod!$A$3:$E$985,4,FALSE)</f>
        <v>ECO230</v>
      </c>
      <c r="M36" s="281">
        <f>VLOOKUP($J36,[15]Nod!$A$3:$E$985,5,FALSE)</f>
        <v>5</v>
      </c>
    </row>
    <row r="37" spans="1:13" ht="15" customHeight="1">
      <c r="A37" s="301" t="s">
        <v>351</v>
      </c>
      <c r="C37" s="39">
        <v>6014</v>
      </c>
      <c r="D37" s="331">
        <v>1.05</v>
      </c>
      <c r="E37" s="48">
        <v>0</v>
      </c>
      <c r="F37" s="31" t="str">
        <f>IFERROR(VLOOKUP($C37,[15]Nod!$A$3:$E$986,4,FALSE)," ")</f>
        <v>PRO230</v>
      </c>
      <c r="G37" s="31">
        <f>IFERROR(VLOOKUP($C37,[15]Nod!$A$3:$E$986,5,FALSE)," ")</f>
        <v>1</v>
      </c>
      <c r="H37" s="296" t="s">
        <v>42</v>
      </c>
      <c r="I37" s="67"/>
      <c r="J37" s="68"/>
      <c r="K37" s="68"/>
      <c r="L37" s="281"/>
      <c r="M37" s="281"/>
    </row>
    <row r="38" spans="1:13" ht="15" customHeight="1">
      <c r="A38" s="314" t="s">
        <v>350</v>
      </c>
      <c r="C38" s="39">
        <v>6014</v>
      </c>
      <c r="D38" s="331">
        <v>9.99</v>
      </c>
      <c r="E38" s="48">
        <v>0</v>
      </c>
      <c r="F38" s="31" t="str">
        <f>IFERROR(VLOOKUP($C38,[15]Nod!$A$3:$E$986,4,FALSE)," ")</f>
        <v>PRO230</v>
      </c>
      <c r="G38" s="31">
        <f>IFERROR(VLOOKUP($C38,[15]Nod!$A$3:$E$986,5,FALSE)," ")</f>
        <v>1</v>
      </c>
      <c r="H38" s="69" t="s">
        <v>44</v>
      </c>
      <c r="I38" s="67"/>
      <c r="J38" s="68">
        <v>6460</v>
      </c>
      <c r="K38" s="65">
        <v>0.93199999999999994</v>
      </c>
      <c r="L38" s="281" t="str">
        <f>VLOOKUP($J38,[15]Nod!$A$3:$E$985,4,FALSE)</f>
        <v>ECO230</v>
      </c>
      <c r="M38" s="281">
        <f>VLOOKUP($J38,[15]Nod!$A$3:$E$985,5,FALSE)</f>
        <v>5</v>
      </c>
    </row>
    <row r="39" spans="1:13" ht="15" customHeight="1">
      <c r="A39" s="314" t="s">
        <v>349</v>
      </c>
      <c r="C39" s="39">
        <v>6014</v>
      </c>
      <c r="D39" s="331">
        <v>9.99</v>
      </c>
      <c r="E39" s="48">
        <v>0</v>
      </c>
      <c r="F39" s="31" t="str">
        <f>IFERROR(VLOOKUP($C39,[15]Nod!$A$3:$E$986,4,FALSE)," ")</f>
        <v>PRO230</v>
      </c>
      <c r="G39" s="31">
        <f>IFERROR(VLOOKUP($C39,[15]Nod!$A$3:$E$986,5,FALSE)," ")</f>
        <v>1</v>
      </c>
      <c r="H39" s="69" t="s">
        <v>45</v>
      </c>
      <c r="I39" s="67"/>
      <c r="J39" s="68"/>
      <c r="K39" s="65"/>
      <c r="L39" s="281"/>
      <c r="M39" s="281"/>
    </row>
    <row r="40" spans="1:13" ht="15" customHeight="1">
      <c r="A40" s="314" t="s">
        <v>348</v>
      </c>
      <c r="C40" s="39">
        <v>6014</v>
      </c>
      <c r="D40" s="331">
        <v>9.99</v>
      </c>
      <c r="E40" s="48">
        <v>0</v>
      </c>
      <c r="F40" s="31" t="str">
        <f>IFERROR(VLOOKUP($C40,[15]Nod!$A$3:$E$986,4,FALSE)," ")</f>
        <v>PRO230</v>
      </c>
      <c r="G40" s="31">
        <f>IFERROR(VLOOKUP($C40,[15]Nod!$A$3:$E$986,5,FALSE)," ")</f>
        <v>1</v>
      </c>
      <c r="H40" s="69" t="s">
        <v>47</v>
      </c>
      <c r="I40" s="67"/>
      <c r="J40" s="68">
        <v>6460</v>
      </c>
      <c r="K40" s="355">
        <v>0.84253899660921205</v>
      </c>
      <c r="L40" s="281" t="str">
        <f>VLOOKUP($J40,[15]Nod!$A$3:$E$985,4,FALSE)</f>
        <v>ECO230</v>
      </c>
      <c r="M40" s="281">
        <f>VLOOKUP($J40,[15]Nod!$A$3:$E$985,5,FALSE)</f>
        <v>5</v>
      </c>
    </row>
    <row r="41" spans="1:13" ht="15" customHeight="1">
      <c r="A41" s="314" t="s">
        <v>347</v>
      </c>
      <c r="C41" s="39">
        <v>6014</v>
      </c>
      <c r="D41" s="331">
        <v>9.99</v>
      </c>
      <c r="E41" s="48">
        <v>0</v>
      </c>
      <c r="F41" s="31" t="str">
        <f>IFERROR(VLOOKUP($C41,[15]Nod!$A$3:$E$986,4,FALSE)," ")</f>
        <v>PRO230</v>
      </c>
      <c r="G41" s="31">
        <f>IFERROR(VLOOKUP($C41,[15]Nod!$A$3:$E$986,5,FALSE)," ")</f>
        <v>1</v>
      </c>
      <c r="H41" s="354" t="s">
        <v>49</v>
      </c>
      <c r="I41" s="67"/>
      <c r="J41" s="68"/>
      <c r="K41" s="68"/>
      <c r="L41" s="281"/>
      <c r="M41" s="281"/>
    </row>
    <row r="42" spans="1:13" ht="15" customHeight="1">
      <c r="A42" s="314" t="s">
        <v>346</v>
      </c>
      <c r="C42" s="39">
        <v>6014</v>
      </c>
      <c r="D42" s="331">
        <v>9.99</v>
      </c>
      <c r="E42" s="48">
        <v>0</v>
      </c>
      <c r="F42" s="31" t="str">
        <f>IFERROR(VLOOKUP($C42,[15]Nod!$A$3:$E$986,4,FALSE)," ")</f>
        <v>PRO230</v>
      </c>
      <c r="G42" s="31">
        <f>IFERROR(VLOOKUP($C42,[15]Nod!$A$3:$E$986,5,FALSE)," ")</f>
        <v>1</v>
      </c>
      <c r="H42" s="69" t="s">
        <v>51</v>
      </c>
      <c r="I42" s="67"/>
      <c r="J42" s="68">
        <v>6460</v>
      </c>
      <c r="K42" s="65">
        <v>64</v>
      </c>
      <c r="L42" s="281" t="str">
        <f>VLOOKUP($J42,[15]Nod!$A$3:$E$985,4,FALSE)</f>
        <v>ECO230</v>
      </c>
      <c r="M42" s="281">
        <f>VLOOKUP($J42,[15]Nod!$A$3:$E$985,5,FALSE)</f>
        <v>5</v>
      </c>
    </row>
    <row r="43" spans="1:13" ht="15" customHeight="1">
      <c r="A43" s="314" t="s">
        <v>345</v>
      </c>
      <c r="C43" s="39">
        <v>6014</v>
      </c>
      <c r="D43" s="331">
        <v>9.99</v>
      </c>
      <c r="E43" s="48">
        <v>0</v>
      </c>
      <c r="F43" s="31" t="str">
        <f>IFERROR(VLOOKUP($C43,[15]Nod!$A$3:$E$986,4,FALSE)," ")</f>
        <v>PRO230</v>
      </c>
      <c r="G43" s="31">
        <f>IFERROR(VLOOKUP($C43,[15]Nod!$A$3:$E$986,5,FALSE)," ")</f>
        <v>1</v>
      </c>
      <c r="H43" s="316" t="s">
        <v>35</v>
      </c>
      <c r="I43" s="67"/>
      <c r="J43" s="68"/>
      <c r="K43" s="68"/>
      <c r="L43" s="281"/>
      <c r="M43" s="281"/>
    </row>
    <row r="44" spans="1:13" ht="15" customHeight="1">
      <c r="A44" s="314" t="s">
        <v>344</v>
      </c>
      <c r="C44" s="39">
        <v>6014</v>
      </c>
      <c r="D44" s="331">
        <v>9.99</v>
      </c>
      <c r="E44" s="48">
        <v>0</v>
      </c>
      <c r="F44" s="31" t="str">
        <f>IFERROR(VLOOKUP($C44,[15]Nod!$A$3:$E$986,4,FALSE)," ")</f>
        <v>PRO230</v>
      </c>
      <c r="G44" s="31">
        <f>IFERROR(VLOOKUP($C44,[15]Nod!$A$3:$E$986,5,FALSE)," ")</f>
        <v>1</v>
      </c>
      <c r="H44" s="307">
        <v>6</v>
      </c>
      <c r="I44" s="299"/>
      <c r="J44" s="327"/>
      <c r="K44" s="300">
        <f>SUM(K45:K50)</f>
        <v>233.21737299498511</v>
      </c>
      <c r="L44" s="281"/>
      <c r="M44" s="281"/>
    </row>
    <row r="45" spans="1:13" ht="15" customHeight="1">
      <c r="A45" s="314" t="s">
        <v>343</v>
      </c>
      <c r="C45" s="39">
        <v>6014</v>
      </c>
      <c r="D45" s="331">
        <v>17</v>
      </c>
      <c r="E45" s="48">
        <v>0</v>
      </c>
      <c r="F45" s="31" t="str">
        <f>IFERROR(VLOOKUP($C45,[15]Nod!$A$3:$E$986,4,FALSE)," ")</f>
        <v>PRO230</v>
      </c>
      <c r="G45" s="31">
        <f>IFERROR(VLOOKUP($C45,[15]Nod!$A$3:$E$986,5,FALSE)," ")</f>
        <v>1</v>
      </c>
      <c r="H45" s="296" t="s">
        <v>40</v>
      </c>
      <c r="I45" s="67"/>
      <c r="J45" s="68"/>
      <c r="K45" s="68"/>
      <c r="L45" s="281"/>
      <c r="M45" s="281"/>
    </row>
    <row r="46" spans="1:13" ht="15" customHeight="1">
      <c r="A46" s="314" t="s">
        <v>342</v>
      </c>
      <c r="C46" s="39">
        <v>6014</v>
      </c>
      <c r="D46" s="331">
        <v>10</v>
      </c>
      <c r="E46" s="48">
        <v>0</v>
      </c>
      <c r="F46" s="31" t="str">
        <f>IFERROR(VLOOKUP($C46,[15]Nod!$A$3:$E$986,4,FALSE)," ")</f>
        <v>PRO230</v>
      </c>
      <c r="G46" s="31">
        <f>IFERROR(VLOOKUP($C46,[15]Nod!$A$3:$E$986,5,FALSE)," ")</f>
        <v>1</v>
      </c>
      <c r="H46" s="69" t="s">
        <v>53</v>
      </c>
      <c r="I46" s="67"/>
      <c r="J46" s="68">
        <v>6005</v>
      </c>
      <c r="K46" s="65">
        <v>232.56337299498512</v>
      </c>
      <c r="L46" s="281" t="str">
        <f>VLOOKUP($J46,[15]Nod!$A$3:$E$985,4,FALSE)</f>
        <v>CHO230</v>
      </c>
      <c r="M46" s="281">
        <f>VLOOKUP($J46,[15]Nod!$A$3:$E$985,5,FALSE)</f>
        <v>6</v>
      </c>
    </row>
    <row r="47" spans="1:13" ht="15" customHeight="1">
      <c r="A47" s="314" t="s">
        <v>341</v>
      </c>
      <c r="C47" s="39">
        <v>6014</v>
      </c>
      <c r="D47" s="331">
        <v>10</v>
      </c>
      <c r="E47" s="48">
        <v>0</v>
      </c>
      <c r="F47" s="31" t="str">
        <f>IFERROR(VLOOKUP($C47,[15]Nod!$A$3:$E$986,4,FALSE)," ")</f>
        <v>PRO230</v>
      </c>
      <c r="G47" s="31">
        <f>IFERROR(VLOOKUP($C47,[15]Nod!$A$3:$E$986,5,FALSE)," ")</f>
        <v>1</v>
      </c>
      <c r="H47" s="296" t="s">
        <v>42</v>
      </c>
      <c r="I47" s="67"/>
      <c r="J47" s="68"/>
      <c r="K47" s="68"/>
      <c r="L47" s="281"/>
      <c r="M47" s="281"/>
    </row>
    <row r="48" spans="1:13" ht="15" customHeight="1">
      <c r="A48" s="314" t="s">
        <v>340</v>
      </c>
      <c r="C48" s="39">
        <v>6014</v>
      </c>
      <c r="D48" s="331">
        <v>9.9</v>
      </c>
      <c r="E48" s="302">
        <v>0</v>
      </c>
      <c r="F48" s="31" t="str">
        <f>IFERROR(VLOOKUP($C48,[15]Nod!$A$3:$E$986,4,FALSE)," ")</f>
        <v>PRO230</v>
      </c>
      <c r="G48" s="31">
        <f>IFERROR(VLOOKUP($C48,[15]Nod!$A$3:$E$986,5,FALSE)," ")</f>
        <v>1</v>
      </c>
      <c r="H48" s="69" t="s">
        <v>44</v>
      </c>
      <c r="I48" s="67"/>
      <c r="J48" s="68">
        <v>6005</v>
      </c>
      <c r="K48" s="65">
        <v>0.32100000000000001</v>
      </c>
      <c r="L48" s="281" t="str">
        <f>VLOOKUP($J48,[15]Nod!$A$3:$E$985,4,FALSE)</f>
        <v>CHO230</v>
      </c>
      <c r="M48" s="281">
        <f>VLOOKUP($J48,[15]Nod!$A$3:$E$985,5,FALSE)</f>
        <v>6</v>
      </c>
    </row>
    <row r="49" spans="1:13" ht="15" customHeight="1">
      <c r="A49" s="314" t="s">
        <v>339</v>
      </c>
      <c r="C49" s="39">
        <v>6014</v>
      </c>
      <c r="D49" s="331">
        <v>9.99</v>
      </c>
      <c r="E49" s="302">
        <v>0</v>
      </c>
      <c r="F49" s="31" t="str">
        <f>IFERROR(VLOOKUP($C49,[15]Nod!$A$3:$E$986,4,FALSE)," ")</f>
        <v>PRO230</v>
      </c>
      <c r="G49" s="31">
        <f>IFERROR(VLOOKUP($C49,[15]Nod!$A$3:$E$986,5,FALSE)," ")</f>
        <v>1</v>
      </c>
      <c r="H49" s="69" t="s">
        <v>57</v>
      </c>
      <c r="I49" s="67"/>
      <c r="J49" s="68">
        <v>6005</v>
      </c>
      <c r="K49" s="65">
        <v>0.33300000000000002</v>
      </c>
      <c r="L49" s="281" t="str">
        <f>VLOOKUP($J49,[15]Nod!$A$3:$E$985,4,FALSE)</f>
        <v>CHO230</v>
      </c>
      <c r="M49" s="281">
        <f>VLOOKUP($J49,[15]Nod!$A$3:$E$985,5,FALSE)</f>
        <v>6</v>
      </c>
    </row>
    <row r="50" spans="1:13" ht="15" customHeight="1">
      <c r="A50" s="314" t="s">
        <v>338</v>
      </c>
      <c r="C50" s="39">
        <v>6014</v>
      </c>
      <c r="D50" s="331">
        <v>9.99</v>
      </c>
      <c r="E50" s="302">
        <v>0</v>
      </c>
      <c r="F50" s="31" t="str">
        <f>IFERROR(VLOOKUP($C50,[15]Nod!$A$3:$E$986,4,FALSE)," ")</f>
        <v>PRO230</v>
      </c>
      <c r="G50" s="31">
        <f>IFERROR(VLOOKUP($C50,[15]Nod!$A$3:$E$986,5,FALSE)," ")</f>
        <v>1</v>
      </c>
      <c r="H50" s="303" t="s">
        <v>35</v>
      </c>
      <c r="I50" s="304"/>
      <c r="J50" s="306"/>
      <c r="K50" s="306"/>
      <c r="L50" s="281"/>
      <c r="M50" s="281"/>
    </row>
    <row r="51" spans="1:13" ht="15" customHeight="1">
      <c r="A51" s="314" t="s">
        <v>337</v>
      </c>
      <c r="C51" s="39">
        <v>6014</v>
      </c>
      <c r="D51" s="331">
        <v>9.9</v>
      </c>
      <c r="E51" s="302">
        <v>0</v>
      </c>
      <c r="F51" s="31" t="str">
        <f>IFERROR(VLOOKUP($C51,[15]Nod!$A$3:$E$986,4,FALSE)," ")</f>
        <v>PRO230</v>
      </c>
      <c r="G51" s="31">
        <f>IFERROR(VLOOKUP($C51,[15]Nod!$A$3:$E$986,5,FALSE)," ")</f>
        <v>1</v>
      </c>
      <c r="H51" s="307">
        <v>7</v>
      </c>
      <c r="I51" s="299"/>
      <c r="J51" s="327"/>
      <c r="K51" s="300">
        <f>SUM(K52:K69)</f>
        <v>1224.6824787760868</v>
      </c>
      <c r="L51" s="281"/>
      <c r="M51" s="281"/>
    </row>
    <row r="52" spans="1:13" ht="15" customHeight="1">
      <c r="A52" s="314" t="s">
        <v>336</v>
      </c>
      <c r="C52" s="39">
        <v>6014</v>
      </c>
      <c r="D52" s="331">
        <v>105</v>
      </c>
      <c r="E52" s="48">
        <v>6</v>
      </c>
      <c r="F52" s="31" t="str">
        <f>IFERROR(VLOOKUP($C52,[15]Nod!$A$3:$E$986,4,FALSE)," ")</f>
        <v>PRO230</v>
      </c>
      <c r="G52" s="31">
        <f>IFERROR(VLOOKUP($C52,[15]Nod!$A$3:$E$986,5,FALSE)," ")</f>
        <v>1</v>
      </c>
      <c r="H52" s="296" t="s">
        <v>40</v>
      </c>
      <c r="I52" s="67"/>
      <c r="J52" s="68"/>
      <c r="K52" s="68"/>
      <c r="L52" s="281"/>
      <c r="M52" s="281"/>
    </row>
    <row r="53" spans="1:13" ht="15" customHeight="1">
      <c r="A53" s="314" t="s">
        <v>335</v>
      </c>
      <c r="C53" s="39">
        <v>6014</v>
      </c>
      <c r="D53" s="331">
        <v>9.9</v>
      </c>
      <c r="E53" s="48">
        <v>6</v>
      </c>
      <c r="F53" s="31" t="str">
        <f>IFERROR(VLOOKUP($C53,[15]Nod!$A$3:$E$986,4,FALSE)," ")</f>
        <v>PRO230</v>
      </c>
      <c r="G53" s="31">
        <f>IFERROR(VLOOKUP($C53,[15]Nod!$A$3:$E$986,5,FALSE)," ")</f>
        <v>1</v>
      </c>
      <c r="H53" s="57" t="s">
        <v>61</v>
      </c>
      <c r="I53" s="67"/>
      <c r="J53" s="68">
        <v>6002</v>
      </c>
      <c r="K53" s="65">
        <v>506.14563503570128</v>
      </c>
      <c r="L53" s="281" t="str">
        <f>VLOOKUP($J53,[15]Nod!$A$3:$E$985,4,FALSE)</f>
        <v>PAN115</v>
      </c>
      <c r="M53" s="281">
        <f>VLOOKUP($J53,[15]Nod!$A$3:$E$985,5,FALSE)</f>
        <v>7</v>
      </c>
    </row>
    <row r="54" spans="1:13" ht="15" customHeight="1">
      <c r="A54" s="314" t="s">
        <v>334</v>
      </c>
      <c r="C54" s="39">
        <v>6014</v>
      </c>
      <c r="D54" s="331">
        <v>9.9</v>
      </c>
      <c r="E54" s="48">
        <v>6</v>
      </c>
      <c r="F54" s="31" t="str">
        <f>IFERROR(VLOOKUP($C54,[15]Nod!$A$3:$E$986,4,FALSE)," ")</f>
        <v>PRO230</v>
      </c>
      <c r="G54" s="31">
        <f>IFERROR(VLOOKUP($C54,[15]Nod!$A$3:$E$986,5,FALSE)," ")</f>
        <v>1</v>
      </c>
      <c r="H54" s="351" t="s">
        <v>186</v>
      </c>
      <c r="I54" s="67"/>
      <c r="J54" s="68"/>
      <c r="K54" s="65"/>
      <c r="L54" s="281"/>
      <c r="M54" s="281"/>
    </row>
    <row r="55" spans="1:13" ht="15" customHeight="1">
      <c r="A55" s="314" t="s">
        <v>333</v>
      </c>
      <c r="C55" s="39">
        <v>6014</v>
      </c>
      <c r="D55" s="331">
        <v>9.9</v>
      </c>
      <c r="E55" s="48">
        <v>6</v>
      </c>
      <c r="F55" s="31" t="str">
        <f>IFERROR(VLOOKUP($C55,[15]Nod!$A$3:$E$986,4,FALSE)," ")</f>
        <v>PRO230</v>
      </c>
      <c r="G55" s="31">
        <f>IFERROR(VLOOKUP($C55,[15]Nod!$A$3:$E$986,5,FALSE)," ")</f>
        <v>1</v>
      </c>
      <c r="H55" s="57" t="s">
        <v>69</v>
      </c>
      <c r="I55" s="67"/>
      <c r="J55" s="68">
        <v>6002</v>
      </c>
      <c r="K55" s="65">
        <v>0.36599999999999999</v>
      </c>
      <c r="L55" s="281" t="str">
        <f>VLOOKUP($J55,[15]Nod!$A$3:$E$985,4,FALSE)</f>
        <v>PAN115</v>
      </c>
      <c r="M55" s="281">
        <f>VLOOKUP($J55,[15]Nod!$A$3:$E$985,5,FALSE)</f>
        <v>7</v>
      </c>
    </row>
    <row r="56" spans="1:13" ht="15" customHeight="1">
      <c r="A56" s="314" t="s">
        <v>332</v>
      </c>
      <c r="C56" s="39">
        <v>6014</v>
      </c>
      <c r="D56" s="331">
        <v>70</v>
      </c>
      <c r="E56" s="48">
        <v>7</v>
      </c>
      <c r="F56" s="31" t="str">
        <f>IFERROR(VLOOKUP($C56,[15]Nod!$A$3:$E$986,4,FALSE)," ")</f>
        <v>PRO230</v>
      </c>
      <c r="G56" s="31">
        <f>IFERROR(VLOOKUP($C56,[15]Nod!$A$3:$E$986,5,FALSE)," ")</f>
        <v>1</v>
      </c>
      <c r="H56" s="57" t="s">
        <v>331</v>
      </c>
      <c r="I56" s="67"/>
      <c r="J56" s="68">
        <v>6002</v>
      </c>
      <c r="K56" s="65">
        <v>1.2148865</v>
      </c>
      <c r="L56" s="281" t="str">
        <f>VLOOKUP($J56,[15]Nod!$A$3:$E$985,4,FALSE)</f>
        <v>PAN115</v>
      </c>
      <c r="M56" s="281">
        <f>VLOOKUP($J56,[15]Nod!$A$3:$E$985,5,FALSE)</f>
        <v>7</v>
      </c>
    </row>
    <row r="57" spans="1:13" ht="15" customHeight="1">
      <c r="A57" s="314" t="s">
        <v>330</v>
      </c>
      <c r="C57" s="39">
        <v>6014</v>
      </c>
      <c r="D57" s="331">
        <v>10</v>
      </c>
      <c r="E57" s="48">
        <v>7</v>
      </c>
      <c r="F57" s="31" t="str">
        <f>IFERROR(VLOOKUP($C57,[15]Nod!$A$3:$E$986,4,FALSE)," ")</f>
        <v>PRO230</v>
      </c>
      <c r="G57" s="31">
        <f>IFERROR(VLOOKUP($C57,[15]Nod!$A$3:$E$986,5,FALSE)," ")</f>
        <v>1</v>
      </c>
      <c r="H57" s="57" t="s">
        <v>74</v>
      </c>
      <c r="I57" s="67"/>
      <c r="J57" s="68">
        <v>6002</v>
      </c>
      <c r="K57" s="65">
        <v>0.32300000000000001</v>
      </c>
      <c r="L57" s="281" t="str">
        <f>VLOOKUP($J57,[15]Nod!$A$3:$E$985,4,FALSE)</f>
        <v>PAN115</v>
      </c>
      <c r="M57" s="281">
        <f>VLOOKUP($J57,[15]Nod!$A$3:$E$985,5,FALSE)</f>
        <v>7</v>
      </c>
    </row>
    <row r="58" spans="1:13" ht="15" customHeight="1">
      <c r="A58" s="314" t="s">
        <v>329</v>
      </c>
      <c r="C58" s="39">
        <v>6014</v>
      </c>
      <c r="D58" s="331">
        <v>10</v>
      </c>
      <c r="E58" s="48">
        <v>7</v>
      </c>
      <c r="F58" s="31" t="str">
        <f>IFERROR(VLOOKUP($C58,[15]Nod!$A$3:$E$986,4,FALSE)," ")</f>
        <v>PRO230</v>
      </c>
      <c r="G58" s="31">
        <f>IFERROR(VLOOKUP($C58,[15]Nod!$A$3:$E$986,5,FALSE)," ")</f>
        <v>1</v>
      </c>
      <c r="H58" s="57" t="s">
        <v>76</v>
      </c>
      <c r="I58" s="67"/>
      <c r="J58" s="68">
        <v>6002</v>
      </c>
      <c r="K58" s="65">
        <v>0</v>
      </c>
      <c r="L58" s="281" t="str">
        <f>VLOOKUP($J58,[15]Nod!$A$3:$E$985,4,FALSE)</f>
        <v>PAN115</v>
      </c>
      <c r="M58" s="281">
        <f>VLOOKUP($J58,[15]Nod!$A$3:$E$985,5,FALSE)</f>
        <v>7</v>
      </c>
    </row>
    <row r="59" spans="1:13" ht="15" customHeight="1">
      <c r="A59" s="314" t="s">
        <v>328</v>
      </c>
      <c r="C59" s="39">
        <v>6014</v>
      </c>
      <c r="D59" s="331">
        <v>10</v>
      </c>
      <c r="E59" s="48">
        <v>7</v>
      </c>
      <c r="F59" s="31" t="str">
        <f>IFERROR(VLOOKUP($C59,[15]Nod!$A$3:$E$986,4,FALSE)," ")</f>
        <v>PRO230</v>
      </c>
      <c r="G59" s="31">
        <f>IFERROR(VLOOKUP($C59,[15]Nod!$A$3:$E$986,5,FALSE)," ")</f>
        <v>1</v>
      </c>
      <c r="H59" s="350" t="s">
        <v>44</v>
      </c>
      <c r="I59" s="67"/>
      <c r="J59" s="68">
        <v>6002</v>
      </c>
      <c r="K59" s="65">
        <v>2.775719</v>
      </c>
      <c r="L59" s="281" t="str">
        <f>VLOOKUP($J59,[15]Nod!$A$3:$E$985,4,FALSE)</f>
        <v>PAN115</v>
      </c>
      <c r="M59" s="281">
        <f>VLOOKUP($J59,[15]Nod!$A$3:$E$985,5,FALSE)</f>
        <v>7</v>
      </c>
    </row>
    <row r="60" spans="1:13" ht="15" customHeight="1">
      <c r="A60" s="314" t="s">
        <v>327</v>
      </c>
      <c r="C60" s="39">
        <v>6014</v>
      </c>
      <c r="D60" s="331">
        <v>10</v>
      </c>
      <c r="E60" s="48">
        <v>7</v>
      </c>
      <c r="F60" s="31" t="str">
        <f>IFERROR(VLOOKUP($C60,[15]Nod!$A$3:$E$986,4,FALSE)," ")</f>
        <v>PRO230</v>
      </c>
      <c r="G60" s="31">
        <f>IFERROR(VLOOKUP($C60,[15]Nod!$A$3:$E$986,5,FALSE)," ")</f>
        <v>1</v>
      </c>
      <c r="H60" s="352"/>
      <c r="I60" s="67"/>
      <c r="J60" s="68"/>
      <c r="K60" s="65"/>
      <c r="L60" s="281"/>
      <c r="M60" s="281"/>
    </row>
    <row r="61" spans="1:13" ht="15" customHeight="1">
      <c r="A61" s="314" t="s">
        <v>326</v>
      </c>
      <c r="C61" s="39">
        <v>6014</v>
      </c>
      <c r="D61" s="331"/>
      <c r="E61" s="48"/>
      <c r="F61" s="31" t="str">
        <f>IFERROR(VLOOKUP($C61,[15]Nod!$A$3:$E$986,4,FALSE)," ")</f>
        <v>PRO230</v>
      </c>
      <c r="G61" s="31">
        <f>IFERROR(VLOOKUP($C61,[15]Nod!$A$3:$E$986,5,FALSE)," ")</f>
        <v>1</v>
      </c>
      <c r="H61" s="351" t="s">
        <v>60</v>
      </c>
      <c r="I61" s="67"/>
      <c r="J61" s="68"/>
      <c r="K61" s="65"/>
      <c r="L61" s="281"/>
      <c r="M61" s="281"/>
    </row>
    <row r="62" spans="1:13" ht="15" customHeight="1" thickBot="1">
      <c r="A62" s="49" t="s">
        <v>35</v>
      </c>
      <c r="B62" s="3"/>
      <c r="C62" s="40"/>
      <c r="D62" s="333"/>
      <c r="E62" s="302"/>
      <c r="F62" s="31" t="str">
        <f>IFERROR(VLOOKUP($C62,[15]Nod!$A$3:$E$986,4,FALSE)," ")</f>
        <v xml:space="preserve"> </v>
      </c>
      <c r="G62" s="31" t="str">
        <f>IFERROR(VLOOKUP($C62,[15]Nod!$A$3:$E$986,5,FALSE)," ")</f>
        <v xml:space="preserve"> </v>
      </c>
      <c r="H62" s="57" t="s">
        <v>61</v>
      </c>
      <c r="I62" s="67"/>
      <c r="J62" s="68">
        <v>6002</v>
      </c>
      <c r="K62" s="65">
        <v>285.70792375227813</v>
      </c>
      <c r="L62" s="281" t="str">
        <f>VLOOKUP($J62,[15]Nod!$A$3:$E$985,4,FALSE)</f>
        <v>PAN115</v>
      </c>
      <c r="M62" s="281">
        <f>VLOOKUP($J62,[15]Nod!$A$3:$E$985,5,FALSE)</f>
        <v>7</v>
      </c>
    </row>
    <row r="63" spans="1:13" ht="15" customHeight="1">
      <c r="A63" s="50">
        <v>2</v>
      </c>
      <c r="B63" s="44"/>
      <c r="C63" s="45"/>
      <c r="D63" s="332">
        <f>SUM(D64:D82)</f>
        <v>730.88000000000011</v>
      </c>
      <c r="E63" s="297"/>
      <c r="F63" s="31" t="str">
        <f>IFERROR(VLOOKUP($C63,[15]Nod!$A$3:$E$986,4,FALSE)," ")</f>
        <v xml:space="preserve"> </v>
      </c>
      <c r="G63" s="31" t="str">
        <f>IFERROR(VLOOKUP($C63,[15]Nod!$A$3:$E$986,5,FALSE)," ")</f>
        <v xml:space="preserve"> </v>
      </c>
      <c r="H63" s="57" t="s">
        <v>63</v>
      </c>
      <c r="I63" s="67"/>
      <c r="J63" s="68">
        <v>6002</v>
      </c>
      <c r="K63" s="65">
        <v>337.13437448810731</v>
      </c>
      <c r="L63" s="281" t="str">
        <f>VLOOKUP($J63,[15]Nod!$A$3:$E$985,4,FALSE)</f>
        <v>PAN115</v>
      </c>
      <c r="M63" s="281">
        <f>VLOOKUP($J63,[15]Nod!$A$3:$E$985,5,FALSE)</f>
        <v>7</v>
      </c>
    </row>
    <row r="64" spans="1:13" ht="15" customHeight="1">
      <c r="A64" s="301" t="s">
        <v>43</v>
      </c>
      <c r="B64" s="3"/>
      <c r="C64" s="40">
        <v>6096</v>
      </c>
      <c r="D64" s="331">
        <v>300</v>
      </c>
      <c r="E64" s="302">
        <v>0</v>
      </c>
      <c r="F64" s="31" t="str">
        <f>IFERROR(VLOOKUP($C64,[15]Nod!$A$3:$E$986,4,FALSE)," ")</f>
        <v>FOR230</v>
      </c>
      <c r="G64" s="31">
        <f>IFERROR(VLOOKUP($C64,[15]Nod!$A$3:$E$986,5,FALSE)," ")</f>
        <v>2</v>
      </c>
      <c r="H64" s="57" t="s">
        <v>65</v>
      </c>
      <c r="I64" s="67"/>
      <c r="J64" s="68">
        <v>6470</v>
      </c>
      <c r="K64" s="65">
        <v>66.807899999999989</v>
      </c>
      <c r="L64" s="281" t="str">
        <f>VLOOKUP($J64,[15]Nod!$A$3:$E$985,4,FALSE)</f>
        <v>24DIC230</v>
      </c>
      <c r="M64" s="281">
        <f>VLOOKUP($J64,[15]Nod!$A$3:$E$985,5,FALSE)</f>
        <v>7</v>
      </c>
    </row>
    <row r="65" spans="1:13" ht="15" customHeight="1">
      <c r="A65" s="301" t="s">
        <v>194</v>
      </c>
      <c r="B65" s="3"/>
      <c r="C65" s="40">
        <v>6179</v>
      </c>
      <c r="D65" s="331">
        <v>120</v>
      </c>
      <c r="E65" s="302">
        <v>0</v>
      </c>
      <c r="F65" s="31" t="str">
        <f>IFERROR(VLOOKUP($C65,[15]Nod!$A$3:$E$986,4,FALSE)," ")</f>
        <v>GUA230</v>
      </c>
      <c r="G65" s="31">
        <f>IFERROR(VLOOKUP($C65,[15]Nod!$A$3:$E$986,5,FALSE)," ")</f>
        <v>2</v>
      </c>
      <c r="H65" s="351" t="s">
        <v>185</v>
      </c>
      <c r="I65" s="67"/>
      <c r="J65" s="68"/>
      <c r="K65" s="65"/>
      <c r="L65" s="281"/>
      <c r="M65" s="281"/>
    </row>
    <row r="66" spans="1:13" ht="15" customHeight="1">
      <c r="A66" s="301" t="s">
        <v>46</v>
      </c>
      <c r="B66" s="3"/>
      <c r="C66" s="40">
        <v>6179</v>
      </c>
      <c r="D66" s="331">
        <v>25.34</v>
      </c>
      <c r="E66" s="302">
        <v>0</v>
      </c>
      <c r="F66" s="31" t="str">
        <f>IFERROR(VLOOKUP($C66,[15]Nod!$A$3:$E$986,4,FALSE)," ")</f>
        <v>GUA230</v>
      </c>
      <c r="G66" s="31">
        <f>IFERROR(VLOOKUP($C66,[15]Nod!$A$3:$E$986,5,FALSE)," ")</f>
        <v>2</v>
      </c>
      <c r="H66" s="57" t="s">
        <v>68</v>
      </c>
      <c r="I66" s="67"/>
      <c r="J66" s="68">
        <v>6024</v>
      </c>
      <c r="K66" s="65">
        <v>22.66844</v>
      </c>
      <c r="L66" s="281" t="str">
        <f>VLOOKUP($J66,[15]Nod!$A$3:$E$985,4,FALSE)</f>
        <v>CHI115</v>
      </c>
      <c r="M66" s="281">
        <f>VLOOKUP($J66,[15]Nod!$A$3:$E$985,5,FALSE)</f>
        <v>7</v>
      </c>
    </row>
    <row r="67" spans="1:13" ht="15" customHeight="1">
      <c r="A67" s="301" t="s">
        <v>48</v>
      </c>
      <c r="B67" s="3"/>
      <c r="C67" s="40">
        <v>6179</v>
      </c>
      <c r="D67" s="331">
        <v>35</v>
      </c>
      <c r="E67" s="302">
        <v>0</v>
      </c>
      <c r="F67" s="31" t="str">
        <f>IFERROR(VLOOKUP($C67,[15]Nod!$A$3:$E$986,4,FALSE)," ")</f>
        <v>GUA230</v>
      </c>
      <c r="G67" s="31">
        <f>IFERROR(VLOOKUP($C67,[15]Nod!$A$3:$E$986,5,FALSE)," ")</f>
        <v>2</v>
      </c>
      <c r="H67" s="57" t="s">
        <v>72</v>
      </c>
      <c r="I67" s="67"/>
      <c r="J67" s="68">
        <v>6002</v>
      </c>
      <c r="K67" s="65">
        <v>0.18659999999999999</v>
      </c>
      <c r="L67" s="281" t="str">
        <f>VLOOKUP($J67,[15]Nod!$A$3:$E$985,4,FALSE)</f>
        <v>PAN115</v>
      </c>
      <c r="M67" s="281">
        <f>VLOOKUP($J67,[15]Nod!$A$3:$E$985,5,FALSE)</f>
        <v>7</v>
      </c>
    </row>
    <row r="68" spans="1:13" ht="15" customHeight="1">
      <c r="A68" s="301" t="s">
        <v>50</v>
      </c>
      <c r="B68" s="3"/>
      <c r="C68" s="40">
        <v>6179</v>
      </c>
      <c r="D68" s="331">
        <v>58.66</v>
      </c>
      <c r="E68" s="302">
        <v>0</v>
      </c>
      <c r="F68" s="31" t="str">
        <f>IFERROR(VLOOKUP($C68,[15]Nod!$A$3:$E$986,4,FALSE)," ")</f>
        <v>GUA230</v>
      </c>
      <c r="G68" s="31">
        <f>IFERROR(VLOOKUP($C68,[15]Nod!$A$3:$E$986,5,FALSE)," ")</f>
        <v>2</v>
      </c>
      <c r="H68" s="57" t="s">
        <v>78</v>
      </c>
      <c r="I68" s="67"/>
      <c r="J68" s="68">
        <v>6002</v>
      </c>
      <c r="K68" s="65">
        <v>0</v>
      </c>
      <c r="L68" s="281" t="str">
        <f>VLOOKUP($J68,[15]Nod!$A$3:$E$985,4,FALSE)</f>
        <v>PAN115</v>
      </c>
      <c r="M68" s="281">
        <f>VLOOKUP($J68,[15]Nod!$A$3:$E$985,5,FALSE)</f>
        <v>7</v>
      </c>
    </row>
    <row r="69" spans="1:13" ht="15" customHeight="1">
      <c r="A69" s="301" t="s">
        <v>325</v>
      </c>
      <c r="B69" s="3"/>
      <c r="C69" s="40">
        <v>6179</v>
      </c>
      <c r="D69" s="331">
        <v>9.69</v>
      </c>
      <c r="E69" s="302">
        <v>0</v>
      </c>
      <c r="F69" s="31" t="str">
        <f>IFERROR(VLOOKUP($C69,[15]Nod!$A$3:$E$986,4,FALSE)," ")</f>
        <v>GUA230</v>
      </c>
      <c r="G69" s="31">
        <f>IFERROR(VLOOKUP($C69,[15]Nod!$A$3:$E$986,5,FALSE)," ")</f>
        <v>2</v>
      </c>
      <c r="H69" s="350" t="s">
        <v>44</v>
      </c>
      <c r="I69" s="67"/>
      <c r="J69" s="68">
        <v>6002</v>
      </c>
      <c r="K69" s="65">
        <v>1.3520000000000001</v>
      </c>
      <c r="L69" s="281" t="str">
        <f>VLOOKUP($J69,[15]Nod!$A$3:$E$985,4,FALSE)</f>
        <v>PAN115</v>
      </c>
      <c r="M69" s="281">
        <f>VLOOKUP($J69,[15]Nod!$A$3:$E$985,5,FALSE)</f>
        <v>7</v>
      </c>
    </row>
    <row r="70" spans="1:13" ht="15" customHeight="1">
      <c r="A70" s="301" t="s">
        <v>324</v>
      </c>
      <c r="B70" s="3"/>
      <c r="C70" s="40">
        <v>6179</v>
      </c>
      <c r="D70" s="331">
        <v>8.1</v>
      </c>
      <c r="E70" s="302">
        <v>0</v>
      </c>
      <c r="F70" s="31" t="str">
        <f>IFERROR(VLOOKUP($C70,[15]Nod!$A$3:$E$986,4,FALSE)," ")</f>
        <v>GUA230</v>
      </c>
      <c r="G70" s="31">
        <f>IFERROR(VLOOKUP($C70,[15]Nod!$A$3:$E$986,5,FALSE)," ")</f>
        <v>2</v>
      </c>
      <c r="H70" s="303" t="s">
        <v>35</v>
      </c>
      <c r="I70" s="304"/>
      <c r="J70" s="306"/>
      <c r="K70" s="306"/>
      <c r="L70" s="281"/>
      <c r="M70" s="281"/>
    </row>
    <row r="71" spans="1:13" ht="15" customHeight="1">
      <c r="A71" s="301" t="s">
        <v>323</v>
      </c>
      <c r="B71" s="3"/>
      <c r="C71" s="40">
        <v>6179</v>
      </c>
      <c r="D71" s="331">
        <v>9.99</v>
      </c>
      <c r="E71" s="302">
        <v>0</v>
      </c>
      <c r="F71" s="31" t="str">
        <f>IFERROR(VLOOKUP($C71,[15]Nod!$A$3:$E$986,4,FALSE)," ")</f>
        <v>GUA230</v>
      </c>
      <c r="G71" s="31">
        <f>IFERROR(VLOOKUP($C71,[15]Nod!$A$3:$E$986,5,FALSE)," ")</f>
        <v>2</v>
      </c>
      <c r="H71" s="307">
        <v>8</v>
      </c>
      <c r="I71" s="299"/>
      <c r="J71" s="328"/>
      <c r="K71" s="300">
        <f>SUM(K72:K74)</f>
        <v>1.33</v>
      </c>
      <c r="L71" s="281"/>
      <c r="M71" s="281"/>
    </row>
    <row r="72" spans="1:13" ht="15" customHeight="1">
      <c r="A72" s="301" t="s">
        <v>322</v>
      </c>
      <c r="B72" s="3"/>
      <c r="C72" s="40">
        <v>6179</v>
      </c>
      <c r="D72" s="331">
        <v>7.5</v>
      </c>
      <c r="E72" s="302">
        <v>0</v>
      </c>
      <c r="F72" s="31" t="str">
        <f>IFERROR(VLOOKUP($C72,[15]Nod!$A$3:$E$986,4,FALSE)," ")</f>
        <v>GUA230</v>
      </c>
      <c r="G72" s="31">
        <f>IFERROR(VLOOKUP($C72,[15]Nod!$A$3:$E$986,5,FALSE)," ")</f>
        <v>2</v>
      </c>
      <c r="H72" s="296" t="s">
        <v>60</v>
      </c>
      <c r="I72" s="67"/>
      <c r="J72" s="68"/>
      <c r="K72" s="68"/>
      <c r="L72" s="281"/>
      <c r="M72" s="281"/>
    </row>
    <row r="73" spans="1:13" ht="15" customHeight="1">
      <c r="A73" s="301" t="s">
        <v>321</v>
      </c>
      <c r="B73" s="3"/>
      <c r="C73" s="40">
        <v>6179</v>
      </c>
      <c r="D73" s="331">
        <v>2.5</v>
      </c>
      <c r="E73" s="302">
        <v>0</v>
      </c>
      <c r="F73" s="31" t="str">
        <f>IFERROR(VLOOKUP($C73,[15]Nod!$A$3:$E$986,4,FALSE)," ")</f>
        <v>GUA230</v>
      </c>
      <c r="G73" s="31">
        <f>IFERROR(VLOOKUP($C73,[15]Nod!$A$3:$E$986,5,FALSE)," ")</f>
        <v>2</v>
      </c>
      <c r="H73" s="349" t="s">
        <v>82</v>
      </c>
      <c r="I73" s="67"/>
      <c r="J73" s="68">
        <v>6100</v>
      </c>
      <c r="K73" s="348">
        <v>1.33</v>
      </c>
      <c r="L73" s="281" t="str">
        <f>VLOOKUP($J73,[15]Nod!$A$3:$E$985,4,FALSE)</f>
        <v>BAY230</v>
      </c>
      <c r="M73" s="281">
        <f>VLOOKUP($J73,[15]Nod!$A$3:$E$985,5,FALSE)</f>
        <v>8</v>
      </c>
    </row>
    <row r="74" spans="1:13" ht="15" customHeight="1">
      <c r="A74" s="314" t="s">
        <v>320</v>
      </c>
      <c r="B74" s="3"/>
      <c r="C74" s="40">
        <v>6179</v>
      </c>
      <c r="D74" s="331">
        <v>9.98</v>
      </c>
      <c r="E74" s="302">
        <v>0</v>
      </c>
      <c r="F74" s="31" t="str">
        <f>IFERROR(VLOOKUP($C74,[15]Nod!$A$3:$E$986,4,FALSE)," ")</f>
        <v>GUA230</v>
      </c>
      <c r="G74" s="31">
        <f>IFERROR(VLOOKUP($C74,[15]Nod!$A$3:$E$986,5,FALSE)," ")</f>
        <v>2</v>
      </c>
      <c r="H74" s="303" t="s">
        <v>35</v>
      </c>
      <c r="I74" s="304"/>
      <c r="J74" s="306"/>
      <c r="K74" s="306"/>
      <c r="L74" s="281"/>
      <c r="M74" s="281"/>
    </row>
    <row r="75" spans="1:13" ht="15" customHeight="1">
      <c r="A75" s="347" t="s">
        <v>319</v>
      </c>
      <c r="B75" s="3"/>
      <c r="C75" s="40">
        <v>6179</v>
      </c>
      <c r="D75" s="331">
        <v>9.99</v>
      </c>
      <c r="E75" s="302">
        <v>0</v>
      </c>
      <c r="F75" s="31" t="str">
        <f>IFERROR(VLOOKUP($C75,[15]Nod!$A$3:$E$986,4,FALSE)," ")</f>
        <v>GUA230</v>
      </c>
      <c r="G75" s="31">
        <f>IFERROR(VLOOKUP($C75,[15]Nod!$A$3:$E$986,5,FALSE)," ")</f>
        <v>2</v>
      </c>
      <c r="H75" s="307">
        <v>9</v>
      </c>
      <c r="I75" s="299"/>
      <c r="J75" s="327"/>
      <c r="K75" s="300">
        <f>SUM(K76:K81)</f>
        <v>127.87605038516638</v>
      </c>
      <c r="L75" s="281"/>
      <c r="M75" s="281"/>
    </row>
    <row r="76" spans="1:13" ht="15" customHeight="1">
      <c r="A76" s="347" t="s">
        <v>318</v>
      </c>
      <c r="B76" s="3"/>
      <c r="C76" s="40">
        <v>6179</v>
      </c>
      <c r="D76" s="331">
        <v>9.99</v>
      </c>
      <c r="E76" s="302">
        <v>0</v>
      </c>
      <c r="F76" s="31" t="str">
        <f>IFERROR(VLOOKUP($C76,[15]Nod!$A$3:$E$986,4,FALSE)," ")</f>
        <v>GUA230</v>
      </c>
      <c r="G76" s="31">
        <f>IFERROR(VLOOKUP($C76,[15]Nod!$A$3:$E$986,5,FALSE)," ")</f>
        <v>2</v>
      </c>
      <c r="H76" s="296" t="s">
        <v>60</v>
      </c>
      <c r="I76" s="67"/>
      <c r="J76" s="68"/>
      <c r="K76" s="68"/>
      <c r="L76" s="281"/>
      <c r="M76" s="281"/>
    </row>
    <row r="77" spans="1:13" ht="15" customHeight="1">
      <c r="A77" s="347" t="s">
        <v>317</v>
      </c>
      <c r="B77" s="3"/>
      <c r="C77" s="40">
        <v>6179</v>
      </c>
      <c r="D77" s="331">
        <v>9.99</v>
      </c>
      <c r="E77" s="302">
        <v>0</v>
      </c>
      <c r="F77" s="31" t="str">
        <f>IFERROR(VLOOKUP($C77,[15]Nod!$A$3:$E$986,4,FALSE)," ")</f>
        <v>GUA230</v>
      </c>
      <c r="G77" s="31">
        <f>IFERROR(VLOOKUP($C77,[15]Nod!$A$3:$E$986,5,FALSE)," ")</f>
        <v>2</v>
      </c>
      <c r="H77" s="69" t="s">
        <v>85</v>
      </c>
      <c r="I77" s="67"/>
      <c r="J77" s="68">
        <v>6059</v>
      </c>
      <c r="K77" s="65">
        <v>119.93405038516639</v>
      </c>
      <c r="L77" s="281" t="str">
        <f>VLOOKUP($J77,[15]Nod!$A$3:$E$985,4,FALSE)</f>
        <v>LM1115</v>
      </c>
      <c r="M77" s="281">
        <f>VLOOKUP($J77,[15]Nod!$A$3:$E$985,5,FALSE)</f>
        <v>9</v>
      </c>
    </row>
    <row r="78" spans="1:13" ht="15" customHeight="1">
      <c r="A78" s="314" t="s">
        <v>316</v>
      </c>
      <c r="B78" s="3"/>
      <c r="C78" s="40">
        <v>6179</v>
      </c>
      <c r="D78" s="331">
        <v>80</v>
      </c>
      <c r="E78" s="302">
        <v>1</v>
      </c>
      <c r="F78" s="31" t="str">
        <f>IFERROR(VLOOKUP($C78,[15]Nod!$A$3:$E$986,4,FALSE)," ")</f>
        <v>GUA230</v>
      </c>
      <c r="G78" s="31">
        <f>IFERROR(VLOOKUP($C78,[15]Nod!$A$3:$E$986,5,FALSE)," ")</f>
        <v>2</v>
      </c>
      <c r="H78" s="296" t="s">
        <v>42</v>
      </c>
      <c r="I78" s="67"/>
      <c r="J78" s="68"/>
      <c r="K78" s="68"/>
      <c r="L78" s="281"/>
      <c r="M78" s="281"/>
    </row>
    <row r="79" spans="1:13" ht="15" customHeight="1">
      <c r="A79" s="314" t="s">
        <v>315</v>
      </c>
      <c r="B79" s="3"/>
      <c r="C79" s="40">
        <v>6179</v>
      </c>
      <c r="D79" s="331">
        <v>10</v>
      </c>
      <c r="E79" s="302">
        <v>6</v>
      </c>
      <c r="F79" s="31" t="str">
        <f>IFERROR(VLOOKUP($C79,[15]Nod!$A$3:$E$986,4,FALSE)," ")</f>
        <v>GUA230</v>
      </c>
      <c r="G79" s="31">
        <f>IFERROR(VLOOKUP($C79,[15]Nod!$A$3:$E$986,5,FALSE)," ")</f>
        <v>2</v>
      </c>
      <c r="H79" s="69" t="s">
        <v>88</v>
      </c>
      <c r="I79" s="67"/>
      <c r="J79" s="68">
        <v>6170</v>
      </c>
      <c r="K79" s="65">
        <v>7.25</v>
      </c>
      <c r="L79" s="281" t="str">
        <f>VLOOKUP($J79,[15]Nod!$A$3:$E$985,4,FALSE)</f>
        <v>CPA115</v>
      </c>
      <c r="M79" s="281">
        <f>VLOOKUP($J79,[15]Nod!$A$3:$E$985,5,FALSE)</f>
        <v>9</v>
      </c>
    </row>
    <row r="80" spans="1:13" ht="15" customHeight="1">
      <c r="A80" s="314" t="s">
        <v>314</v>
      </c>
      <c r="B80" s="3"/>
      <c r="C80" s="40">
        <v>6179</v>
      </c>
      <c r="D80" s="331">
        <v>4.1500000000000004</v>
      </c>
      <c r="E80" s="302">
        <v>7</v>
      </c>
      <c r="F80" s="31" t="str">
        <f>IFERROR(VLOOKUP($C80,[15]Nod!$A$3:$E$986,4,FALSE)," ")</f>
        <v>GUA230</v>
      </c>
      <c r="G80" s="31">
        <f>IFERROR(VLOOKUP($C80,[15]Nod!$A$3:$E$986,5,FALSE)," ")</f>
        <v>2</v>
      </c>
      <c r="H80" s="69" t="s">
        <v>44</v>
      </c>
      <c r="I80" s="67"/>
      <c r="J80" s="68">
        <v>6059</v>
      </c>
      <c r="K80" s="65">
        <v>0.69199999999999995</v>
      </c>
      <c r="L80" s="281" t="str">
        <f>VLOOKUP($J80,[15]Nod!$A$3:$E$985,4,FALSE)</f>
        <v>LM1115</v>
      </c>
      <c r="M80" s="281">
        <f>VLOOKUP($J80,[15]Nod!$A$3:$E$985,5,FALSE)</f>
        <v>9</v>
      </c>
    </row>
    <row r="81" spans="1:13" ht="15" customHeight="1">
      <c r="A81" s="314" t="s">
        <v>313</v>
      </c>
      <c r="B81" s="3"/>
      <c r="C81" s="40">
        <v>6179</v>
      </c>
      <c r="D81" s="331">
        <v>20</v>
      </c>
      <c r="E81" s="302">
        <v>7</v>
      </c>
      <c r="F81" s="31" t="str">
        <f>IFERROR(VLOOKUP($C81,[15]Nod!$A$3:$E$986,4,FALSE)," ")</f>
        <v>GUA230</v>
      </c>
      <c r="G81" s="31">
        <f>IFERROR(VLOOKUP($C81,[15]Nod!$A$3:$E$986,5,FALSE)," ")</f>
        <v>2</v>
      </c>
      <c r="H81" s="303" t="s">
        <v>35</v>
      </c>
      <c r="I81" s="304"/>
      <c r="J81" s="306"/>
      <c r="K81" s="306"/>
      <c r="L81" s="281"/>
      <c r="M81" s="281"/>
    </row>
    <row r="82" spans="1:13" ht="15" customHeight="1">
      <c r="A82" s="314" t="s">
        <v>312</v>
      </c>
      <c r="B82" s="3"/>
      <c r="C82" s="40"/>
      <c r="D82" s="331"/>
      <c r="E82" s="302"/>
      <c r="F82" s="31" t="str">
        <f>IFERROR(VLOOKUP($C82,[15]Nod!$A$3:$E$986,4,FALSE)," ")</f>
        <v xml:space="preserve"> </v>
      </c>
      <c r="G82" s="31" t="str">
        <f>IFERROR(VLOOKUP($C82,[15]Nod!$A$3:$E$986,5,FALSE)," ")</f>
        <v xml:space="preserve"> </v>
      </c>
      <c r="H82" s="309">
        <v>10</v>
      </c>
      <c r="I82" s="310"/>
      <c r="J82" s="326"/>
      <c r="K82" s="300">
        <f>SUM(K83:K85)</f>
        <v>59.246646392995132</v>
      </c>
      <c r="L82" s="281"/>
      <c r="M82" s="281"/>
    </row>
    <row r="83" spans="1:13" ht="15" customHeight="1" thickBot="1">
      <c r="A83" s="53" t="s">
        <v>35</v>
      </c>
      <c r="B83" s="42"/>
      <c r="C83" s="43"/>
      <c r="D83" s="333"/>
      <c r="E83" s="315"/>
      <c r="F83" s="31" t="str">
        <f>IFERROR(VLOOKUP($C83,[15]Nod!$A$3:$E$986,4,FALSE)," ")</f>
        <v xml:space="preserve"> </v>
      </c>
      <c r="G83" s="31" t="str">
        <f>IFERROR(VLOOKUP($C83,[15]Nod!$A$3:$E$986,5,FALSE)," ")</f>
        <v xml:space="preserve"> </v>
      </c>
      <c r="H83" s="296" t="s">
        <v>29</v>
      </c>
      <c r="I83" s="67"/>
      <c r="J83" s="68"/>
      <c r="K83" s="68"/>
      <c r="L83" s="281"/>
      <c r="M83" s="281"/>
    </row>
    <row r="84" spans="1:13" ht="15" customHeight="1">
      <c r="A84" s="33">
        <v>3</v>
      </c>
      <c r="B84" s="34"/>
      <c r="C84" s="35"/>
      <c r="D84" s="332">
        <f>SUM(D85:D93)</f>
        <v>178.73000000000005</v>
      </c>
      <c r="E84" s="317"/>
      <c r="F84" s="31" t="str">
        <f>IFERROR(VLOOKUP($C84,[15]Nod!$A$3:$E$986,4,FALSE)," ")</f>
        <v xml:space="preserve"> </v>
      </c>
      <c r="G84" s="31" t="str">
        <f>IFERROR(VLOOKUP($C84,[15]Nod!$A$3:$E$986,5,FALSE)," ")</f>
        <v xml:space="preserve"> </v>
      </c>
      <c r="H84" s="69" t="s">
        <v>208</v>
      </c>
      <c r="I84" s="67"/>
      <c r="J84" s="68">
        <v>6340</v>
      </c>
      <c r="K84" s="65">
        <v>30.603233369205974</v>
      </c>
      <c r="L84" s="281" t="str">
        <f>VLOOKUP($J84,[15]Nod!$A$3:$E$985,4,FALSE)</f>
        <v>CAN230</v>
      </c>
      <c r="M84" s="281">
        <f>VLOOKUP($J84,[15]Nod!$A$3:$E$985,5,FALSE)</f>
        <v>10</v>
      </c>
    </row>
    <row r="85" spans="1:13" ht="15" customHeight="1">
      <c r="A85" s="301" t="s">
        <v>52</v>
      </c>
      <c r="B85" s="3"/>
      <c r="C85" s="40">
        <v>6087</v>
      </c>
      <c r="D85" s="331">
        <v>47.2</v>
      </c>
      <c r="E85" s="302">
        <v>0</v>
      </c>
      <c r="F85" s="31" t="str">
        <f>IFERROR(VLOOKUP($C85,[15]Nod!$A$3:$E$986,4,FALSE)," ")</f>
        <v>CAL115</v>
      </c>
      <c r="G85" s="31">
        <f>IFERROR(VLOOKUP($C85,[15]Nod!$A$3:$E$986,5,FALSE)," ")</f>
        <v>3</v>
      </c>
      <c r="H85" s="69" t="s">
        <v>99</v>
      </c>
      <c r="I85" s="67"/>
      <c r="J85" s="68">
        <v>6340</v>
      </c>
      <c r="K85" s="65">
        <v>28.643413023789154</v>
      </c>
      <c r="L85" s="281" t="str">
        <f>VLOOKUP($J85,[15]Nod!$A$3:$E$985,4,FALSE)</f>
        <v>CAN230</v>
      </c>
      <c r="M85" s="281">
        <f>VLOOKUP($J85,[15]Nod!$A$3:$E$985,5,FALSE)</f>
        <v>10</v>
      </c>
    </row>
    <row r="86" spans="1:13" ht="15" customHeight="1">
      <c r="A86" s="301" t="s">
        <v>54</v>
      </c>
      <c r="B86" s="3"/>
      <c r="C86" s="40">
        <v>6087</v>
      </c>
      <c r="D86" s="331">
        <v>54.76</v>
      </c>
      <c r="E86" s="302">
        <v>0</v>
      </c>
      <c r="F86" s="31" t="str">
        <f>IFERROR(VLOOKUP($C86,[15]Nod!$A$3:$E$986,4,FALSE)," ")</f>
        <v>CAL115</v>
      </c>
      <c r="G86" s="31">
        <f>IFERROR(VLOOKUP($C86,[15]Nod!$A$3:$E$986,5,FALSE)," ")</f>
        <v>3</v>
      </c>
      <c r="H86" s="303" t="s">
        <v>35</v>
      </c>
      <c r="I86" s="304"/>
      <c r="J86" s="305"/>
      <c r="K86" s="325"/>
      <c r="L86" s="281"/>
      <c r="M86" s="281"/>
    </row>
    <row r="87" spans="1:13" ht="15" customHeight="1">
      <c r="A87" s="301" t="s">
        <v>55</v>
      </c>
      <c r="B87" s="3"/>
      <c r="C87" s="40">
        <v>6087</v>
      </c>
      <c r="D87" s="331">
        <v>18</v>
      </c>
      <c r="E87" s="302">
        <v>0</v>
      </c>
      <c r="F87" s="31" t="str">
        <f>IFERROR(VLOOKUP($C87,[15]Nod!$A$3:$E$986,4,FALSE)," ")</f>
        <v>CAL115</v>
      </c>
      <c r="G87" s="31">
        <f>IFERROR(VLOOKUP($C87,[15]Nod!$A$3:$E$986,5,FALSE)," ")</f>
        <v>3</v>
      </c>
    </row>
    <row r="88" spans="1:13" ht="15" customHeight="1">
      <c r="A88" s="301" t="s">
        <v>56</v>
      </c>
      <c r="B88" s="3"/>
      <c r="C88" s="40">
        <v>6087</v>
      </c>
      <c r="D88" s="331">
        <v>15.5</v>
      </c>
      <c r="E88" s="302">
        <v>0</v>
      </c>
      <c r="F88" s="31" t="str">
        <f>IFERROR(VLOOKUP($C88,[15]Nod!$A$3:$E$986,4,FALSE)," ")</f>
        <v>CAL115</v>
      </c>
      <c r="G88" s="31">
        <f>IFERROR(VLOOKUP($C88,[15]Nod!$A$3:$E$986,5,FALSE)," ")</f>
        <v>3</v>
      </c>
      <c r="L88" s="281"/>
      <c r="M88" s="281"/>
    </row>
    <row r="89" spans="1:13" ht="15" customHeight="1">
      <c r="A89" s="301" t="s">
        <v>59</v>
      </c>
      <c r="B89" s="3"/>
      <c r="C89" s="40">
        <v>6087</v>
      </c>
      <c r="D89" s="331">
        <v>9.73</v>
      </c>
      <c r="E89" s="302">
        <v>0</v>
      </c>
      <c r="F89" s="31" t="str">
        <f>IFERROR(VLOOKUP($C89,[15]Nod!$A$3:$E$986,4,FALSE)," ")</f>
        <v>CAL115</v>
      </c>
      <c r="G89" s="31">
        <f>IFERROR(VLOOKUP($C89,[15]Nod!$A$3:$E$986,5,FALSE)," ")</f>
        <v>3</v>
      </c>
      <c r="L89" s="281"/>
      <c r="M89" s="281"/>
    </row>
    <row r="90" spans="1:13" ht="15" customHeight="1">
      <c r="A90" s="314" t="s">
        <v>58</v>
      </c>
      <c r="B90" s="3"/>
      <c r="C90" s="40">
        <v>6087</v>
      </c>
      <c r="D90" s="331">
        <v>7.8</v>
      </c>
      <c r="E90" s="302">
        <v>0</v>
      </c>
      <c r="F90" s="31" t="str">
        <f>IFERROR(VLOOKUP($C90,[15]Nod!$A$3:$E$986,4,FALSE)," ")</f>
        <v>CAL115</v>
      </c>
      <c r="G90" s="31">
        <f>IFERROR(VLOOKUP($C90,[15]Nod!$A$3:$E$986,5,FALSE)," ")</f>
        <v>3</v>
      </c>
      <c r="L90" s="281"/>
      <c r="M90" s="281"/>
    </row>
    <row r="91" spans="1:13" ht="15" customHeight="1">
      <c r="A91" s="314" t="s">
        <v>311</v>
      </c>
      <c r="B91" s="3"/>
      <c r="C91" s="40">
        <v>6087</v>
      </c>
      <c r="D91" s="338">
        <v>8.58</v>
      </c>
      <c r="E91" s="302">
        <v>0</v>
      </c>
      <c r="F91" s="31" t="str">
        <f>IFERROR(VLOOKUP($C91,[15]Nod!$A$3:$E$986,4,FALSE)," ")</f>
        <v>CAL115</v>
      </c>
      <c r="G91" s="31">
        <f>IFERROR(VLOOKUP($C91,[15]Nod!$A$3:$E$986,5,FALSE)," ")</f>
        <v>3</v>
      </c>
      <c r="L91" s="281"/>
      <c r="M91" s="281"/>
    </row>
    <row r="92" spans="1:13" ht="15" customHeight="1">
      <c r="A92" s="314" t="s">
        <v>310</v>
      </c>
      <c r="B92" s="3"/>
      <c r="C92" s="40">
        <v>6087</v>
      </c>
      <c r="D92" s="331">
        <v>8.58</v>
      </c>
      <c r="E92" s="302">
        <v>0</v>
      </c>
      <c r="F92" s="31" t="str">
        <f>IFERROR(VLOOKUP($C92,[15]Nod!$A$3:$E$986,4,FALSE)," ")</f>
        <v>CAL115</v>
      </c>
      <c r="G92" s="31">
        <f>IFERROR(VLOOKUP($C92,[15]Nod!$A$3:$E$986,5,FALSE)," ")</f>
        <v>3</v>
      </c>
      <c r="L92" s="281"/>
      <c r="M92" s="281"/>
    </row>
    <row r="93" spans="1:13" ht="15" customHeight="1">
      <c r="A93" s="314" t="s">
        <v>309</v>
      </c>
      <c r="B93" s="3"/>
      <c r="C93" s="40">
        <v>6087</v>
      </c>
      <c r="D93" s="331">
        <v>8.58</v>
      </c>
      <c r="E93" s="302">
        <v>0</v>
      </c>
      <c r="F93" s="31" t="str">
        <f>IFERROR(VLOOKUP($C93,[15]Nod!$A$3:$E$986,4,FALSE)," ")</f>
        <v>CAL115</v>
      </c>
      <c r="G93" s="31">
        <f>IFERROR(VLOOKUP($C93,[15]Nod!$A$3:$E$986,5,FALSE)," ")</f>
        <v>3</v>
      </c>
      <c r="L93" s="281"/>
      <c r="M93" s="281"/>
    </row>
    <row r="94" spans="1:13" ht="15" customHeight="1" thickBot="1">
      <c r="A94" s="49" t="s">
        <v>35</v>
      </c>
      <c r="B94" s="3"/>
      <c r="C94" s="40"/>
      <c r="D94" s="335"/>
      <c r="E94" s="302"/>
      <c r="F94" s="31" t="str">
        <f>IFERROR(VLOOKUP($C94,[15]Nod!$A$3:$E$986,4,FALSE)," ")</f>
        <v xml:space="preserve"> </v>
      </c>
      <c r="G94" s="31" t="str">
        <f>IFERROR(VLOOKUP($C94,[15]Nod!$A$3:$E$986,5,FALSE)," ")</f>
        <v xml:space="preserve"> </v>
      </c>
      <c r="L94" s="281"/>
      <c r="M94" s="281"/>
    </row>
    <row r="95" spans="1:13" ht="15" customHeight="1">
      <c r="A95" s="47">
        <v>4</v>
      </c>
      <c r="B95" s="44"/>
      <c r="C95" s="45"/>
      <c r="D95" s="332">
        <f>SUM(D96:D140)</f>
        <v>654.92099999999982</v>
      </c>
      <c r="E95" s="297"/>
      <c r="F95" s="31" t="str">
        <f>IFERROR(VLOOKUP($C95,[15]Nod!$A$3:$E$986,4,FALSE)," ")</f>
        <v xml:space="preserve"> </v>
      </c>
      <c r="G95" s="31" t="str">
        <f>IFERROR(VLOOKUP($C95,[15]Nod!$A$3:$E$986,5,FALSE)," ")</f>
        <v xml:space="preserve"> </v>
      </c>
      <c r="L95" s="281"/>
      <c r="M95" s="281"/>
    </row>
    <row r="96" spans="1:13" ht="15" customHeight="1">
      <c r="A96" s="301" t="s">
        <v>62</v>
      </c>
      <c r="B96" s="3"/>
      <c r="C96" s="40">
        <v>6380</v>
      </c>
      <c r="D96" s="331">
        <v>10</v>
      </c>
      <c r="E96" s="302">
        <v>0</v>
      </c>
      <c r="F96" s="31" t="str">
        <f>IFERROR(VLOOKUP($C96,[15]Nod!$A$3:$E$986,4,FALSE)," ")</f>
        <v>BOQIII230</v>
      </c>
      <c r="G96" s="31">
        <f>IFERROR(VLOOKUP($C96,[15]Nod!$A$3:$E$986,5,FALSE)," ")</f>
        <v>4</v>
      </c>
      <c r="L96" s="281"/>
      <c r="M96" s="281"/>
    </row>
    <row r="97" spans="1:13" ht="15" customHeight="1">
      <c r="A97" s="301" t="s">
        <v>64</v>
      </c>
      <c r="B97" s="3"/>
      <c r="C97" s="40">
        <v>6380</v>
      </c>
      <c r="D97" s="331">
        <v>5.8</v>
      </c>
      <c r="E97" s="302">
        <v>0</v>
      </c>
      <c r="F97" s="31" t="str">
        <f>IFERROR(VLOOKUP($C97,[15]Nod!$A$3:$E$986,4,FALSE)," ")</f>
        <v>BOQIII230</v>
      </c>
      <c r="G97" s="31">
        <f>IFERROR(VLOOKUP($C97,[15]Nod!$A$3:$E$986,5,FALSE)," ")</f>
        <v>4</v>
      </c>
      <c r="L97" s="281"/>
      <c r="M97" s="281"/>
    </row>
    <row r="98" spans="1:13" ht="15" customHeight="1">
      <c r="A98" s="301" t="s">
        <v>66</v>
      </c>
      <c r="B98" s="3"/>
      <c r="C98" s="40">
        <v>6013</v>
      </c>
      <c r="D98" s="331">
        <v>6</v>
      </c>
      <c r="E98" s="302">
        <v>0</v>
      </c>
      <c r="F98" s="31" t="str">
        <f>IFERROR(VLOOKUP($C98,[15]Nod!$A$3:$E$986,4,FALSE)," ")</f>
        <v>MDN34</v>
      </c>
      <c r="G98" s="31">
        <f>IFERROR(VLOOKUP($C98,[15]Nod!$A$3:$E$986,5,FALSE)," ")</f>
        <v>4</v>
      </c>
      <c r="L98" s="281"/>
      <c r="M98" s="281"/>
    </row>
    <row r="99" spans="1:13" ht="15" customHeight="1">
      <c r="A99" s="320" t="s">
        <v>206</v>
      </c>
      <c r="B99" s="3"/>
      <c r="C99" s="40">
        <v>6013</v>
      </c>
      <c r="D99" s="331">
        <v>4.75</v>
      </c>
      <c r="E99" s="302">
        <v>0</v>
      </c>
      <c r="F99" s="31" t="str">
        <f>IFERROR(VLOOKUP($C99,[15]Nod!$A$3:$E$986,4,FALSE)," ")</f>
        <v>MDN34</v>
      </c>
      <c r="G99" s="31">
        <f>IFERROR(VLOOKUP($C99,[15]Nod!$A$3:$E$986,5,FALSE)," ")</f>
        <v>4</v>
      </c>
      <c r="L99" s="281"/>
      <c r="M99" s="281"/>
    </row>
    <row r="100" spans="1:13" ht="15" customHeight="1">
      <c r="A100" s="301" t="s">
        <v>187</v>
      </c>
      <c r="B100" s="3"/>
      <c r="C100" s="40">
        <v>6380</v>
      </c>
      <c r="D100" s="331">
        <v>20.91</v>
      </c>
      <c r="E100" s="302">
        <v>0</v>
      </c>
      <c r="F100" s="31" t="str">
        <f>IFERROR(VLOOKUP($C100,[15]Nod!$A$3:$E$986,4,FALSE)," ")</f>
        <v>BOQIII230</v>
      </c>
      <c r="G100" s="31">
        <f>IFERROR(VLOOKUP($C100,[15]Nod!$A$3:$E$986,5,FALSE)," ")</f>
        <v>4</v>
      </c>
      <c r="L100" s="281"/>
      <c r="M100" s="281"/>
    </row>
    <row r="101" spans="1:13" ht="15" customHeight="1">
      <c r="A101" s="301" t="s">
        <v>308</v>
      </c>
      <c r="B101" s="3"/>
      <c r="C101" s="40">
        <v>6380</v>
      </c>
      <c r="D101" s="331">
        <v>13.18</v>
      </c>
      <c r="E101" s="302">
        <v>0</v>
      </c>
      <c r="F101" s="31" t="str">
        <f>IFERROR(VLOOKUP($C101,[15]Nod!$A$3:$E$986,4,FALSE)," ")</f>
        <v>BOQIII230</v>
      </c>
      <c r="G101" s="31">
        <f>IFERROR(VLOOKUP($C101,[15]Nod!$A$3:$E$986,5,FALSE)," ")</f>
        <v>4</v>
      </c>
      <c r="L101" s="281"/>
      <c r="M101" s="281"/>
    </row>
    <row r="102" spans="1:13" ht="15" customHeight="1">
      <c r="A102" s="301" t="s">
        <v>67</v>
      </c>
      <c r="B102" s="3"/>
      <c r="C102" s="40">
        <v>6380</v>
      </c>
      <c r="D102" s="331">
        <v>14</v>
      </c>
      <c r="E102" s="302">
        <v>0</v>
      </c>
      <c r="F102" s="31" t="str">
        <f>IFERROR(VLOOKUP($C102,[15]Nod!$A$3:$E$986,4,FALSE)," ")</f>
        <v>BOQIII230</v>
      </c>
      <c r="G102" s="31">
        <f>IFERROR(VLOOKUP($C102,[15]Nod!$A$3:$E$986,5,FALSE)," ")</f>
        <v>4</v>
      </c>
      <c r="L102" s="281"/>
      <c r="M102" s="281"/>
    </row>
    <row r="103" spans="1:13" ht="15" customHeight="1">
      <c r="A103" s="301" t="s">
        <v>207</v>
      </c>
      <c r="B103" s="3"/>
      <c r="C103" s="54">
        <v>6013</v>
      </c>
      <c r="D103" s="331">
        <v>2.5</v>
      </c>
      <c r="E103" s="302">
        <v>0</v>
      </c>
      <c r="F103" s="31" t="str">
        <f>IFERROR(VLOOKUP($C103,[15]Nod!$A$3:$E$986,4,FALSE)," ")</f>
        <v>MDN34</v>
      </c>
      <c r="G103" s="31">
        <f>IFERROR(VLOOKUP($C103,[15]Nod!$A$3:$E$986,5,FALSE)," ")</f>
        <v>4</v>
      </c>
      <c r="L103" s="281"/>
      <c r="M103" s="281"/>
    </row>
    <row r="104" spans="1:13" ht="15" customHeight="1">
      <c r="A104" s="301" t="s">
        <v>209</v>
      </c>
      <c r="B104" s="3"/>
      <c r="C104" s="54">
        <v>6013</v>
      </c>
      <c r="D104" s="331">
        <v>3.12</v>
      </c>
      <c r="E104" s="302">
        <v>0</v>
      </c>
      <c r="F104" s="31" t="str">
        <f>IFERROR(VLOOKUP($C104,[15]Nod!$A$3:$E$986,4,FALSE)," ")</f>
        <v>MDN34</v>
      </c>
      <c r="G104" s="31">
        <f>IFERROR(VLOOKUP($C104,[15]Nod!$A$3:$E$986,5,FALSE)," ")</f>
        <v>4</v>
      </c>
      <c r="L104" s="281"/>
      <c r="M104" s="281"/>
    </row>
    <row r="105" spans="1:13" ht="15" customHeight="1">
      <c r="A105" s="301" t="s">
        <v>70</v>
      </c>
      <c r="B105" s="3"/>
      <c r="C105" s="40">
        <v>6380</v>
      </c>
      <c r="D105" s="331">
        <v>10</v>
      </c>
      <c r="E105" s="302">
        <v>0</v>
      </c>
      <c r="F105" s="31" t="str">
        <f>IFERROR(VLOOKUP($C105,[15]Nod!$A$3:$E$986,4,FALSE)," ")</f>
        <v>BOQIII230</v>
      </c>
      <c r="G105" s="31">
        <f>IFERROR(VLOOKUP($C105,[15]Nod!$A$3:$E$986,5,FALSE)," ")</f>
        <v>4</v>
      </c>
      <c r="L105" s="281"/>
      <c r="M105" s="281"/>
    </row>
    <row r="106" spans="1:13" ht="15" customHeight="1">
      <c r="A106" s="301" t="s">
        <v>71</v>
      </c>
      <c r="B106" s="3"/>
      <c r="C106" s="40">
        <v>6380</v>
      </c>
      <c r="D106" s="331">
        <v>10</v>
      </c>
      <c r="E106" s="302">
        <v>0</v>
      </c>
      <c r="F106" s="31" t="str">
        <f>IFERROR(VLOOKUP($C106,[15]Nod!$A$3:$E$986,4,FALSE)," ")</f>
        <v>BOQIII230</v>
      </c>
      <c r="G106" s="31">
        <f>IFERROR(VLOOKUP($C106,[15]Nod!$A$3:$E$986,5,FALSE)," ")</f>
        <v>4</v>
      </c>
      <c r="L106" s="281"/>
      <c r="M106" s="281"/>
    </row>
    <row r="107" spans="1:13" ht="15" customHeight="1">
      <c r="A107" s="301" t="s">
        <v>73</v>
      </c>
      <c r="B107" s="3"/>
      <c r="C107" s="40">
        <v>6013</v>
      </c>
      <c r="D107" s="331">
        <v>8.1199999999999992</v>
      </c>
      <c r="E107" s="302">
        <v>0</v>
      </c>
      <c r="F107" s="31" t="str">
        <f>IFERROR(VLOOKUP($C107,[15]Nod!$A$3:$E$986,4,FALSE)," ")</f>
        <v>MDN34</v>
      </c>
      <c r="G107" s="31">
        <f>IFERROR(VLOOKUP($C107,[15]Nod!$A$3:$E$986,5,FALSE)," ")</f>
        <v>4</v>
      </c>
      <c r="L107" s="281"/>
      <c r="M107" s="281"/>
    </row>
    <row r="108" spans="1:13" ht="15" customHeight="1">
      <c r="A108" s="301" t="s">
        <v>75</v>
      </c>
      <c r="B108" s="3"/>
      <c r="C108" s="40">
        <v>6182</v>
      </c>
      <c r="D108" s="331">
        <v>51.65</v>
      </c>
      <c r="E108" s="302">
        <v>0</v>
      </c>
      <c r="F108" s="31" t="str">
        <f>IFERROR(VLOOKUP($C108,[15]Nod!$A$3:$E$986,4,FALSE)," ")</f>
        <v>VEL230</v>
      </c>
      <c r="G108" s="31">
        <f>IFERROR(VLOOKUP($C108,[15]Nod!$A$3:$E$986,5,FALSE)," ")</f>
        <v>4</v>
      </c>
      <c r="K108" s="295"/>
      <c r="L108" s="281"/>
      <c r="M108" s="281"/>
    </row>
    <row r="109" spans="1:13" ht="15" customHeight="1">
      <c r="A109" s="301" t="s">
        <v>77</v>
      </c>
      <c r="B109" s="3"/>
      <c r="C109" s="40">
        <v>6182</v>
      </c>
      <c r="D109" s="331">
        <v>32.6</v>
      </c>
      <c r="E109" s="302">
        <v>0</v>
      </c>
      <c r="F109" s="31" t="str">
        <f>IFERROR(VLOOKUP($C109,[15]Nod!$A$3:$E$986,4,FALSE)," ")</f>
        <v>VEL230</v>
      </c>
      <c r="G109" s="31">
        <f>IFERROR(VLOOKUP($C109,[15]Nod!$A$3:$E$986,5,FALSE)," ")</f>
        <v>4</v>
      </c>
      <c r="K109" s="295"/>
      <c r="L109" s="281"/>
      <c r="M109" s="281"/>
    </row>
    <row r="110" spans="1:13" ht="15" customHeight="1">
      <c r="A110" s="301" t="s">
        <v>79</v>
      </c>
      <c r="B110" s="3"/>
      <c r="C110" s="40">
        <v>6380</v>
      </c>
      <c r="D110" s="331">
        <v>5.12</v>
      </c>
      <c r="E110" s="302">
        <v>0</v>
      </c>
      <c r="F110" s="31" t="str">
        <f>IFERROR(VLOOKUP($C110,[15]Nod!$A$3:$E$986,4,FALSE)," ")</f>
        <v>BOQIII230</v>
      </c>
      <c r="G110" s="31">
        <f>IFERROR(VLOOKUP($C110,[15]Nod!$A$3:$E$986,5,FALSE)," ")</f>
        <v>4</v>
      </c>
      <c r="K110" s="295"/>
      <c r="L110" s="281"/>
      <c r="M110" s="281"/>
    </row>
    <row r="111" spans="1:13" ht="15" customHeight="1">
      <c r="A111" s="301" t="s">
        <v>196</v>
      </c>
      <c r="B111" s="3"/>
      <c r="C111" s="40">
        <v>6380</v>
      </c>
      <c r="D111" s="331">
        <v>5.86</v>
      </c>
      <c r="E111" s="302">
        <v>0</v>
      </c>
      <c r="F111" s="31" t="str">
        <f>IFERROR(VLOOKUP($C111,[15]Nod!$A$3:$E$986,4,FALSE)," ")</f>
        <v>BOQIII230</v>
      </c>
      <c r="G111" s="31">
        <f>IFERROR(VLOOKUP($C111,[15]Nod!$A$3:$E$986,5,FALSE)," ")</f>
        <v>4</v>
      </c>
      <c r="K111" s="295"/>
      <c r="L111" s="281"/>
      <c r="M111" s="281"/>
    </row>
    <row r="112" spans="1:13" ht="15" customHeight="1">
      <c r="A112" s="301" t="s">
        <v>80</v>
      </c>
      <c r="B112" s="3"/>
      <c r="C112" s="40">
        <v>6182</v>
      </c>
      <c r="D112" s="331">
        <v>72.2</v>
      </c>
      <c r="E112" s="302">
        <v>0</v>
      </c>
      <c r="F112" s="31" t="str">
        <f>IFERROR(VLOOKUP($C112,[15]Nod!$A$3:$E$986,4,FALSE)," ")</f>
        <v>VEL230</v>
      </c>
      <c r="G112" s="31">
        <f>IFERROR(VLOOKUP($C112,[15]Nod!$A$3:$E$986,5,FALSE)," ")</f>
        <v>4</v>
      </c>
      <c r="K112" s="295"/>
      <c r="L112" s="281"/>
      <c r="M112" s="281"/>
    </row>
    <row r="113" spans="1:13" ht="15" customHeight="1">
      <c r="A113" s="301" t="s">
        <v>81</v>
      </c>
      <c r="B113" s="22"/>
      <c r="C113" s="55">
        <v>6380</v>
      </c>
      <c r="D113" s="331">
        <v>6.3</v>
      </c>
      <c r="E113" s="318">
        <v>0</v>
      </c>
      <c r="F113" s="31" t="str">
        <f>IFERROR(VLOOKUP($C113,[15]Nod!$A$3:$E$986,4,FALSE)," ")</f>
        <v>BOQIII230</v>
      </c>
      <c r="G113" s="31">
        <f>IFERROR(VLOOKUP($C113,[15]Nod!$A$3:$E$986,5,FALSE)," ")</f>
        <v>4</v>
      </c>
      <c r="K113" s="295"/>
      <c r="L113" s="281"/>
      <c r="M113" s="281"/>
    </row>
    <row r="114" spans="1:13" ht="15" customHeight="1">
      <c r="A114" s="301" t="s">
        <v>197</v>
      </c>
      <c r="B114" s="22"/>
      <c r="C114" s="55">
        <v>6013</v>
      </c>
      <c r="D114" s="331">
        <v>8.86</v>
      </c>
      <c r="E114" s="318">
        <v>0</v>
      </c>
      <c r="F114" s="31" t="str">
        <f>IFERROR(VLOOKUP($C114,[15]Nod!$A$3:$E$986,4,FALSE)," ")</f>
        <v>MDN34</v>
      </c>
      <c r="G114" s="31">
        <f>IFERROR(VLOOKUP($C114,[15]Nod!$A$3:$E$986,5,FALSE)," ")</f>
        <v>4</v>
      </c>
      <c r="K114" s="295"/>
      <c r="L114" s="281"/>
      <c r="M114" s="281"/>
    </row>
    <row r="115" spans="1:13" ht="15" customHeight="1">
      <c r="A115" s="301" t="s">
        <v>198</v>
      </c>
      <c r="B115" s="3"/>
      <c r="C115" s="54">
        <v>6013</v>
      </c>
      <c r="D115" s="331">
        <v>9</v>
      </c>
      <c r="E115" s="302">
        <v>0</v>
      </c>
      <c r="F115" s="31" t="str">
        <f>IFERROR(VLOOKUP($C115,[15]Nod!$A$3:$E$986,4,FALSE)," ")</f>
        <v>MDN34</v>
      </c>
      <c r="G115" s="31">
        <f>IFERROR(VLOOKUP($C115,[15]Nod!$A$3:$E$986,5,FALSE)," ")</f>
        <v>4</v>
      </c>
      <c r="K115" s="295"/>
      <c r="L115" s="281"/>
      <c r="M115" s="281"/>
    </row>
    <row r="116" spans="1:13" ht="15" customHeight="1">
      <c r="A116" s="301" t="s">
        <v>83</v>
      </c>
      <c r="B116" s="3"/>
      <c r="C116" s="54">
        <v>6520</v>
      </c>
      <c r="D116" s="331">
        <v>19.8</v>
      </c>
      <c r="E116" s="302">
        <v>0</v>
      </c>
      <c r="F116" s="31" t="str">
        <f>IFERROR(VLOOKUP($C116,[15]Nod!$A$3:$E$986,4,FALSE)," ")</f>
        <v>SBA230</v>
      </c>
      <c r="G116" s="31">
        <f>IFERROR(VLOOKUP($C116,[15]Nod!$A$3:$E$986,5,FALSE)," ")</f>
        <v>4</v>
      </c>
      <c r="K116" s="295"/>
      <c r="L116" s="281"/>
      <c r="M116" s="281"/>
    </row>
    <row r="117" spans="1:13" ht="15" customHeight="1">
      <c r="A117" s="301" t="s">
        <v>84</v>
      </c>
      <c r="B117" s="3"/>
      <c r="C117" s="54">
        <v>6550</v>
      </c>
      <c r="D117" s="331">
        <v>28.56</v>
      </c>
      <c r="E117" s="302">
        <v>0</v>
      </c>
      <c r="F117" s="31" t="str">
        <f>IFERROR(VLOOKUP($C117,[15]Nod!$A$3:$E$986,4,FALSE)," ")</f>
        <v>BEV230</v>
      </c>
      <c r="G117" s="31">
        <f>IFERROR(VLOOKUP($C117,[15]Nod!$A$3:$E$986,5,FALSE)," ")</f>
        <v>4</v>
      </c>
      <c r="K117" s="295"/>
      <c r="L117" s="281"/>
      <c r="M117" s="281"/>
    </row>
    <row r="118" spans="1:13" ht="15" customHeight="1">
      <c r="A118" s="301" t="s">
        <v>210</v>
      </c>
      <c r="B118" s="3"/>
      <c r="C118" s="40">
        <v>6380</v>
      </c>
      <c r="D118" s="331">
        <v>2.02</v>
      </c>
      <c r="E118" s="302">
        <v>0</v>
      </c>
      <c r="F118" s="31" t="str">
        <f>IFERROR(VLOOKUP($C118,[15]Nod!$A$3:$E$986,4,FALSE)," ")</f>
        <v>BOQIII230</v>
      </c>
      <c r="G118" s="31">
        <f>IFERROR(VLOOKUP($C118,[15]Nod!$A$3:$E$986,5,FALSE)," ")</f>
        <v>4</v>
      </c>
      <c r="K118" s="295"/>
      <c r="L118" s="281"/>
      <c r="M118" s="281"/>
    </row>
    <row r="119" spans="1:13" ht="15" customHeight="1">
      <c r="A119" s="301" t="s">
        <v>86</v>
      </c>
      <c r="B119" s="3"/>
      <c r="C119" s="40">
        <v>6380</v>
      </c>
      <c r="D119" s="331">
        <v>7.62</v>
      </c>
      <c r="E119" s="302">
        <v>0</v>
      </c>
      <c r="F119" s="31" t="str">
        <f>IFERROR(VLOOKUP($C119,[15]Nod!$A$3:$E$986,4,FALSE)," ")</f>
        <v>BOQIII230</v>
      </c>
      <c r="G119" s="31">
        <f>IFERROR(VLOOKUP($C119,[15]Nod!$A$3:$E$986,5,FALSE)," ")</f>
        <v>4</v>
      </c>
      <c r="K119" s="295"/>
      <c r="L119" s="281"/>
      <c r="M119" s="281"/>
    </row>
    <row r="120" spans="1:13" ht="15" customHeight="1">
      <c r="A120" s="301" t="s">
        <v>199</v>
      </c>
      <c r="B120" s="3"/>
      <c r="C120" s="40">
        <v>6380</v>
      </c>
      <c r="D120" s="331">
        <v>10</v>
      </c>
      <c r="E120" s="302">
        <v>0</v>
      </c>
      <c r="F120" s="31" t="str">
        <f>IFERROR(VLOOKUP($C120,[15]Nod!$A$3:$E$986,4,FALSE)," ")</f>
        <v>BOQIII230</v>
      </c>
      <c r="G120" s="31">
        <f>IFERROR(VLOOKUP($C120,[15]Nod!$A$3:$E$986,5,FALSE)," ")</f>
        <v>4</v>
      </c>
      <c r="K120" s="295"/>
      <c r="L120" s="281"/>
      <c r="M120" s="281"/>
    </row>
    <row r="121" spans="1:13" ht="15" customHeight="1">
      <c r="A121" s="301" t="s">
        <v>200</v>
      </c>
      <c r="B121" s="3"/>
      <c r="C121" s="40">
        <v>6380</v>
      </c>
      <c r="D121" s="331">
        <v>10</v>
      </c>
      <c r="E121" s="302">
        <v>0</v>
      </c>
      <c r="F121" s="31" t="str">
        <f>IFERROR(VLOOKUP($C121,[15]Nod!$A$3:$E$986,4,FALSE)," ")</f>
        <v>BOQIII230</v>
      </c>
      <c r="G121" s="31">
        <f>IFERROR(VLOOKUP($C121,[15]Nod!$A$3:$E$986,5,FALSE)," ")</f>
        <v>4</v>
      </c>
      <c r="K121" s="295"/>
      <c r="L121" s="281"/>
      <c r="M121" s="281"/>
    </row>
    <row r="122" spans="1:13" ht="15" customHeight="1">
      <c r="A122" s="301" t="s">
        <v>201</v>
      </c>
      <c r="B122" s="3"/>
      <c r="C122" s="55">
        <v>6013</v>
      </c>
      <c r="D122" s="331">
        <v>10</v>
      </c>
      <c r="E122" s="302">
        <v>0</v>
      </c>
      <c r="F122" s="31" t="str">
        <f>IFERROR(VLOOKUP($C122,[15]Nod!$A$3:$E$986,4,FALSE)," ")</f>
        <v>MDN34</v>
      </c>
      <c r="G122" s="31">
        <f>IFERROR(VLOOKUP($C122,[15]Nod!$A$3:$E$986,5,FALSE)," ")</f>
        <v>4</v>
      </c>
      <c r="K122" s="295"/>
      <c r="L122" s="281"/>
      <c r="M122" s="281"/>
    </row>
    <row r="123" spans="1:13" ht="15" customHeight="1">
      <c r="A123" s="301" t="s">
        <v>202</v>
      </c>
      <c r="B123" s="3"/>
      <c r="C123" s="55">
        <v>6013</v>
      </c>
      <c r="D123" s="331">
        <v>10</v>
      </c>
      <c r="E123" s="302">
        <v>0</v>
      </c>
      <c r="F123" s="31" t="str">
        <f>IFERROR(VLOOKUP($C123,[15]Nod!$A$3:$E$986,4,FALSE)," ")</f>
        <v>MDN34</v>
      </c>
      <c r="G123" s="31">
        <f>IFERROR(VLOOKUP($C123,[15]Nod!$A$3:$E$986,5,FALSE)," ")</f>
        <v>4</v>
      </c>
      <c r="K123" s="295"/>
      <c r="L123" s="281"/>
      <c r="M123" s="281"/>
    </row>
    <row r="124" spans="1:13" ht="15" customHeight="1">
      <c r="A124" s="301" t="s">
        <v>203</v>
      </c>
      <c r="B124" s="3"/>
      <c r="C124" s="55">
        <v>6013</v>
      </c>
      <c r="D124" s="331">
        <v>9.9600000000000009</v>
      </c>
      <c r="E124" s="302">
        <v>0</v>
      </c>
      <c r="F124" s="31" t="str">
        <f>IFERROR(VLOOKUP($C124,[15]Nod!$A$3:$E$986,4,FALSE)," ")</f>
        <v>MDN34</v>
      </c>
      <c r="G124" s="31">
        <f>IFERROR(VLOOKUP($C124,[15]Nod!$A$3:$E$986,5,FALSE)," ")</f>
        <v>4</v>
      </c>
      <c r="K124" s="295"/>
      <c r="L124" s="281"/>
      <c r="M124" s="281"/>
    </row>
    <row r="125" spans="1:13" ht="15" customHeight="1">
      <c r="A125" s="301" t="s">
        <v>204</v>
      </c>
      <c r="B125" s="3"/>
      <c r="C125" s="55">
        <v>6013</v>
      </c>
      <c r="D125" s="331">
        <v>9.9600000000000009</v>
      </c>
      <c r="E125" s="302">
        <v>0</v>
      </c>
      <c r="F125" s="31" t="str">
        <f>IFERROR(VLOOKUP($C125,[15]Nod!$A$3:$E$986,4,FALSE)," ")</f>
        <v>MDN34</v>
      </c>
      <c r="G125" s="31">
        <f>IFERROR(VLOOKUP($C125,[15]Nod!$A$3:$E$986,5,FALSE)," ")</f>
        <v>4</v>
      </c>
      <c r="K125" s="295"/>
      <c r="L125" s="281"/>
      <c r="M125" s="281"/>
    </row>
    <row r="126" spans="1:13" ht="15" customHeight="1">
      <c r="A126" s="301" t="s">
        <v>87</v>
      </c>
      <c r="B126" s="3"/>
      <c r="C126" s="40">
        <v>6182</v>
      </c>
      <c r="D126" s="331">
        <v>0.74099999999999999</v>
      </c>
      <c r="E126" s="302">
        <v>0</v>
      </c>
      <c r="F126" s="31" t="str">
        <f>IFERROR(VLOOKUP($C126,[15]Nod!$A$3:$E$986,4,FALSE)," ")</f>
        <v>VEL230</v>
      </c>
      <c r="G126" s="31">
        <f>IFERROR(VLOOKUP($C126,[15]Nod!$A$3:$E$986,5,FALSE)," ")</f>
        <v>4</v>
      </c>
      <c r="K126" s="295"/>
      <c r="L126" s="281"/>
      <c r="M126" s="281"/>
    </row>
    <row r="127" spans="1:13" ht="15" customHeight="1">
      <c r="A127" s="301" t="s">
        <v>211</v>
      </c>
      <c r="B127" s="3"/>
      <c r="C127" s="40">
        <v>6182</v>
      </c>
      <c r="D127" s="331">
        <v>4.75</v>
      </c>
      <c r="E127" s="302">
        <v>0</v>
      </c>
      <c r="F127" s="31" t="str">
        <f>IFERROR(VLOOKUP($C127,[15]Nod!$A$3:$E$986,4,FALSE)," ")</f>
        <v>VEL230</v>
      </c>
      <c r="G127" s="31">
        <f>IFERROR(VLOOKUP($C127,[15]Nod!$A$3:$E$986,5,FALSE)," ")</f>
        <v>4</v>
      </c>
      <c r="K127" s="295"/>
      <c r="L127" s="281"/>
      <c r="M127" s="281"/>
    </row>
    <row r="128" spans="1:13" ht="15" customHeight="1">
      <c r="A128" s="301" t="s">
        <v>307</v>
      </c>
      <c r="B128" s="3"/>
      <c r="C128" s="40">
        <v>6182</v>
      </c>
      <c r="D128" s="331">
        <v>31.8</v>
      </c>
      <c r="E128" s="302">
        <v>0</v>
      </c>
      <c r="F128" s="31" t="str">
        <f>IFERROR(VLOOKUP($C128,[15]Nod!$A$3:$E$986,4,FALSE)," ")</f>
        <v>VEL230</v>
      </c>
      <c r="G128" s="31">
        <f>IFERROR(VLOOKUP($C128,[15]Nod!$A$3:$E$986,5,FALSE)," ")</f>
        <v>4</v>
      </c>
      <c r="K128" s="295"/>
      <c r="L128" s="281"/>
      <c r="M128" s="281"/>
    </row>
    <row r="129" spans="1:13" ht="15" customHeight="1">
      <c r="A129" s="301" t="s">
        <v>212</v>
      </c>
      <c r="C129" s="40">
        <v>6380</v>
      </c>
      <c r="D129" s="331">
        <v>0.99</v>
      </c>
      <c r="E129" s="302">
        <v>0</v>
      </c>
      <c r="F129" s="31" t="str">
        <f>IFERROR(VLOOKUP($C129,[15]Nod!$A$3:$E$986,4,FALSE)," ")</f>
        <v>BOQIII230</v>
      </c>
      <c r="G129" s="31">
        <f>IFERROR(VLOOKUP($C129,[15]Nod!$A$3:$E$986,5,FALSE)," ")</f>
        <v>4</v>
      </c>
      <c r="K129" s="295"/>
      <c r="L129" s="281"/>
      <c r="M129" s="281"/>
    </row>
    <row r="130" spans="1:13" ht="15" customHeight="1">
      <c r="A130" s="301" t="s">
        <v>306</v>
      </c>
      <c r="C130" s="40">
        <v>6380</v>
      </c>
      <c r="D130" s="331">
        <v>5</v>
      </c>
      <c r="E130" s="302">
        <v>0</v>
      </c>
      <c r="F130" s="31" t="str">
        <f>IFERROR(VLOOKUP($C130,[15]Nod!$A$3:$E$986,4,FALSE)," ")</f>
        <v>BOQIII230</v>
      </c>
      <c r="G130" s="31">
        <f>IFERROR(VLOOKUP($C130,[15]Nod!$A$3:$E$986,5,FALSE)," ")</f>
        <v>4</v>
      </c>
      <c r="K130" s="295"/>
      <c r="L130" s="281"/>
      <c r="M130" s="281"/>
    </row>
    <row r="131" spans="1:13" ht="15" customHeight="1">
      <c r="A131" s="301" t="s">
        <v>205</v>
      </c>
      <c r="C131" s="40">
        <v>6380</v>
      </c>
      <c r="D131" s="331">
        <v>9.9</v>
      </c>
      <c r="E131" s="302">
        <v>0</v>
      </c>
      <c r="F131" s="31" t="str">
        <f>IFERROR(VLOOKUP($C131,[15]Nod!$A$3:$E$986,4,FALSE)," ")</f>
        <v>BOQIII230</v>
      </c>
      <c r="G131" s="31">
        <f>IFERROR(VLOOKUP($C131,[15]Nod!$A$3:$E$986,5,FALSE)," ")</f>
        <v>4</v>
      </c>
      <c r="K131" s="295"/>
      <c r="L131" s="281"/>
      <c r="M131" s="281"/>
    </row>
    <row r="132" spans="1:13" ht="15" customHeight="1">
      <c r="A132" s="301" t="s">
        <v>195</v>
      </c>
      <c r="C132" s="40">
        <v>6013</v>
      </c>
      <c r="D132" s="331">
        <v>70</v>
      </c>
      <c r="E132" s="302">
        <v>0</v>
      </c>
      <c r="F132" s="31" t="str">
        <f>IFERROR(VLOOKUP($C132,[15]Nod!$A$3:$E$986,4,FALSE)," ")</f>
        <v>MDN34</v>
      </c>
      <c r="G132" s="31">
        <f>IFERROR(VLOOKUP($C132,[15]Nod!$A$3:$E$986,5,FALSE)," ")</f>
        <v>4</v>
      </c>
      <c r="K132" s="295"/>
      <c r="L132" s="281"/>
      <c r="M132" s="281"/>
    </row>
    <row r="133" spans="1:13" ht="15" customHeight="1">
      <c r="A133" s="301" t="s">
        <v>89</v>
      </c>
      <c r="C133" s="40">
        <v>6013</v>
      </c>
      <c r="D133" s="331">
        <v>4.1500000000000004</v>
      </c>
      <c r="E133" s="302">
        <v>0</v>
      </c>
      <c r="F133" s="31" t="str">
        <f>IFERROR(VLOOKUP($C133,[15]Nod!$A$3:$E$986,4,FALSE)," ")</f>
        <v>MDN34</v>
      </c>
      <c r="G133" s="31">
        <f>IFERROR(VLOOKUP($C133,[15]Nod!$A$3:$E$986,5,FALSE)," ")</f>
        <v>4</v>
      </c>
      <c r="K133" s="295"/>
      <c r="L133" s="281"/>
      <c r="M133" s="281"/>
    </row>
    <row r="134" spans="1:13" ht="15" customHeight="1">
      <c r="A134" s="314" t="s">
        <v>305</v>
      </c>
      <c r="C134" s="40">
        <v>6013</v>
      </c>
      <c r="D134" s="331">
        <v>5</v>
      </c>
      <c r="E134" s="302">
        <v>0</v>
      </c>
      <c r="F134" s="31" t="str">
        <f>IFERROR(VLOOKUP($C134,[15]Nod!$A$3:$E$986,4,FALSE)," ")</f>
        <v>MDN34</v>
      </c>
      <c r="G134" s="31">
        <f>IFERROR(VLOOKUP($C134,[15]Nod!$A$3:$E$986,5,FALSE)," ")</f>
        <v>4</v>
      </c>
      <c r="K134" s="295"/>
      <c r="L134" s="281"/>
      <c r="M134" s="281"/>
    </row>
    <row r="135" spans="1:13" ht="15" customHeight="1">
      <c r="A135" s="314" t="s">
        <v>304</v>
      </c>
      <c r="C135" s="40">
        <v>6013</v>
      </c>
      <c r="D135" s="331">
        <v>5</v>
      </c>
      <c r="E135" s="302">
        <v>0</v>
      </c>
      <c r="F135" s="31" t="str">
        <f>IFERROR(VLOOKUP($C135,[15]Nod!$A$3:$E$986,4,FALSE)," ")</f>
        <v>MDN34</v>
      </c>
      <c r="G135" s="31">
        <f>IFERROR(VLOOKUP($C135,[15]Nod!$A$3:$E$986,5,FALSE)," ")</f>
        <v>4</v>
      </c>
      <c r="K135" s="295"/>
      <c r="L135" s="281"/>
      <c r="M135" s="281"/>
    </row>
    <row r="136" spans="1:13" ht="15" customHeight="1">
      <c r="A136" s="314" t="s">
        <v>303</v>
      </c>
      <c r="C136" s="40">
        <v>6013</v>
      </c>
      <c r="D136" s="331">
        <v>9.9</v>
      </c>
      <c r="E136" s="302">
        <v>0</v>
      </c>
      <c r="F136" s="31" t="str">
        <f>IFERROR(VLOOKUP($C136,[15]Nod!$A$3:$E$986,4,FALSE)," ")</f>
        <v>MDN34</v>
      </c>
      <c r="G136" s="31">
        <f>IFERROR(VLOOKUP($C136,[15]Nod!$A$3:$E$986,5,FALSE)," ")</f>
        <v>4</v>
      </c>
      <c r="K136" s="295"/>
      <c r="L136" s="281"/>
      <c r="M136" s="281"/>
    </row>
    <row r="137" spans="1:13" ht="15" customHeight="1">
      <c r="A137" s="314" t="s">
        <v>302</v>
      </c>
      <c r="C137" s="40">
        <v>6013</v>
      </c>
      <c r="D137" s="331">
        <v>9.9</v>
      </c>
      <c r="E137" s="302">
        <v>0</v>
      </c>
      <c r="F137" s="31" t="str">
        <f>IFERROR(VLOOKUP($C137,[15]Nod!$A$3:$E$986,4,FALSE)," ")</f>
        <v>MDN34</v>
      </c>
      <c r="G137" s="31">
        <f>IFERROR(VLOOKUP($C137,[15]Nod!$A$3:$E$986,5,FALSE)," ")</f>
        <v>4</v>
      </c>
      <c r="K137" s="295"/>
      <c r="L137" s="281"/>
      <c r="M137" s="281"/>
    </row>
    <row r="138" spans="1:13" ht="15" customHeight="1">
      <c r="A138" s="314" t="s">
        <v>301</v>
      </c>
      <c r="C138" s="40">
        <v>6013</v>
      </c>
      <c r="D138" s="331">
        <v>9.9</v>
      </c>
      <c r="E138" s="302">
        <v>0</v>
      </c>
      <c r="F138" s="31" t="str">
        <f>IFERROR(VLOOKUP($C138,[15]Nod!$A$3:$E$986,4,FALSE)," ")</f>
        <v>MDN34</v>
      </c>
      <c r="G138" s="31">
        <f>IFERROR(VLOOKUP($C138,[15]Nod!$A$3:$E$986,5,FALSE)," ")</f>
        <v>4</v>
      </c>
      <c r="K138" s="295"/>
      <c r="L138" s="281"/>
      <c r="M138" s="281"/>
    </row>
    <row r="139" spans="1:13" ht="15" customHeight="1">
      <c r="A139" s="301" t="s">
        <v>300</v>
      </c>
      <c r="C139" s="40">
        <v>6013</v>
      </c>
      <c r="D139" s="331">
        <v>10</v>
      </c>
      <c r="E139" s="302">
        <v>0</v>
      </c>
      <c r="F139" s="31" t="str">
        <f>IFERROR(VLOOKUP($C139,[15]Nod!$A$3:$E$986,4,FALSE)," ")</f>
        <v>MDN34</v>
      </c>
      <c r="G139" s="31">
        <f>IFERROR(VLOOKUP($C139,[15]Nod!$A$3:$E$986,5,FALSE)," ")</f>
        <v>4</v>
      </c>
      <c r="K139" s="295"/>
      <c r="L139" s="281"/>
      <c r="M139" s="281"/>
    </row>
    <row r="140" spans="1:13" ht="15" customHeight="1">
      <c r="A140" s="301" t="s">
        <v>299</v>
      </c>
      <c r="C140" s="40">
        <v>6013</v>
      </c>
      <c r="D140" s="331">
        <v>60</v>
      </c>
      <c r="E140" s="302">
        <v>1</v>
      </c>
      <c r="F140" s="31" t="str">
        <f>IFERROR(VLOOKUP($C140,[15]Nod!$A$3:$E$986,4,FALSE)," ")</f>
        <v>MDN34</v>
      </c>
      <c r="G140" s="31">
        <f>IFERROR(VLOOKUP($C140,[15]Nod!$A$3:$E$986,5,FALSE)," ")</f>
        <v>4</v>
      </c>
      <c r="K140" s="295"/>
      <c r="L140" s="281"/>
      <c r="M140" s="281"/>
    </row>
    <row r="141" spans="1:13" ht="15" customHeight="1" thickBot="1">
      <c r="A141" s="53" t="s">
        <v>35</v>
      </c>
      <c r="B141" s="42"/>
      <c r="C141" s="43"/>
      <c r="D141" s="333"/>
      <c r="E141" s="315"/>
      <c r="F141" s="31" t="str">
        <f>IFERROR(VLOOKUP($C141,[15]Nod!$A$3:$E$986,4,FALSE)," ")</f>
        <v xml:space="preserve"> </v>
      </c>
      <c r="G141" s="31" t="str">
        <f>IFERROR(VLOOKUP($C141,[15]Nod!$A$3:$E$986,5,FALSE)," ")</f>
        <v xml:space="preserve"> </v>
      </c>
      <c r="K141" s="295"/>
      <c r="L141" s="281"/>
      <c r="M141" s="281"/>
    </row>
    <row r="142" spans="1:13" ht="15" customHeight="1">
      <c r="A142" s="47">
        <v>5</v>
      </c>
      <c r="B142" s="44"/>
      <c r="C142" s="45"/>
      <c r="D142" s="332">
        <f>SUM(D143:D202)</f>
        <v>1521.0099999999998</v>
      </c>
      <c r="E142" s="297"/>
      <c r="F142" s="31" t="str">
        <f>IFERROR(VLOOKUP($C142,[15]Nod!$A$3:$E$986,4,FALSE)," ")</f>
        <v xml:space="preserve"> </v>
      </c>
      <c r="G142" s="31" t="str">
        <f>IFERROR(VLOOKUP($C142,[15]Nod!$A$3:$E$986,5,FALSE)," ")</f>
        <v xml:space="preserve"> </v>
      </c>
      <c r="K142" s="295"/>
      <c r="L142" s="281"/>
      <c r="M142" s="281"/>
    </row>
    <row r="143" spans="1:13" ht="15" customHeight="1">
      <c r="A143" s="301" t="s">
        <v>213</v>
      </c>
      <c r="C143" s="39">
        <v>6460</v>
      </c>
      <c r="D143" s="331">
        <v>6.66</v>
      </c>
      <c r="E143" s="302">
        <v>0</v>
      </c>
      <c r="F143" s="31" t="str">
        <f>IFERROR(VLOOKUP($C143,[15]Nod!$A$3:$E$986,4,FALSE)," ")</f>
        <v>ECO230</v>
      </c>
      <c r="G143" s="31">
        <f>IFERROR(VLOOKUP($C143,[15]Nod!$A$3:$E$986,5,FALSE)," ")</f>
        <v>5</v>
      </c>
      <c r="K143" s="295"/>
      <c r="L143" s="281"/>
      <c r="M143" s="281"/>
    </row>
    <row r="144" spans="1:13" ht="15" customHeight="1">
      <c r="A144" s="301" t="s">
        <v>90</v>
      </c>
      <c r="C144" s="39">
        <v>6460</v>
      </c>
      <c r="D144" s="331">
        <v>7</v>
      </c>
      <c r="E144" s="323">
        <v>0</v>
      </c>
      <c r="F144" s="31" t="str">
        <f>IFERROR(VLOOKUP($C144,[15]Nod!$A$3:$E$986,4,FALSE)," ")</f>
        <v>ECO230</v>
      </c>
      <c r="G144" s="31">
        <f>IFERROR(VLOOKUP($C144,[15]Nod!$A$3:$E$986,5,FALSE)," ")</f>
        <v>5</v>
      </c>
      <c r="K144" s="295"/>
      <c r="L144" s="281"/>
      <c r="M144" s="281"/>
    </row>
    <row r="145" spans="1:13" ht="15" customHeight="1">
      <c r="A145" s="301" t="s">
        <v>219</v>
      </c>
      <c r="C145" s="39">
        <v>6460</v>
      </c>
      <c r="D145" s="331">
        <v>9.99</v>
      </c>
      <c r="E145" s="302">
        <v>0</v>
      </c>
      <c r="F145" s="31" t="str">
        <f>IFERROR(VLOOKUP($C145,[15]Nod!$A$3:$E$986,4,FALSE)," ")</f>
        <v>ECO230</v>
      </c>
      <c r="G145" s="31">
        <f>IFERROR(VLOOKUP($C145,[15]Nod!$A$3:$E$986,5,FALSE)," ")</f>
        <v>5</v>
      </c>
      <c r="K145" s="295"/>
      <c r="L145" s="281"/>
      <c r="M145" s="281"/>
    </row>
    <row r="146" spans="1:13" ht="15" customHeight="1">
      <c r="A146" s="301" t="s">
        <v>220</v>
      </c>
      <c r="C146" s="39">
        <v>6460</v>
      </c>
      <c r="D146" s="342">
        <v>9.99</v>
      </c>
      <c r="E146" s="302">
        <v>0</v>
      </c>
      <c r="F146" s="31" t="str">
        <f>IFERROR(VLOOKUP($C146,[15]Nod!$A$3:$E$986,4,FALSE)," ")</f>
        <v>ECO230</v>
      </c>
      <c r="G146" s="31">
        <f>IFERROR(VLOOKUP($C146,[15]Nod!$A$3:$E$986,5,FALSE)," ")</f>
        <v>5</v>
      </c>
      <c r="K146" s="295"/>
      <c r="L146" s="281"/>
      <c r="M146" s="281"/>
    </row>
    <row r="147" spans="1:13" ht="15" customHeight="1">
      <c r="A147" s="301" t="s">
        <v>221</v>
      </c>
      <c r="C147" s="39">
        <v>6460</v>
      </c>
      <c r="D147" s="341">
        <v>4.8</v>
      </c>
      <c r="E147" s="302">
        <v>0</v>
      </c>
      <c r="F147" s="31" t="str">
        <f>IFERROR(VLOOKUP($C147,[15]Nod!$A$3:$E$986,4,FALSE)," ")</f>
        <v>ECO230</v>
      </c>
      <c r="G147" s="31">
        <f>IFERROR(VLOOKUP($C147,[15]Nod!$A$3:$E$986,5,FALSE)," ")</f>
        <v>5</v>
      </c>
      <c r="K147" s="295"/>
      <c r="L147" s="281"/>
      <c r="M147" s="281"/>
    </row>
    <row r="148" spans="1:13" ht="15" customHeight="1">
      <c r="A148" s="301" t="s">
        <v>222</v>
      </c>
      <c r="C148" s="39">
        <v>6460</v>
      </c>
      <c r="D148" s="341">
        <v>0.96</v>
      </c>
      <c r="E148" s="302">
        <v>0</v>
      </c>
      <c r="F148" s="31" t="str">
        <f>IFERROR(VLOOKUP($C148,[15]Nod!$A$3:$E$986,4,FALSE)," ")</f>
        <v>ECO230</v>
      </c>
      <c r="G148" s="31">
        <f>IFERROR(VLOOKUP($C148,[15]Nod!$A$3:$E$986,5,FALSE)," ")</f>
        <v>5</v>
      </c>
      <c r="K148" s="295"/>
      <c r="L148" s="281"/>
      <c r="M148" s="281"/>
    </row>
    <row r="149" spans="1:13" ht="15" customHeight="1">
      <c r="A149" s="301" t="s">
        <v>238</v>
      </c>
      <c r="C149" s="39">
        <v>6460</v>
      </c>
      <c r="D149" s="331">
        <v>0.48</v>
      </c>
      <c r="E149" s="302">
        <v>0</v>
      </c>
      <c r="F149" s="31" t="str">
        <f>IFERROR(VLOOKUP($C149,[15]Nod!$A$3:$E$986,4,FALSE)," ")</f>
        <v>ECO230</v>
      </c>
      <c r="G149" s="31">
        <f>IFERROR(VLOOKUP($C149,[15]Nod!$A$3:$E$986,5,FALSE)," ")</f>
        <v>5</v>
      </c>
      <c r="K149" s="295"/>
      <c r="L149" s="281"/>
      <c r="M149" s="281"/>
    </row>
    <row r="150" spans="1:13" ht="15" customHeight="1">
      <c r="A150" s="301" t="s">
        <v>298</v>
      </c>
      <c r="C150" s="39">
        <v>6460</v>
      </c>
      <c r="D150" s="339">
        <v>8.5</v>
      </c>
      <c r="E150" s="302">
        <v>0</v>
      </c>
      <c r="F150" s="31" t="str">
        <f>IFERROR(VLOOKUP($C150,[15]Nod!$A$3:$E$986,4,FALSE)," ")</f>
        <v>ECO230</v>
      </c>
      <c r="G150" s="31">
        <f>IFERROR(VLOOKUP($C150,[15]Nod!$A$3:$E$986,5,FALSE)," ")</f>
        <v>5</v>
      </c>
      <c r="K150" s="295"/>
      <c r="L150" s="281"/>
      <c r="M150" s="281"/>
    </row>
    <row r="151" spans="1:13" ht="15" customHeight="1">
      <c r="A151" s="301" t="s">
        <v>223</v>
      </c>
      <c r="C151" s="39">
        <v>6460</v>
      </c>
      <c r="D151" s="339">
        <v>8.5</v>
      </c>
      <c r="E151" s="302">
        <v>0</v>
      </c>
      <c r="F151" s="31" t="str">
        <f>IFERROR(VLOOKUP($C151,[15]Nod!$A$3:$E$986,4,FALSE)," ")</f>
        <v>ECO230</v>
      </c>
      <c r="G151" s="31">
        <f>IFERROR(VLOOKUP($C151,[15]Nod!$A$3:$E$986,5,FALSE)," ")</f>
        <v>5</v>
      </c>
      <c r="K151" s="295"/>
      <c r="L151" s="281"/>
      <c r="M151" s="281"/>
    </row>
    <row r="152" spans="1:13" ht="15" customHeight="1">
      <c r="A152" s="301" t="s">
        <v>297</v>
      </c>
      <c r="C152" s="39">
        <v>6460</v>
      </c>
      <c r="D152" s="331">
        <v>9.52</v>
      </c>
      <c r="E152" s="302">
        <v>0</v>
      </c>
      <c r="F152" s="31" t="str">
        <f>IFERROR(VLOOKUP($C152,[15]Nod!$A$3:$E$986,4,FALSE)," ")</f>
        <v>ECO230</v>
      </c>
      <c r="G152" s="31">
        <f>IFERROR(VLOOKUP($C152,[15]Nod!$A$3:$E$986,5,FALSE)," ")</f>
        <v>5</v>
      </c>
      <c r="K152" s="295"/>
      <c r="L152" s="281"/>
      <c r="M152" s="281"/>
    </row>
    <row r="153" spans="1:13" ht="15" customHeight="1">
      <c r="A153" s="301" t="s">
        <v>224</v>
      </c>
      <c r="C153" s="39">
        <v>6460</v>
      </c>
      <c r="D153" s="331">
        <v>10.78</v>
      </c>
      <c r="E153" s="302">
        <v>0</v>
      </c>
      <c r="F153" s="31" t="str">
        <f>IFERROR(VLOOKUP($C153,[15]Nod!$A$3:$E$986,4,FALSE)," ")</f>
        <v>ECO230</v>
      </c>
      <c r="G153" s="31">
        <f>IFERROR(VLOOKUP($C153,[15]Nod!$A$3:$E$986,5,FALSE)," ")</f>
        <v>5</v>
      </c>
      <c r="K153" s="295"/>
      <c r="L153" s="281"/>
      <c r="M153" s="281"/>
    </row>
    <row r="154" spans="1:13" ht="15" customHeight="1">
      <c r="A154" s="301" t="s">
        <v>225</v>
      </c>
      <c r="C154" s="39">
        <v>6460</v>
      </c>
      <c r="D154" s="331">
        <v>8.5</v>
      </c>
      <c r="E154" s="302">
        <v>0</v>
      </c>
      <c r="F154" s="31" t="str">
        <f>IFERROR(VLOOKUP($C154,[15]Nod!$A$3:$E$986,4,FALSE)," ")</f>
        <v>ECO230</v>
      </c>
      <c r="G154" s="31">
        <f>IFERROR(VLOOKUP($C154,[15]Nod!$A$3:$E$986,5,FALSE)," ")</f>
        <v>5</v>
      </c>
      <c r="K154" s="295"/>
      <c r="L154" s="281"/>
      <c r="M154" s="281"/>
    </row>
    <row r="155" spans="1:13" ht="15" customHeight="1">
      <c r="A155" s="301" t="s">
        <v>226</v>
      </c>
      <c r="C155" s="39">
        <v>6460</v>
      </c>
      <c r="D155" s="331">
        <v>10</v>
      </c>
      <c r="E155" s="302">
        <v>0</v>
      </c>
      <c r="F155" s="31" t="str">
        <f>IFERROR(VLOOKUP($C155,[15]Nod!$A$3:$E$986,4,FALSE)," ")</f>
        <v>ECO230</v>
      </c>
      <c r="G155" s="31">
        <f>IFERROR(VLOOKUP($C155,[15]Nod!$A$3:$E$986,5,FALSE)," ")</f>
        <v>5</v>
      </c>
      <c r="K155" s="295"/>
      <c r="L155" s="281"/>
      <c r="M155" s="281"/>
    </row>
    <row r="156" spans="1:13" ht="15" customHeight="1">
      <c r="A156" s="301" t="s">
        <v>227</v>
      </c>
      <c r="C156" s="39">
        <v>6460</v>
      </c>
      <c r="D156" s="331">
        <v>10</v>
      </c>
      <c r="E156" s="302">
        <v>0</v>
      </c>
      <c r="F156" s="31" t="str">
        <f>IFERROR(VLOOKUP($C156,[15]Nod!$A$3:$E$986,4,FALSE)," ")</f>
        <v>ECO230</v>
      </c>
      <c r="G156" s="31">
        <f>IFERROR(VLOOKUP($C156,[15]Nod!$A$3:$E$986,5,FALSE)," ")</f>
        <v>5</v>
      </c>
      <c r="K156" s="295"/>
      <c r="L156" s="281"/>
      <c r="M156" s="281"/>
    </row>
    <row r="157" spans="1:13" ht="15" customHeight="1">
      <c r="A157" s="301" t="s">
        <v>214</v>
      </c>
      <c r="C157" s="39">
        <v>6460</v>
      </c>
      <c r="D157" s="331">
        <v>17.5</v>
      </c>
      <c r="E157" s="302">
        <v>0</v>
      </c>
      <c r="F157" s="31" t="str">
        <f>IFERROR(VLOOKUP($C157,[15]Nod!$A$3:$E$986,4,FALSE)," ")</f>
        <v>ECO230</v>
      </c>
      <c r="G157" s="31">
        <f>IFERROR(VLOOKUP($C157,[15]Nod!$A$3:$E$986,5,FALSE)," ")</f>
        <v>5</v>
      </c>
      <c r="K157" s="295"/>
      <c r="L157" s="281"/>
      <c r="M157" s="281"/>
    </row>
    <row r="158" spans="1:13" ht="15" customHeight="1">
      <c r="A158" s="301" t="s">
        <v>215</v>
      </c>
      <c r="C158" s="39">
        <v>6460</v>
      </c>
      <c r="D158" s="331">
        <v>52.5</v>
      </c>
      <c r="E158" s="302">
        <v>0</v>
      </c>
      <c r="F158" s="31" t="str">
        <f>IFERROR(VLOOKUP($C158,[15]Nod!$A$3:$E$986,4,FALSE)," ")</f>
        <v>ECO230</v>
      </c>
      <c r="G158" s="31">
        <f>IFERROR(VLOOKUP($C158,[15]Nod!$A$3:$E$986,5,FALSE)," ")</f>
        <v>5</v>
      </c>
      <c r="K158" s="295"/>
      <c r="L158" s="281"/>
      <c r="M158" s="281"/>
    </row>
    <row r="159" spans="1:13" ht="15" customHeight="1">
      <c r="A159" s="301" t="s">
        <v>296</v>
      </c>
      <c r="C159" s="39">
        <v>6460</v>
      </c>
      <c r="D159" s="331">
        <v>55</v>
      </c>
      <c r="E159" s="302">
        <v>0</v>
      </c>
      <c r="F159" s="31" t="str">
        <f>IFERROR(VLOOKUP($C159,[15]Nod!$A$3:$E$986,4,FALSE)," ")</f>
        <v>ECO230</v>
      </c>
      <c r="G159" s="31">
        <f>IFERROR(VLOOKUP($C159,[15]Nod!$A$3:$E$986,5,FALSE)," ")</f>
        <v>5</v>
      </c>
      <c r="K159" s="295"/>
      <c r="L159" s="281"/>
      <c r="M159" s="281"/>
    </row>
    <row r="160" spans="1:13" ht="15" customHeight="1">
      <c r="A160" s="301" t="s">
        <v>295</v>
      </c>
      <c r="C160" s="39">
        <v>6460</v>
      </c>
      <c r="D160" s="331">
        <v>62.5</v>
      </c>
      <c r="E160" s="302">
        <v>0</v>
      </c>
      <c r="F160" s="31" t="str">
        <f>IFERROR(VLOOKUP($C160,[15]Nod!$A$3:$E$986,4,FALSE)," ")</f>
        <v>ECO230</v>
      </c>
      <c r="G160" s="31">
        <f>IFERROR(VLOOKUP($C160,[15]Nod!$A$3:$E$986,5,FALSE)," ")</f>
        <v>5</v>
      </c>
      <c r="K160" s="295"/>
      <c r="L160" s="281"/>
      <c r="M160" s="281"/>
    </row>
    <row r="161" spans="1:13" ht="15" customHeight="1">
      <c r="A161" s="301" t="s">
        <v>216</v>
      </c>
      <c r="C161" s="39">
        <v>6460</v>
      </c>
      <c r="D161" s="331">
        <v>32.5</v>
      </c>
      <c r="E161" s="302">
        <v>0</v>
      </c>
      <c r="F161" s="31" t="str">
        <f>IFERROR(VLOOKUP($C161,[15]Nod!$A$3:$E$986,4,FALSE)," ")</f>
        <v>ECO230</v>
      </c>
      <c r="G161" s="31">
        <f>IFERROR(VLOOKUP($C161,[15]Nod!$A$3:$E$986,5,FALSE)," ")</f>
        <v>5</v>
      </c>
      <c r="K161" s="295"/>
      <c r="L161" s="281"/>
      <c r="M161" s="281"/>
    </row>
    <row r="162" spans="1:13" ht="15" customHeight="1">
      <c r="A162" s="301" t="s">
        <v>217</v>
      </c>
      <c r="C162" s="39">
        <v>6460</v>
      </c>
      <c r="D162" s="331">
        <v>50</v>
      </c>
      <c r="E162" s="302">
        <v>0</v>
      </c>
      <c r="F162" s="31" t="str">
        <f>IFERROR(VLOOKUP($C162,[15]Nod!$A$3:$E$986,4,FALSE)," ")</f>
        <v>ECO230</v>
      </c>
      <c r="G162" s="31">
        <f>IFERROR(VLOOKUP($C162,[15]Nod!$A$3:$E$986,5,FALSE)," ")</f>
        <v>5</v>
      </c>
      <c r="K162" s="295"/>
      <c r="L162" s="281"/>
      <c r="M162" s="281"/>
    </row>
    <row r="163" spans="1:13" ht="15" customHeight="1">
      <c r="A163" s="301" t="s">
        <v>294</v>
      </c>
      <c r="C163" s="39">
        <v>6460</v>
      </c>
      <c r="D163" s="331">
        <v>66</v>
      </c>
      <c r="E163" s="302">
        <v>0</v>
      </c>
      <c r="F163" s="31" t="str">
        <f>IFERROR(VLOOKUP($C163,[15]Nod!$A$3:$E$986,4,FALSE)," ")</f>
        <v>ECO230</v>
      </c>
      <c r="G163" s="31">
        <f>IFERROR(VLOOKUP($C163,[15]Nod!$A$3:$E$986,5,FALSE)," ")</f>
        <v>5</v>
      </c>
      <c r="L163" s="281"/>
      <c r="M163" s="281"/>
    </row>
    <row r="164" spans="1:13" ht="15" customHeight="1">
      <c r="A164" s="301" t="s">
        <v>228</v>
      </c>
      <c r="C164" s="58">
        <v>6460</v>
      </c>
      <c r="D164" s="331">
        <v>16</v>
      </c>
      <c r="E164" s="302">
        <v>0</v>
      </c>
      <c r="F164" s="31" t="str">
        <f>IFERROR(VLOOKUP($C164,[15]Nod!$A$3:$E$986,4,FALSE)," ")</f>
        <v>ECO230</v>
      </c>
      <c r="G164" s="31">
        <f>IFERROR(VLOOKUP($C164,[15]Nod!$A$3:$E$986,5,FALSE)," ")</f>
        <v>5</v>
      </c>
      <c r="L164" s="281"/>
      <c r="M164" s="281"/>
    </row>
    <row r="165" spans="1:13" ht="15" customHeight="1">
      <c r="A165" s="320" t="s">
        <v>239</v>
      </c>
      <c r="C165" s="56">
        <v>6008</v>
      </c>
      <c r="D165" s="331">
        <v>5.66</v>
      </c>
      <c r="E165" s="302">
        <v>0</v>
      </c>
      <c r="F165" s="31" t="str">
        <f>IFERROR(VLOOKUP($C165,[15]Nod!$A$3:$E$986,4,FALSE)," ")</f>
        <v>LSA230</v>
      </c>
      <c r="G165" s="31">
        <f>IFERROR(VLOOKUP($C165,[15]Nod!$A$3:$E$986,5,FALSE)," ")</f>
        <v>5</v>
      </c>
      <c r="L165" s="281"/>
      <c r="M165" s="281"/>
    </row>
    <row r="166" spans="1:13" ht="15" customHeight="1">
      <c r="A166" s="301" t="s">
        <v>293</v>
      </c>
      <c r="C166" s="56">
        <v>6008</v>
      </c>
      <c r="D166" s="331">
        <v>9.9</v>
      </c>
      <c r="E166" s="302">
        <v>0</v>
      </c>
      <c r="F166" s="31" t="str">
        <f>IFERROR(VLOOKUP($C166,[15]Nod!$A$3:$E$986,4,FALSE)," ")</f>
        <v>LSA230</v>
      </c>
      <c r="G166" s="31">
        <f>IFERROR(VLOOKUP($C166,[15]Nod!$A$3:$E$986,5,FALSE)," ")</f>
        <v>5</v>
      </c>
      <c r="L166" s="281"/>
      <c r="M166" s="281"/>
    </row>
    <row r="167" spans="1:13" ht="15" customHeight="1">
      <c r="A167" s="301" t="s">
        <v>229</v>
      </c>
      <c r="C167" s="56">
        <v>6008</v>
      </c>
      <c r="D167" s="331">
        <v>5</v>
      </c>
      <c r="E167" s="302">
        <v>0</v>
      </c>
      <c r="F167" s="31" t="str">
        <f>IFERROR(VLOOKUP($C167,[15]Nod!$A$3:$E$986,4,FALSE)," ")</f>
        <v>LSA230</v>
      </c>
      <c r="G167" s="31">
        <f>IFERROR(VLOOKUP($C167,[15]Nod!$A$3:$E$986,5,FALSE)," ")</f>
        <v>5</v>
      </c>
      <c r="L167" s="281"/>
      <c r="M167" s="281"/>
    </row>
    <row r="168" spans="1:13" ht="15" customHeight="1">
      <c r="A168" s="301" t="s">
        <v>240</v>
      </c>
      <c r="C168" s="56">
        <v>6008</v>
      </c>
      <c r="D168" s="331">
        <v>120</v>
      </c>
      <c r="E168" s="302">
        <v>0</v>
      </c>
      <c r="F168" s="31" t="str">
        <f>IFERROR(VLOOKUP($C168,[15]Nod!$A$3:$E$986,4,FALSE)," ")</f>
        <v>LSA230</v>
      </c>
      <c r="G168" s="31">
        <f>IFERROR(VLOOKUP($C168,[15]Nod!$A$3:$E$986,5,FALSE)," ")</f>
        <v>5</v>
      </c>
      <c r="L168" s="281"/>
      <c r="M168" s="281"/>
    </row>
    <row r="169" spans="1:13" ht="15" customHeight="1">
      <c r="A169" s="301" t="s">
        <v>218</v>
      </c>
      <c r="C169" s="56">
        <v>6008</v>
      </c>
      <c r="D169" s="331">
        <v>9.9700000000000006</v>
      </c>
      <c r="E169" s="48">
        <v>0</v>
      </c>
      <c r="F169" s="31" t="str">
        <f>IFERROR(VLOOKUP($C169,[15]Nod!$A$3:$E$986,4,FALSE)," ")</f>
        <v>LSA230</v>
      </c>
      <c r="G169" s="31">
        <f>IFERROR(VLOOKUP($C169,[15]Nod!$A$3:$E$986,5,FALSE)," ")</f>
        <v>5</v>
      </c>
      <c r="L169" s="281"/>
      <c r="M169" s="281"/>
    </row>
    <row r="170" spans="1:13" ht="15" customHeight="1">
      <c r="A170" s="301" t="s">
        <v>230</v>
      </c>
      <c r="C170" s="56">
        <v>6008</v>
      </c>
      <c r="D170" s="339">
        <v>9.9700000000000006</v>
      </c>
      <c r="E170" s="48">
        <v>0</v>
      </c>
      <c r="F170" s="31" t="str">
        <f>IFERROR(VLOOKUP($C170,[15]Nod!$A$3:$E$986,4,FALSE)," ")</f>
        <v>LSA230</v>
      </c>
      <c r="G170" s="31">
        <f>IFERROR(VLOOKUP($C170,[15]Nod!$A$3:$E$986,5,FALSE)," ")</f>
        <v>5</v>
      </c>
      <c r="L170" s="281"/>
      <c r="M170" s="281"/>
    </row>
    <row r="171" spans="1:13" ht="15" customHeight="1">
      <c r="A171" s="301" t="s">
        <v>231</v>
      </c>
      <c r="C171" s="56">
        <v>6008</v>
      </c>
      <c r="D171" s="339">
        <v>9.8800000000000008</v>
      </c>
      <c r="E171" s="48">
        <v>0</v>
      </c>
      <c r="F171" s="31" t="str">
        <f>IFERROR(VLOOKUP($C171,[15]Nod!$A$3:$E$986,4,FALSE)," ")</f>
        <v>LSA230</v>
      </c>
      <c r="G171" s="31">
        <f>IFERROR(VLOOKUP($C171,[15]Nod!$A$3:$E$986,5,FALSE)," ")</f>
        <v>5</v>
      </c>
      <c r="L171" s="281"/>
      <c r="M171" s="281"/>
    </row>
    <row r="172" spans="1:13" ht="15" customHeight="1">
      <c r="A172" s="301" t="s">
        <v>292</v>
      </c>
      <c r="C172" s="56">
        <v>6008</v>
      </c>
      <c r="D172" s="331">
        <v>3.24</v>
      </c>
      <c r="E172" s="48">
        <v>0</v>
      </c>
      <c r="F172" s="31" t="str">
        <f>IFERROR(VLOOKUP($C172,[15]Nod!$A$3:$E$986,4,FALSE)," ")</f>
        <v>LSA230</v>
      </c>
      <c r="G172" s="31">
        <f>IFERROR(VLOOKUP($C172,[15]Nod!$A$3:$E$986,5,FALSE)," ")</f>
        <v>5</v>
      </c>
      <c r="L172" s="281"/>
      <c r="M172" s="281"/>
    </row>
    <row r="173" spans="1:13" ht="15" customHeight="1">
      <c r="A173" s="301" t="s">
        <v>241</v>
      </c>
      <c r="B173" s="59"/>
      <c r="C173" s="56">
        <v>6008</v>
      </c>
      <c r="D173" s="331">
        <v>2.4</v>
      </c>
      <c r="E173" s="48">
        <v>0</v>
      </c>
      <c r="F173" s="31" t="str">
        <f>IFERROR(VLOOKUP($C173,[15]Nod!$A$3:$E$986,4,FALSE)," ")</f>
        <v>LSA230</v>
      </c>
      <c r="G173" s="31">
        <f>IFERROR(VLOOKUP($C173,[15]Nod!$A$3:$E$986,5,FALSE)," ")</f>
        <v>5</v>
      </c>
      <c r="L173" s="281"/>
      <c r="M173" s="281"/>
    </row>
    <row r="174" spans="1:13" ht="15" customHeight="1">
      <c r="A174" s="301" t="s">
        <v>242</v>
      </c>
      <c r="B174" s="59"/>
      <c r="C174" s="56">
        <v>6008</v>
      </c>
      <c r="D174" s="331">
        <v>9.9</v>
      </c>
      <c r="E174" s="48">
        <v>0</v>
      </c>
      <c r="F174" s="31" t="str">
        <f>IFERROR(VLOOKUP($C174,[15]Nod!$A$3:$E$986,4,FALSE)," ")</f>
        <v>LSA230</v>
      </c>
      <c r="G174" s="31">
        <f>IFERROR(VLOOKUP($C174,[15]Nod!$A$3:$E$986,5,FALSE)," ")</f>
        <v>5</v>
      </c>
      <c r="L174" s="281"/>
      <c r="M174" s="281"/>
    </row>
    <row r="175" spans="1:13" ht="15" customHeight="1">
      <c r="A175" s="301" t="s">
        <v>291</v>
      </c>
      <c r="B175" s="59"/>
      <c r="C175" s="56">
        <v>6008</v>
      </c>
      <c r="D175" s="338">
        <v>9.99</v>
      </c>
      <c r="E175" s="48">
        <v>0</v>
      </c>
      <c r="F175" s="31" t="str">
        <f>IFERROR(VLOOKUP($C175,[15]Nod!$A$3:$E$986,4,FALSE)," ")</f>
        <v>LSA230</v>
      </c>
      <c r="G175" s="31">
        <f>IFERROR(VLOOKUP($C175,[15]Nod!$A$3:$E$986,5,FALSE)," ")</f>
        <v>5</v>
      </c>
      <c r="L175" s="281"/>
      <c r="M175" s="281"/>
    </row>
    <row r="176" spans="1:13" ht="15" customHeight="1">
      <c r="A176" s="340" t="s">
        <v>290</v>
      </c>
      <c r="B176" s="59"/>
      <c r="C176" s="56">
        <v>6008</v>
      </c>
      <c r="D176" s="331">
        <v>9.9</v>
      </c>
      <c r="E176" s="48">
        <v>0</v>
      </c>
      <c r="F176" s="31" t="str">
        <f>IFERROR(VLOOKUP($C176,[15]Nod!$A$3:$E$986,4,FALSE)," ")</f>
        <v>LSA230</v>
      </c>
      <c r="G176" s="31">
        <f>IFERROR(VLOOKUP($C176,[15]Nod!$A$3:$E$986,5,FALSE)," ")</f>
        <v>5</v>
      </c>
      <c r="L176" s="281"/>
      <c r="M176" s="281"/>
    </row>
    <row r="177" spans="1:13" ht="15" customHeight="1">
      <c r="A177" s="301" t="s">
        <v>235</v>
      </c>
      <c r="B177" s="59"/>
      <c r="C177" s="56">
        <v>6008</v>
      </c>
      <c r="D177" s="338">
        <v>9.99</v>
      </c>
      <c r="E177" s="48">
        <v>0</v>
      </c>
      <c r="F177" s="31" t="str">
        <f>IFERROR(VLOOKUP($C177,[15]Nod!$A$3:$E$986,4,FALSE)," ")</f>
        <v>LSA230</v>
      </c>
      <c r="G177" s="31">
        <f>IFERROR(VLOOKUP($C177,[15]Nod!$A$3:$E$986,5,FALSE)," ")</f>
        <v>5</v>
      </c>
      <c r="L177" s="281"/>
      <c r="M177" s="281"/>
    </row>
    <row r="178" spans="1:13" ht="15" customHeight="1">
      <c r="A178" s="301" t="s">
        <v>289</v>
      </c>
      <c r="B178" s="59"/>
      <c r="C178" s="56">
        <v>6008</v>
      </c>
      <c r="D178" s="331">
        <v>5</v>
      </c>
      <c r="E178" s="48">
        <v>0</v>
      </c>
      <c r="F178" s="31" t="str">
        <f>IFERROR(VLOOKUP($C178,[15]Nod!$A$3:$E$986,4,FALSE)," ")</f>
        <v>LSA230</v>
      </c>
      <c r="G178" s="31">
        <f>IFERROR(VLOOKUP($C178,[15]Nod!$A$3:$E$986,5,FALSE)," ")</f>
        <v>5</v>
      </c>
      <c r="L178" s="281"/>
      <c r="M178" s="281"/>
    </row>
    <row r="179" spans="1:13" ht="15" customHeight="1">
      <c r="A179" s="301" t="s">
        <v>243</v>
      </c>
      <c r="B179" s="59"/>
      <c r="C179" s="56">
        <v>6008</v>
      </c>
      <c r="D179" s="331">
        <v>5</v>
      </c>
      <c r="E179" s="48">
        <v>0</v>
      </c>
      <c r="F179" s="31" t="str">
        <f>IFERROR(VLOOKUP($C179,[15]Nod!$A$3:$E$986,4,FALSE)," ")</f>
        <v>LSA230</v>
      </c>
      <c r="G179" s="31">
        <f>IFERROR(VLOOKUP($C179,[15]Nod!$A$3:$E$986,5,FALSE)," ")</f>
        <v>5</v>
      </c>
      <c r="L179" s="281"/>
      <c r="M179" s="281"/>
    </row>
    <row r="180" spans="1:13" ht="15" customHeight="1">
      <c r="A180" s="301" t="s">
        <v>244</v>
      </c>
      <c r="B180" s="59"/>
      <c r="C180" s="56">
        <v>6008</v>
      </c>
      <c r="D180" s="338">
        <v>7.5</v>
      </c>
      <c r="E180" s="48">
        <v>0</v>
      </c>
      <c r="F180" s="31" t="str">
        <f>IFERROR(VLOOKUP($C180,[15]Nod!$A$3:$E$986,4,FALSE)," ")</f>
        <v>LSA230</v>
      </c>
      <c r="G180" s="31">
        <f>IFERROR(VLOOKUP($C180,[15]Nod!$A$3:$E$986,5,FALSE)," ")</f>
        <v>5</v>
      </c>
      <c r="L180" s="281"/>
      <c r="M180" s="281"/>
    </row>
    <row r="181" spans="1:13" ht="15" customHeight="1">
      <c r="A181" s="301" t="s">
        <v>288</v>
      </c>
      <c r="B181" s="59"/>
      <c r="C181" s="56">
        <v>6008</v>
      </c>
      <c r="D181" s="331">
        <v>10</v>
      </c>
      <c r="E181" s="48">
        <v>0</v>
      </c>
      <c r="F181" s="31" t="str">
        <f>IFERROR(VLOOKUP($C181,[15]Nod!$A$3:$E$986,4,FALSE)," ")</f>
        <v>LSA230</v>
      </c>
      <c r="G181" s="31">
        <f>IFERROR(VLOOKUP($C181,[15]Nod!$A$3:$E$986,5,FALSE)," ")</f>
        <v>5</v>
      </c>
      <c r="L181" s="281"/>
      <c r="M181" s="281"/>
    </row>
    <row r="182" spans="1:13" ht="15" customHeight="1">
      <c r="A182" s="314" t="s">
        <v>287</v>
      </c>
      <c r="B182" s="59"/>
      <c r="C182" s="56">
        <v>6008</v>
      </c>
      <c r="D182" s="331">
        <v>8.0399999999999991</v>
      </c>
      <c r="E182" s="48">
        <v>0</v>
      </c>
      <c r="F182" s="31" t="str">
        <f>IFERROR(VLOOKUP($C182,[15]Nod!$A$3:$E$986,4,FALSE)," ")</f>
        <v>LSA230</v>
      </c>
      <c r="G182" s="31">
        <f>IFERROR(VLOOKUP($C182,[15]Nod!$A$3:$E$986,5,FALSE)," ")</f>
        <v>5</v>
      </c>
      <c r="L182" s="281"/>
      <c r="M182" s="281"/>
    </row>
    <row r="183" spans="1:13" ht="15" customHeight="1">
      <c r="A183" s="301" t="s">
        <v>232</v>
      </c>
      <c r="B183" s="59"/>
      <c r="C183" s="56">
        <v>6008</v>
      </c>
      <c r="D183" s="331">
        <v>7.56</v>
      </c>
      <c r="E183" s="40">
        <v>0</v>
      </c>
      <c r="F183" s="31" t="str">
        <f>IFERROR(VLOOKUP($C183,[15]Nod!$A$3:$E$986,4,FALSE)," ")</f>
        <v>LSA230</v>
      </c>
      <c r="G183" s="31">
        <f>IFERROR(VLOOKUP($C183,[15]Nod!$A$3:$E$986,5,FALSE)," ")</f>
        <v>5</v>
      </c>
      <c r="L183" s="281"/>
      <c r="M183" s="281"/>
    </row>
    <row r="184" spans="1:13" ht="15" customHeight="1">
      <c r="A184" s="301" t="s">
        <v>233</v>
      </c>
      <c r="B184" s="59"/>
      <c r="C184" s="56">
        <v>6008</v>
      </c>
      <c r="D184" s="331">
        <v>9.9499999999999993</v>
      </c>
      <c r="E184" s="40">
        <v>0</v>
      </c>
      <c r="F184" s="31" t="str">
        <f>IFERROR(VLOOKUP($C184,[15]Nod!$A$3:$E$986,4,FALSE)," ")</f>
        <v>LSA230</v>
      </c>
      <c r="G184" s="31">
        <f>IFERROR(VLOOKUP($C184,[15]Nod!$A$3:$E$986,5,FALSE)," ")</f>
        <v>5</v>
      </c>
      <c r="L184" s="281"/>
      <c r="M184" s="281"/>
    </row>
    <row r="185" spans="1:13" ht="15" customHeight="1">
      <c r="A185" s="301" t="s">
        <v>234</v>
      </c>
      <c r="B185" s="59"/>
      <c r="C185" s="56">
        <v>6008</v>
      </c>
      <c r="D185" s="331">
        <v>5.0999999999999996</v>
      </c>
      <c r="E185" s="40">
        <v>0</v>
      </c>
      <c r="F185" s="31" t="str">
        <f>IFERROR(VLOOKUP($C185,[15]Nod!$A$3:$E$986,4,FALSE)," ")</f>
        <v>LSA230</v>
      </c>
      <c r="G185" s="31">
        <f>IFERROR(VLOOKUP($C185,[15]Nod!$A$3:$E$986,5,FALSE)," ")</f>
        <v>5</v>
      </c>
      <c r="L185" s="281"/>
      <c r="M185" s="281"/>
    </row>
    <row r="186" spans="1:13" ht="15" customHeight="1">
      <c r="A186" s="301" t="s">
        <v>286</v>
      </c>
      <c r="B186" s="59"/>
      <c r="C186" s="56">
        <v>6008</v>
      </c>
      <c r="D186" s="331">
        <v>9.99</v>
      </c>
      <c r="E186" s="40">
        <v>0</v>
      </c>
      <c r="F186" s="31" t="str">
        <f>IFERROR(VLOOKUP($C186,[15]Nod!$A$3:$E$986,4,FALSE)," ")</f>
        <v>LSA230</v>
      </c>
      <c r="G186" s="31">
        <f>IFERROR(VLOOKUP($C186,[15]Nod!$A$3:$E$986,5,FALSE)," ")</f>
        <v>5</v>
      </c>
      <c r="L186" s="281"/>
      <c r="M186" s="281"/>
    </row>
    <row r="187" spans="1:13" ht="15" customHeight="1">
      <c r="A187" s="301" t="s">
        <v>285</v>
      </c>
      <c r="B187" s="59"/>
      <c r="C187" s="56">
        <v>6008</v>
      </c>
      <c r="D187" s="331">
        <v>9.9</v>
      </c>
      <c r="E187" s="40">
        <v>0</v>
      </c>
      <c r="F187" s="31" t="str">
        <f>IFERROR(VLOOKUP($C187,[15]Nod!$A$3:$E$986,4,FALSE)," ")</f>
        <v>LSA230</v>
      </c>
      <c r="G187" s="31">
        <f>IFERROR(VLOOKUP($C187,[15]Nod!$A$3:$E$986,5,FALSE)," ")</f>
        <v>5</v>
      </c>
      <c r="L187" s="281"/>
      <c r="M187" s="281"/>
    </row>
    <row r="188" spans="1:13" ht="15" customHeight="1">
      <c r="A188" s="301" t="s">
        <v>236</v>
      </c>
      <c r="C188" s="56">
        <v>6008</v>
      </c>
      <c r="D188" s="331">
        <v>10</v>
      </c>
      <c r="E188" s="39">
        <v>0</v>
      </c>
      <c r="F188" s="31" t="str">
        <f>IFERROR(VLOOKUP($C188,[15]Nod!$A$3:$E$986,4,FALSE)," ")</f>
        <v>LSA230</v>
      </c>
      <c r="G188" s="31">
        <f>IFERROR(VLOOKUP($C188,[15]Nod!$A$3:$E$986,5,FALSE)," ")</f>
        <v>5</v>
      </c>
      <c r="L188" s="281"/>
      <c r="M188" s="281"/>
    </row>
    <row r="189" spans="1:13" ht="15" customHeight="1">
      <c r="A189" s="301" t="s">
        <v>237</v>
      </c>
      <c r="C189" s="56">
        <v>6008</v>
      </c>
      <c r="D189" s="331">
        <v>9.99</v>
      </c>
      <c r="E189" s="39">
        <v>0</v>
      </c>
      <c r="F189" s="31" t="str">
        <f>IFERROR(VLOOKUP($C189,[15]Nod!$A$3:$E$986,4,FALSE)," ")</f>
        <v>LSA230</v>
      </c>
      <c r="G189" s="31">
        <f>IFERROR(VLOOKUP($C189,[15]Nod!$A$3:$E$986,5,FALSE)," ")</f>
        <v>5</v>
      </c>
      <c r="L189" s="281"/>
      <c r="M189" s="281"/>
    </row>
    <row r="190" spans="1:13" ht="15" customHeight="1">
      <c r="A190" s="314" t="s">
        <v>284</v>
      </c>
      <c r="C190" s="56">
        <v>6008</v>
      </c>
      <c r="D190" s="331">
        <v>7.3</v>
      </c>
      <c r="E190" s="39">
        <v>0</v>
      </c>
      <c r="F190" s="31" t="str">
        <f>IFERROR(VLOOKUP($C190,[15]Nod!$A$3:$E$986,4,FALSE)," ")</f>
        <v>LSA230</v>
      </c>
      <c r="G190" s="31">
        <f>IFERROR(VLOOKUP($C190,[15]Nod!$A$3:$E$986,5,FALSE)," ")</f>
        <v>5</v>
      </c>
      <c r="L190" s="281"/>
      <c r="M190" s="281"/>
    </row>
    <row r="191" spans="1:13" ht="15" customHeight="1">
      <c r="A191" s="314" t="s">
        <v>283</v>
      </c>
      <c r="C191" s="56">
        <v>6008</v>
      </c>
      <c r="D191" s="331">
        <v>19.8</v>
      </c>
      <c r="E191" s="39">
        <v>0</v>
      </c>
      <c r="F191" s="31" t="str">
        <f>IFERROR(VLOOKUP($C191,[15]Nod!$A$3:$E$986,4,FALSE)," ")</f>
        <v>LSA230</v>
      </c>
      <c r="G191" s="31">
        <f>IFERROR(VLOOKUP($C191,[15]Nod!$A$3:$E$986,5,FALSE)," ")</f>
        <v>5</v>
      </c>
      <c r="L191" s="281"/>
      <c r="M191" s="281"/>
    </row>
    <row r="192" spans="1:13" ht="15" customHeight="1">
      <c r="A192" s="314" t="s">
        <v>282</v>
      </c>
      <c r="C192" s="56">
        <v>6008</v>
      </c>
      <c r="D192" s="331">
        <v>125</v>
      </c>
      <c r="E192" s="39">
        <v>5</v>
      </c>
      <c r="F192" s="31" t="str">
        <f>IFERROR(VLOOKUP($C192,[15]Nod!$A$3:$E$986,4,FALSE)," ")</f>
        <v>LSA230</v>
      </c>
      <c r="G192" s="31">
        <f>IFERROR(VLOOKUP($C192,[15]Nod!$A$3:$E$986,5,FALSE)," ")</f>
        <v>5</v>
      </c>
      <c r="L192" s="281"/>
      <c r="M192" s="281"/>
    </row>
    <row r="193" spans="1:13" ht="15" customHeight="1">
      <c r="A193" s="314" t="s">
        <v>281</v>
      </c>
      <c r="C193" s="56">
        <v>6008</v>
      </c>
      <c r="D193" s="331">
        <v>68.400000000000006</v>
      </c>
      <c r="E193" s="39">
        <v>7</v>
      </c>
      <c r="F193" s="31" t="str">
        <f>IFERROR(VLOOKUP($C193,[15]Nod!$A$3:$E$986,4,FALSE)," ")</f>
        <v>LSA230</v>
      </c>
      <c r="G193" s="31">
        <f>IFERROR(VLOOKUP($C193,[15]Nod!$A$3:$E$986,5,FALSE)," ")</f>
        <v>5</v>
      </c>
      <c r="L193" s="281"/>
      <c r="M193" s="281"/>
    </row>
    <row r="194" spans="1:13" ht="15" customHeight="1">
      <c r="A194" s="314" t="s">
        <v>280</v>
      </c>
      <c r="C194" s="56">
        <v>6008</v>
      </c>
      <c r="D194" s="331">
        <v>63</v>
      </c>
      <c r="E194" s="39">
        <v>1</v>
      </c>
      <c r="F194" s="31" t="str">
        <f>IFERROR(VLOOKUP($C194,[15]Nod!$A$3:$E$986,4,FALSE)," ")</f>
        <v>LSA230</v>
      </c>
      <c r="G194" s="31">
        <f>IFERROR(VLOOKUP($C194,[15]Nod!$A$3:$E$986,5,FALSE)," ")</f>
        <v>5</v>
      </c>
      <c r="L194" s="281"/>
      <c r="M194" s="281"/>
    </row>
    <row r="195" spans="1:13" ht="15" customHeight="1">
      <c r="A195" s="314" t="s">
        <v>279</v>
      </c>
      <c r="C195" s="56">
        <v>6008</v>
      </c>
      <c r="D195" s="331">
        <v>44</v>
      </c>
      <c r="E195" s="39">
        <v>3</v>
      </c>
      <c r="F195" s="31" t="str">
        <f>IFERROR(VLOOKUP($C195,[15]Nod!$A$3:$E$986,4,FALSE)," ")</f>
        <v>LSA230</v>
      </c>
      <c r="G195" s="31">
        <f>IFERROR(VLOOKUP($C195,[15]Nod!$A$3:$E$986,5,FALSE)," ")</f>
        <v>5</v>
      </c>
      <c r="L195" s="281"/>
      <c r="M195" s="281"/>
    </row>
    <row r="196" spans="1:13" ht="15" customHeight="1">
      <c r="A196" s="314" t="s">
        <v>278</v>
      </c>
      <c r="C196" s="56">
        <v>6008</v>
      </c>
      <c r="D196" s="331">
        <v>138</v>
      </c>
      <c r="E196" s="39">
        <v>7</v>
      </c>
      <c r="F196" s="31" t="str">
        <f>IFERROR(VLOOKUP($C196,[15]Nod!$A$3:$E$986,4,FALSE)," ")</f>
        <v>LSA230</v>
      </c>
      <c r="G196" s="31">
        <f>IFERROR(VLOOKUP($C196,[15]Nod!$A$3:$E$986,5,FALSE)," ")</f>
        <v>5</v>
      </c>
      <c r="L196" s="281"/>
      <c r="M196" s="281"/>
    </row>
    <row r="197" spans="1:13" ht="15" customHeight="1">
      <c r="A197" s="314" t="s">
        <v>277</v>
      </c>
      <c r="C197" s="56">
        <v>6008</v>
      </c>
      <c r="D197" s="331">
        <v>90</v>
      </c>
      <c r="E197" s="39">
        <v>7</v>
      </c>
      <c r="F197" s="31" t="str">
        <f>IFERROR(VLOOKUP($C197,[15]Nod!$A$3:$E$986,4,FALSE)," ")</f>
        <v>LSA230</v>
      </c>
      <c r="G197" s="31">
        <f>IFERROR(VLOOKUP($C197,[15]Nod!$A$3:$E$986,5,FALSE)," ")</f>
        <v>5</v>
      </c>
      <c r="L197" s="281"/>
      <c r="M197" s="281"/>
    </row>
    <row r="198" spans="1:13" ht="15" customHeight="1">
      <c r="A198" s="314" t="s">
        <v>276</v>
      </c>
      <c r="C198" s="56">
        <v>6008</v>
      </c>
      <c r="D198" s="331">
        <v>150</v>
      </c>
      <c r="E198" s="39">
        <v>11</v>
      </c>
      <c r="F198" s="31" t="str">
        <f>IFERROR(VLOOKUP($C198,[15]Nod!$A$3:$E$986,4,FALSE)," ")</f>
        <v>LSA230</v>
      </c>
      <c r="G198" s="31">
        <f>IFERROR(VLOOKUP($C198,[15]Nod!$A$3:$E$986,5,FALSE)," ")</f>
        <v>5</v>
      </c>
      <c r="L198" s="281"/>
      <c r="M198" s="281"/>
    </row>
    <row r="199" spans="1:13" ht="15" customHeight="1">
      <c r="A199" s="314" t="s">
        <v>275</v>
      </c>
      <c r="C199" s="56">
        <v>6008</v>
      </c>
      <c r="D199" s="331">
        <v>22</v>
      </c>
      <c r="E199" s="39">
        <v>12</v>
      </c>
      <c r="F199" s="31" t="str">
        <f>IFERROR(VLOOKUP($C199,[15]Nod!$A$3:$E$986,4,FALSE)," ")</f>
        <v>LSA230</v>
      </c>
      <c r="G199" s="31">
        <f>IFERROR(VLOOKUP($C199,[15]Nod!$A$3:$E$986,5,FALSE)," ")</f>
        <v>5</v>
      </c>
      <c r="L199" s="281"/>
      <c r="M199" s="281"/>
    </row>
    <row r="200" spans="1:13" ht="15" customHeight="1">
      <c r="A200" s="314" t="s">
        <v>274</v>
      </c>
      <c r="C200" s="56">
        <v>6008</v>
      </c>
      <c r="D200" s="331">
        <v>22</v>
      </c>
      <c r="E200" s="39">
        <v>12</v>
      </c>
      <c r="F200" s="31" t="str">
        <f>IFERROR(VLOOKUP($C200,[15]Nod!$A$3:$E$986,4,FALSE)," ")</f>
        <v>LSA230</v>
      </c>
      <c r="G200" s="31">
        <f>IFERROR(VLOOKUP($C200,[15]Nod!$A$3:$E$986,5,FALSE)," ")</f>
        <v>5</v>
      </c>
      <c r="L200" s="281"/>
      <c r="M200" s="281"/>
    </row>
    <row r="201" spans="1:13" ht="15" customHeight="1">
      <c r="A201" s="314" t="s">
        <v>273</v>
      </c>
      <c r="C201" s="39"/>
      <c r="D201" s="331"/>
      <c r="E201" s="39"/>
      <c r="L201" s="281"/>
      <c r="M201" s="281"/>
    </row>
    <row r="202" spans="1:13" ht="15" customHeight="1">
      <c r="A202" s="314" t="s">
        <v>272</v>
      </c>
      <c r="C202" s="39"/>
      <c r="D202" s="331"/>
      <c r="E202" s="39"/>
      <c r="L202" s="281"/>
      <c r="M202" s="281"/>
    </row>
    <row r="203" spans="1:13" ht="15" customHeight="1" thickBot="1">
      <c r="A203" s="41" t="s">
        <v>35</v>
      </c>
      <c r="B203" s="59"/>
      <c r="C203" s="39"/>
      <c r="D203" s="333"/>
      <c r="E203" s="40"/>
      <c r="F203" s="31" t="str">
        <f>IFERROR(VLOOKUP($C203,[15]Nod!$A$3:$E$986,4,FALSE)," ")</f>
        <v xml:space="preserve"> </v>
      </c>
      <c r="G203" s="31" t="str">
        <f>IFERROR(VLOOKUP($C203,[15]Nod!$A$3:$E$986,5,FALSE)," ")</f>
        <v xml:space="preserve"> </v>
      </c>
      <c r="L203" s="281"/>
      <c r="M203" s="281"/>
    </row>
    <row r="204" spans="1:13" ht="15" customHeight="1">
      <c r="A204" s="47">
        <v>6</v>
      </c>
      <c r="B204" s="44"/>
      <c r="C204" s="45"/>
      <c r="D204" s="332">
        <f>SUM(D205:D223)</f>
        <v>321.21000000000004</v>
      </c>
      <c r="E204" s="297"/>
      <c r="F204" s="31" t="str">
        <f>IFERROR(VLOOKUP($C204,[15]Nod!$A$3:$E$986,4,FALSE)," ")</f>
        <v xml:space="preserve"> </v>
      </c>
      <c r="G204" s="31" t="str">
        <f>IFERROR(VLOOKUP($C204,[15]Nod!$A$3:$E$986,5,FALSE)," ")</f>
        <v xml:space="preserve"> </v>
      </c>
      <c r="L204" s="281"/>
      <c r="M204" s="281"/>
    </row>
    <row r="205" spans="1:13" ht="15" customHeight="1">
      <c r="A205" s="301" t="s">
        <v>91</v>
      </c>
      <c r="B205" s="3"/>
      <c r="C205" s="40">
        <v>6005</v>
      </c>
      <c r="D205" s="339">
        <v>147</v>
      </c>
      <c r="E205" s="302">
        <v>0</v>
      </c>
      <c r="F205" s="31" t="str">
        <f>IFERROR(VLOOKUP($C205,[15]Nod!$A$3:$E$986,4,FALSE)," ")</f>
        <v>CHO230</v>
      </c>
      <c r="G205" s="31">
        <f>IFERROR(VLOOKUP($C205,[15]Nod!$A$3:$E$986,5,FALSE)," ")</f>
        <v>6</v>
      </c>
      <c r="L205" s="281"/>
      <c r="M205" s="281"/>
    </row>
    <row r="206" spans="1:13" ht="15" customHeight="1">
      <c r="A206" s="301" t="s">
        <v>245</v>
      </c>
      <c r="B206" s="3"/>
      <c r="C206" s="54">
        <v>6005</v>
      </c>
      <c r="D206" s="331">
        <v>4.3</v>
      </c>
      <c r="E206" s="302">
        <v>0</v>
      </c>
      <c r="F206" s="31" t="str">
        <f>IFERROR(VLOOKUP($C206,[15]Nod!$A$3:$E$986,4,FALSE)," ")</f>
        <v>CHO230</v>
      </c>
      <c r="G206" s="31">
        <f>IFERROR(VLOOKUP($C206,[15]Nod!$A$3:$E$986,5,FALSE)," ")</f>
        <v>6</v>
      </c>
      <c r="L206" s="281"/>
      <c r="M206" s="281"/>
    </row>
    <row r="207" spans="1:13" ht="15" customHeight="1">
      <c r="A207" s="301" t="s">
        <v>271</v>
      </c>
      <c r="B207" s="3"/>
      <c r="C207" s="54">
        <v>6005</v>
      </c>
      <c r="D207" s="331">
        <v>0.96</v>
      </c>
      <c r="E207" s="302">
        <v>0</v>
      </c>
      <c r="F207" s="31" t="str">
        <f>IFERROR(VLOOKUP($C207,[15]Nod!$A$3:$E$986,4,FALSE)," ")</f>
        <v>CHO230</v>
      </c>
      <c r="G207" s="31">
        <f>IFERROR(VLOOKUP($C207,[15]Nod!$A$3:$E$986,5,FALSE)," ")</f>
        <v>6</v>
      </c>
      <c r="L207" s="281"/>
      <c r="M207" s="281"/>
    </row>
    <row r="208" spans="1:13" ht="15" customHeight="1">
      <c r="A208" s="301" t="s">
        <v>270</v>
      </c>
      <c r="B208" s="3"/>
      <c r="C208" s="54">
        <v>6005</v>
      </c>
      <c r="D208" s="331">
        <v>3</v>
      </c>
      <c r="E208" s="302">
        <v>0</v>
      </c>
      <c r="F208" s="31" t="str">
        <f>IFERROR(VLOOKUP($C208,[15]Nod!$A$3:$E$986,4,FALSE)," ")</f>
        <v>CHO230</v>
      </c>
      <c r="G208" s="31">
        <f>IFERROR(VLOOKUP($C208,[15]Nod!$A$3:$E$986,5,FALSE)," ")</f>
        <v>6</v>
      </c>
      <c r="L208" s="281"/>
      <c r="M208" s="281"/>
    </row>
    <row r="209" spans="1:13" ht="15" customHeight="1">
      <c r="A209" s="301" t="s">
        <v>269</v>
      </c>
      <c r="B209" s="3"/>
      <c r="C209" s="54">
        <v>6005</v>
      </c>
      <c r="D209" s="331">
        <v>0.5</v>
      </c>
      <c r="E209" s="302">
        <v>0</v>
      </c>
      <c r="F209" s="31" t="str">
        <f>IFERROR(VLOOKUP($C209,[15]Nod!$A$3:$E$986,4,FALSE)," ")</f>
        <v>CHO230</v>
      </c>
      <c r="G209" s="31">
        <f>IFERROR(VLOOKUP($C209,[15]Nod!$A$3:$E$986,5,FALSE)," ")</f>
        <v>6</v>
      </c>
      <c r="L209" s="281"/>
      <c r="M209" s="281"/>
    </row>
    <row r="210" spans="1:13" ht="15" customHeight="1">
      <c r="A210" s="301" t="s">
        <v>268</v>
      </c>
      <c r="B210" s="3"/>
      <c r="C210" s="54">
        <v>6005</v>
      </c>
      <c r="D210" s="338">
        <v>5</v>
      </c>
      <c r="E210" s="302">
        <v>0</v>
      </c>
      <c r="F210" s="31" t="str">
        <f>IFERROR(VLOOKUP($C210,[15]Nod!$A$3:$E$986,4,FALSE)," ")</f>
        <v>CHO230</v>
      </c>
      <c r="G210" s="31">
        <f>IFERROR(VLOOKUP($C210,[15]Nod!$A$3:$E$986,5,FALSE)," ")</f>
        <v>6</v>
      </c>
      <c r="L210" s="281"/>
      <c r="M210" s="281"/>
    </row>
    <row r="211" spans="1:13" ht="15" customHeight="1">
      <c r="A211" s="301" t="s">
        <v>267</v>
      </c>
      <c r="B211" s="3"/>
      <c r="C211" s="54">
        <v>6005</v>
      </c>
      <c r="D211" s="338">
        <v>20</v>
      </c>
      <c r="E211" s="302">
        <v>0</v>
      </c>
      <c r="F211" s="31" t="str">
        <f>IFERROR(VLOOKUP($C211,[15]Nod!$A$3:$E$986,4,FALSE)," ")</f>
        <v>CHO230</v>
      </c>
      <c r="G211" s="31">
        <f>IFERROR(VLOOKUP($C211,[15]Nod!$A$3:$E$986,5,FALSE)," ")</f>
        <v>6</v>
      </c>
      <c r="L211" s="281"/>
      <c r="M211" s="281"/>
    </row>
    <row r="212" spans="1:13" ht="15" customHeight="1">
      <c r="A212" s="301" t="s">
        <v>266</v>
      </c>
      <c r="B212" s="3"/>
      <c r="C212" s="54">
        <v>6005</v>
      </c>
      <c r="D212" s="331">
        <v>5</v>
      </c>
      <c r="E212" s="302">
        <v>0</v>
      </c>
      <c r="F212" s="31" t="str">
        <f>IFERROR(VLOOKUP($C212,[15]Nod!$A$3:$E$986,4,FALSE)," ")</f>
        <v>CHO230</v>
      </c>
      <c r="G212" s="31">
        <f>IFERROR(VLOOKUP($C212,[15]Nod!$A$3:$E$986,5,FALSE)," ")</f>
        <v>6</v>
      </c>
      <c r="L212" s="281"/>
      <c r="M212" s="281"/>
    </row>
    <row r="213" spans="1:13" ht="15" customHeight="1">
      <c r="A213" s="314" t="s">
        <v>265</v>
      </c>
      <c r="B213" s="3"/>
      <c r="C213" s="54">
        <v>6005</v>
      </c>
      <c r="D213" s="331">
        <v>9.9</v>
      </c>
      <c r="E213" s="39">
        <v>0</v>
      </c>
      <c r="F213" s="31" t="str">
        <f>IFERROR(VLOOKUP($C213,[15]Nod!$A$3:$E$986,4,FALSE)," ")</f>
        <v>CHO230</v>
      </c>
      <c r="G213" s="31">
        <f>IFERROR(VLOOKUP($C213,[15]Nod!$A$3:$E$986,5,FALSE)," ")</f>
        <v>6</v>
      </c>
      <c r="L213" s="281"/>
      <c r="M213" s="281"/>
    </row>
    <row r="214" spans="1:13" ht="15" customHeight="1">
      <c r="A214" s="314" t="s">
        <v>264</v>
      </c>
      <c r="B214" s="3"/>
      <c r="C214" s="54">
        <v>6005</v>
      </c>
      <c r="D214" s="331">
        <v>3</v>
      </c>
      <c r="E214" s="39">
        <v>0</v>
      </c>
      <c r="F214" s="31" t="str">
        <f>IFERROR(VLOOKUP($C214,[15]Nod!$A$3:$E$986,4,FALSE)," ")</f>
        <v>CHO230</v>
      </c>
      <c r="G214" s="31">
        <f>IFERROR(VLOOKUP($C214,[15]Nod!$A$3:$E$986,5,FALSE)," ")</f>
        <v>6</v>
      </c>
      <c r="L214" s="281"/>
      <c r="M214" s="281"/>
    </row>
    <row r="215" spans="1:13" ht="15" customHeight="1">
      <c r="A215" s="314" t="s">
        <v>263</v>
      </c>
      <c r="B215" s="3"/>
      <c r="C215" s="54">
        <v>6005</v>
      </c>
      <c r="D215" s="331">
        <v>9.9</v>
      </c>
      <c r="E215" s="39">
        <v>0</v>
      </c>
      <c r="F215" s="31" t="str">
        <f>IFERROR(VLOOKUP($C215,[15]Nod!$A$3:$E$986,4,FALSE)," ")</f>
        <v>CHO230</v>
      </c>
      <c r="G215" s="31">
        <f>IFERROR(VLOOKUP($C215,[15]Nod!$A$3:$E$986,5,FALSE)," ")</f>
        <v>6</v>
      </c>
      <c r="L215" s="281"/>
      <c r="M215" s="281"/>
    </row>
    <row r="216" spans="1:13" ht="15" customHeight="1">
      <c r="A216" s="314" t="s">
        <v>262</v>
      </c>
      <c r="B216" s="3"/>
      <c r="C216" s="54">
        <v>6005</v>
      </c>
      <c r="D216" s="331">
        <v>4.95</v>
      </c>
      <c r="E216" s="39">
        <v>0</v>
      </c>
      <c r="F216" s="31" t="str">
        <f>IFERROR(VLOOKUP($C216,[15]Nod!$A$3:$E$986,4,FALSE)," ")</f>
        <v>CHO230</v>
      </c>
      <c r="G216" s="31">
        <f>IFERROR(VLOOKUP($C216,[15]Nod!$A$3:$E$986,5,FALSE)," ")</f>
        <v>6</v>
      </c>
      <c r="L216" s="281"/>
      <c r="M216" s="281"/>
    </row>
    <row r="217" spans="1:13" ht="15" customHeight="1">
      <c r="A217" s="314" t="s">
        <v>261</v>
      </c>
      <c r="B217" s="3"/>
      <c r="C217" s="54">
        <v>6005</v>
      </c>
      <c r="D217" s="331">
        <v>8</v>
      </c>
      <c r="E217" s="39">
        <v>0</v>
      </c>
      <c r="F217" s="31" t="str">
        <f>IFERROR(VLOOKUP($C217,[15]Nod!$A$3:$E$986,4,FALSE)," ")</f>
        <v>CHO230</v>
      </c>
      <c r="G217" s="31">
        <f>IFERROR(VLOOKUP($C217,[15]Nod!$A$3:$E$986,5,FALSE)," ")</f>
        <v>6</v>
      </c>
      <c r="L217" s="281"/>
      <c r="M217" s="281"/>
    </row>
    <row r="218" spans="1:13" ht="15" customHeight="1">
      <c r="A218" s="314" t="s">
        <v>260</v>
      </c>
      <c r="B218" s="3"/>
      <c r="C218" s="54">
        <v>6005</v>
      </c>
      <c r="D218" s="331">
        <v>9.9</v>
      </c>
      <c r="E218" s="39">
        <v>0</v>
      </c>
      <c r="F218" s="31" t="str">
        <f>IFERROR(VLOOKUP($C218,[15]Nod!$A$3:$E$986,4,FALSE)," ")</f>
        <v>CHO230</v>
      </c>
      <c r="G218" s="31">
        <f>IFERROR(VLOOKUP($C218,[15]Nod!$A$3:$E$986,5,FALSE)," ")</f>
        <v>6</v>
      </c>
      <c r="L218" s="281"/>
      <c r="M218" s="281"/>
    </row>
    <row r="219" spans="1:13" ht="15" customHeight="1">
      <c r="A219" s="314" t="s">
        <v>259</v>
      </c>
      <c r="B219" s="3"/>
      <c r="C219" s="54">
        <v>6005</v>
      </c>
      <c r="D219" s="331">
        <v>19.899999999999999</v>
      </c>
      <c r="E219" s="302">
        <v>6</v>
      </c>
      <c r="F219" s="31" t="str">
        <f>IFERROR(VLOOKUP($C219,[15]Nod!$A$3:$E$986,4,FALSE)," ")</f>
        <v>CHO230</v>
      </c>
      <c r="G219" s="31">
        <f>IFERROR(VLOOKUP($C219,[15]Nod!$A$3:$E$986,5,FALSE)," ")</f>
        <v>6</v>
      </c>
      <c r="L219" s="281"/>
      <c r="M219" s="281"/>
    </row>
    <row r="220" spans="1:13" ht="15" customHeight="1">
      <c r="A220" s="314" t="s">
        <v>258</v>
      </c>
      <c r="B220" s="3"/>
      <c r="C220" s="54">
        <v>6005</v>
      </c>
      <c r="D220" s="331">
        <v>19.899999999999999</v>
      </c>
      <c r="E220" s="302">
        <v>6</v>
      </c>
      <c r="F220" s="31" t="str">
        <f>IFERROR(VLOOKUP($C220,[15]Nod!$A$3:$E$986,4,FALSE)," ")</f>
        <v>CHO230</v>
      </c>
      <c r="G220" s="31">
        <f>IFERROR(VLOOKUP($C220,[15]Nod!$A$3:$E$986,5,FALSE)," ")</f>
        <v>6</v>
      </c>
    </row>
    <row r="221" spans="1:13" ht="15" customHeight="1">
      <c r="A221" s="314" t="s">
        <v>257</v>
      </c>
      <c r="B221" s="3"/>
      <c r="C221" s="54">
        <v>6005</v>
      </c>
      <c r="D221" s="331">
        <v>10</v>
      </c>
      <c r="E221" s="302">
        <v>7</v>
      </c>
      <c r="F221" s="31" t="str">
        <f>IFERROR(VLOOKUP($C221,[15]Nod!$A$3:$E$986,4,FALSE)," ")</f>
        <v>CHO230</v>
      </c>
      <c r="G221" s="31">
        <f>IFERROR(VLOOKUP($C221,[15]Nod!$A$3:$E$986,5,FALSE)," ")</f>
        <v>6</v>
      </c>
    </row>
    <row r="222" spans="1:13" ht="15" customHeight="1">
      <c r="A222" s="314" t="s">
        <v>256</v>
      </c>
      <c r="B222" s="3"/>
      <c r="C222" s="54">
        <v>6005</v>
      </c>
      <c r="D222" s="331">
        <v>10</v>
      </c>
      <c r="E222" s="302">
        <v>7</v>
      </c>
      <c r="F222" s="31" t="str">
        <f>IFERROR(VLOOKUP($C222,[15]Nod!$A$3:$E$986,4,FALSE)," ")</f>
        <v>CHO230</v>
      </c>
      <c r="G222" s="31">
        <f>IFERROR(VLOOKUP($C222,[15]Nod!$A$3:$E$986,5,FALSE)," ")</f>
        <v>6</v>
      </c>
    </row>
    <row r="223" spans="1:13" ht="15" customHeight="1">
      <c r="A223" s="314" t="s">
        <v>255</v>
      </c>
      <c r="B223" s="3"/>
      <c r="C223" s="54">
        <v>6005</v>
      </c>
      <c r="D223" s="331">
        <v>30</v>
      </c>
      <c r="E223" s="302">
        <v>7</v>
      </c>
      <c r="F223" s="31" t="str">
        <f>IFERROR(VLOOKUP($C223,[15]Nod!$A$3:$E$986,4,FALSE)," ")</f>
        <v>CHO230</v>
      </c>
      <c r="G223" s="31">
        <f>IFERROR(VLOOKUP($C223,[15]Nod!$A$3:$E$986,5,FALSE)," ")</f>
        <v>6</v>
      </c>
    </row>
    <row r="224" spans="1:13" ht="15" customHeight="1" thickBot="1">
      <c r="A224" s="41" t="s">
        <v>35</v>
      </c>
      <c r="B224" s="3"/>
      <c r="C224" s="40"/>
      <c r="D224" s="337"/>
      <c r="E224" s="302"/>
      <c r="F224" s="31" t="str">
        <f>IFERROR(VLOOKUP($C224,[15]Nod!$A$3:$E$986,4,FALSE)," ")</f>
        <v xml:space="preserve"> </v>
      </c>
      <c r="G224" s="31" t="str">
        <f>IFERROR(VLOOKUP($C224,[15]Nod!$A$3:$E$986,5,FALSE)," ")</f>
        <v xml:space="preserve"> </v>
      </c>
    </row>
    <row r="225" spans="1:7" ht="15" customHeight="1">
      <c r="A225" s="47">
        <v>7</v>
      </c>
      <c r="B225" s="44"/>
      <c r="C225" s="45"/>
      <c r="D225" s="332">
        <f>SUM(D226:D230)</f>
        <v>154.33000000000001</v>
      </c>
      <c r="E225" s="297"/>
      <c r="F225" s="31" t="str">
        <f>IFERROR(VLOOKUP($C225,[15]Nod!$A$3:$E$986,4,FALSE)," ")</f>
        <v xml:space="preserve"> </v>
      </c>
      <c r="G225" s="31" t="str">
        <f>IFERROR(VLOOKUP($C225,[15]Nod!$A$3:$E$986,5,FALSE)," ")</f>
        <v xml:space="preserve"> </v>
      </c>
    </row>
    <row r="226" spans="1:7" ht="15" customHeight="1">
      <c r="A226" s="301" t="s">
        <v>246</v>
      </c>
      <c r="B226" s="3"/>
      <c r="C226" s="40">
        <v>6018</v>
      </c>
      <c r="D226" s="331">
        <v>97.7</v>
      </c>
      <c r="E226" s="302">
        <v>0</v>
      </c>
      <c r="F226" s="31" t="str">
        <f>IFERROR(VLOOKUP($C226,[15]Nod!$A$3:$E$986,4,FALSE)," ")</f>
        <v>CAC115</v>
      </c>
      <c r="G226" s="31">
        <f>IFERROR(VLOOKUP($C226,[15]Nod!$A$3:$E$986,5,FALSE)," ")</f>
        <v>7</v>
      </c>
    </row>
    <row r="227" spans="1:7" ht="15" customHeight="1">
      <c r="A227" s="301" t="s">
        <v>92</v>
      </c>
      <c r="B227" s="3"/>
      <c r="C227" s="40">
        <v>6171</v>
      </c>
      <c r="D227" s="331">
        <v>53.53</v>
      </c>
      <c r="E227" s="302">
        <v>0</v>
      </c>
      <c r="F227" s="31" t="str">
        <f>IFERROR(VLOOKUP($C227,[15]Nod!$A$3:$E$986,4,FALSE)," ")</f>
        <v>PAC230</v>
      </c>
      <c r="G227" s="31">
        <f>IFERROR(VLOOKUP($C227,[15]Nod!$A$3:$E$986,5,FALSE)," ")</f>
        <v>7</v>
      </c>
    </row>
    <row r="228" spans="1:7" ht="15" customHeight="1">
      <c r="A228" s="301" t="s">
        <v>254</v>
      </c>
      <c r="B228" s="3"/>
      <c r="C228" s="40">
        <v>6002</v>
      </c>
      <c r="D228" s="331">
        <v>0.1</v>
      </c>
      <c r="E228" s="302">
        <v>0</v>
      </c>
      <c r="F228" s="31" t="str">
        <f>IFERROR(VLOOKUP($C228,[15]Nod!$A$3:$E$986,4,FALSE)," ")</f>
        <v>PAN115</v>
      </c>
      <c r="G228" s="31">
        <f>IFERROR(VLOOKUP($C228,[15]Nod!$A$3:$E$986,5,FALSE)," ")</f>
        <v>7</v>
      </c>
    </row>
    <row r="229" spans="1:7" ht="15" customHeight="1">
      <c r="A229" s="301" t="s">
        <v>247</v>
      </c>
      <c r="B229" s="3"/>
      <c r="C229" s="40">
        <v>6018</v>
      </c>
      <c r="D229" s="331">
        <v>3</v>
      </c>
      <c r="E229" s="302">
        <v>0</v>
      </c>
      <c r="F229" s="31" t="str">
        <f>IFERROR(VLOOKUP($C229,[15]Nod!$A$3:$E$986,4,FALSE)," ")</f>
        <v>CAC115</v>
      </c>
      <c r="G229" s="31">
        <f>IFERROR(VLOOKUP($C229,[15]Nod!$A$3:$E$986,5,FALSE)," ")</f>
        <v>7</v>
      </c>
    </row>
    <row r="230" spans="1:7" ht="15" customHeight="1">
      <c r="A230" s="336" t="s">
        <v>253</v>
      </c>
      <c r="B230" s="3"/>
      <c r="C230" s="40"/>
      <c r="D230" s="331"/>
      <c r="E230" s="40"/>
      <c r="F230" s="31" t="str">
        <f>IFERROR(VLOOKUP($C230,[15]Nod!$A$3:$E$986,4,FALSE)," ")</f>
        <v xml:space="preserve"> </v>
      </c>
      <c r="G230" s="31" t="str">
        <f>IFERROR(VLOOKUP($C230,[15]Nod!$A$3:$E$986,5,FALSE)," ")</f>
        <v xml:space="preserve"> </v>
      </c>
    </row>
    <row r="231" spans="1:7" ht="15" customHeight="1" thickBot="1">
      <c r="A231" s="41" t="s">
        <v>35</v>
      </c>
      <c r="B231" s="3"/>
      <c r="C231" s="40"/>
      <c r="D231" s="335"/>
      <c r="E231" s="302"/>
      <c r="F231" s="31" t="str">
        <f>IFERROR(VLOOKUP($C231,[15]Nod!$A$3:$E$986,4,FALSE)," ")</f>
        <v xml:space="preserve"> </v>
      </c>
    </row>
    <row r="232" spans="1:7" ht="15" customHeight="1">
      <c r="A232" s="36">
        <v>8</v>
      </c>
      <c r="B232" s="61"/>
      <c r="C232" s="35"/>
      <c r="D232" s="332">
        <f>SUM(D233)</f>
        <v>260</v>
      </c>
      <c r="E232" s="297"/>
      <c r="F232" s="31" t="str">
        <f>IFERROR(VLOOKUP($C232,[15]Nod!$A$3:$E$986,4,FALSE)," ")</f>
        <v xml:space="preserve"> </v>
      </c>
      <c r="G232" s="31" t="str">
        <f>IFERROR(VLOOKUP($C232,[15]Nod!$A$3:$E$986,5,FALSE)," ")</f>
        <v xml:space="preserve"> </v>
      </c>
    </row>
    <row r="233" spans="1:7" ht="15" customHeight="1">
      <c r="A233" s="51" t="s">
        <v>93</v>
      </c>
      <c r="B233" s="3"/>
      <c r="C233" s="40">
        <v>6100</v>
      </c>
      <c r="D233" s="331">
        <v>260</v>
      </c>
      <c r="E233" s="302">
        <v>0</v>
      </c>
      <c r="F233" s="31" t="str">
        <f>IFERROR(VLOOKUP($C233,[15]Nod!$A$3:$E$986,4,FALSE)," ")</f>
        <v>BAY230</v>
      </c>
      <c r="G233" s="31">
        <f>IFERROR(VLOOKUP($C233,[15]Nod!$A$3:$E$986,5,FALSE)," ")</f>
        <v>8</v>
      </c>
    </row>
    <row r="234" spans="1:7" ht="15" customHeight="1" thickBot="1">
      <c r="A234" s="41" t="s">
        <v>35</v>
      </c>
      <c r="B234" s="42"/>
      <c r="C234" s="43"/>
      <c r="D234" s="334"/>
      <c r="E234" s="315"/>
      <c r="F234" s="31" t="str">
        <f>IFERROR(VLOOKUP($C234,[15]Nod!$A$3:$E$986,4,FALSE)," ")</f>
        <v xml:space="preserve"> </v>
      </c>
      <c r="G234" s="31" t="str">
        <f>IFERROR(VLOOKUP($C234,[15]Nod!$A$3:$E$986,5,FALSE)," ")</f>
        <v xml:space="preserve"> </v>
      </c>
    </row>
    <row r="235" spans="1:7" ht="15" customHeight="1">
      <c r="A235" s="47">
        <v>9</v>
      </c>
      <c r="B235" s="62"/>
      <c r="C235" s="63"/>
      <c r="D235" s="332">
        <f>SUM(D236:D245)</f>
        <v>1565.45</v>
      </c>
      <c r="E235" s="317"/>
      <c r="F235" s="31" t="str">
        <f>IFERROR(VLOOKUP($C235,[15]Nod!$A$3:$E$986,4,FALSE)," ")</f>
        <v xml:space="preserve"> </v>
      </c>
      <c r="G235" s="31" t="str">
        <f>IFERROR(VLOOKUP($C235,[15]Nod!$A$3:$E$986,5,FALSE)," ")</f>
        <v xml:space="preserve"> </v>
      </c>
    </row>
    <row r="236" spans="1:7" ht="15" customHeight="1">
      <c r="A236" s="301" t="s">
        <v>94</v>
      </c>
      <c r="B236" s="3"/>
      <c r="C236" s="40">
        <v>6059</v>
      </c>
      <c r="D236" s="331">
        <v>68</v>
      </c>
      <c r="E236" s="302">
        <v>0</v>
      </c>
      <c r="F236" s="31" t="str">
        <f>IFERROR(VLOOKUP($C236,[15]Nod!$A$3:$E$986,4,FALSE)," ")</f>
        <v>LM1115</v>
      </c>
      <c r="G236" s="31">
        <f>IFERROR(VLOOKUP($C236,[15]Nod!$A$3:$E$986,5,FALSE)," ")</f>
        <v>9</v>
      </c>
    </row>
    <row r="237" spans="1:7" ht="15" customHeight="1">
      <c r="A237" s="301" t="s">
        <v>95</v>
      </c>
      <c r="B237" s="3"/>
      <c r="C237" s="40">
        <v>6059</v>
      </c>
      <c r="D237" s="331">
        <v>87.2</v>
      </c>
      <c r="E237" s="302">
        <v>0</v>
      </c>
      <c r="F237" s="31" t="str">
        <f>IFERROR(VLOOKUP($C237,[15]Nod!$A$3:$E$986,4,FALSE)," ")</f>
        <v>LM1115</v>
      </c>
      <c r="G237" s="31">
        <f>IFERROR(VLOOKUP($C237,[15]Nod!$A$3:$E$986,5,FALSE)," ")</f>
        <v>9</v>
      </c>
    </row>
    <row r="238" spans="1:7" ht="15" customHeight="1">
      <c r="A238" s="301" t="s">
        <v>96</v>
      </c>
      <c r="B238" s="3"/>
      <c r="C238" s="40">
        <v>6059</v>
      </c>
      <c r="D238" s="331">
        <v>150</v>
      </c>
      <c r="E238" s="302">
        <v>0</v>
      </c>
      <c r="F238" s="31" t="str">
        <f>IFERROR(VLOOKUP($C238,[15]Nod!$A$3:$E$986,4,FALSE)," ")</f>
        <v>LM1115</v>
      </c>
      <c r="G238" s="31">
        <f>IFERROR(VLOOKUP($C238,[15]Nod!$A$3:$E$986,5,FALSE)," ")</f>
        <v>9</v>
      </c>
    </row>
    <row r="239" spans="1:7" ht="15" customHeight="1">
      <c r="A239" s="301" t="s">
        <v>97</v>
      </c>
      <c r="B239" s="3"/>
      <c r="C239" s="40">
        <v>6173</v>
      </c>
      <c r="D239" s="331">
        <v>381</v>
      </c>
      <c r="E239" s="302">
        <v>0</v>
      </c>
      <c r="F239" s="31" t="str">
        <f>IFERROR(VLOOKUP($C239,[15]Nod!$A$3:$E$986,4,FALSE)," ")</f>
        <v>STR115</v>
      </c>
      <c r="G239" s="31">
        <f>IFERROR(VLOOKUP($C239,[15]Nod!$A$3:$E$986,5,FALSE)," ")</f>
        <v>9</v>
      </c>
    </row>
    <row r="240" spans="1:7" ht="15" customHeight="1">
      <c r="A240" s="301" t="s">
        <v>98</v>
      </c>
      <c r="B240" s="3"/>
      <c r="C240" s="40">
        <v>6173</v>
      </c>
      <c r="D240" s="331">
        <v>5.05</v>
      </c>
      <c r="E240" s="302">
        <v>0</v>
      </c>
      <c r="F240" s="31" t="str">
        <f>IFERROR(VLOOKUP($C240,[15]Nod!$A$3:$E$986,4,FALSE)," ")</f>
        <v>STR115</v>
      </c>
      <c r="G240" s="31">
        <f>IFERROR(VLOOKUP($C240,[15]Nod!$A$3:$E$986,5,FALSE)," ")</f>
        <v>9</v>
      </c>
    </row>
    <row r="241" spans="1:7" ht="15" customHeight="1">
      <c r="A241" s="301" t="s">
        <v>248</v>
      </c>
      <c r="B241" s="3"/>
      <c r="C241" s="40">
        <v>6059</v>
      </c>
      <c r="D241" s="331">
        <v>49.2</v>
      </c>
      <c r="E241" s="302">
        <v>0</v>
      </c>
      <c r="F241" s="31" t="str">
        <f>IFERROR(VLOOKUP($C241,[15]Nod!$A$3:$E$986,4,FALSE)," ")</f>
        <v>LM1115</v>
      </c>
      <c r="G241" s="31">
        <f>IFERROR(VLOOKUP($C241,[15]Nod!$A$3:$E$986,5,FALSE)," ")</f>
        <v>9</v>
      </c>
    </row>
    <row r="242" spans="1:7" ht="15" customHeight="1">
      <c r="A242" s="301" t="s">
        <v>249</v>
      </c>
      <c r="B242" s="3"/>
      <c r="C242" s="40">
        <v>6173</v>
      </c>
      <c r="D242" s="331">
        <v>670</v>
      </c>
      <c r="E242" s="302">
        <v>0</v>
      </c>
      <c r="F242" s="31" t="str">
        <f>IFERROR(VLOOKUP($C242,[15]Nod!$A$3:$E$986,4,FALSE)," ")</f>
        <v>STR115</v>
      </c>
      <c r="G242" s="31">
        <f>IFERROR(VLOOKUP($C242,[15]Nod!$A$3:$E$986,5,FALSE)," ")</f>
        <v>9</v>
      </c>
    </row>
    <row r="243" spans="1:7" ht="15" customHeight="1">
      <c r="A243" s="314" t="s">
        <v>252</v>
      </c>
      <c r="C243" s="40">
        <v>6173</v>
      </c>
      <c r="D243" s="331">
        <v>34</v>
      </c>
      <c r="E243" s="39">
        <v>0</v>
      </c>
      <c r="F243" s="31" t="str">
        <f>IFERROR(VLOOKUP($C243,[15]Nod!$A$3:$E$986,4,FALSE)," ")</f>
        <v>STR115</v>
      </c>
      <c r="G243" s="31">
        <f>IFERROR(VLOOKUP($C243,[15]Nod!$A$3:$E$986,5,FALSE)," ")</f>
        <v>9</v>
      </c>
    </row>
    <row r="244" spans="1:7" ht="15" customHeight="1">
      <c r="A244" s="314" t="s">
        <v>251</v>
      </c>
      <c r="C244" s="40">
        <v>6173</v>
      </c>
      <c r="D244" s="331">
        <v>34</v>
      </c>
      <c r="E244" s="39">
        <v>0</v>
      </c>
      <c r="F244" s="31" t="str">
        <f>IFERROR(VLOOKUP($C244,[15]Nod!$A$3:$E$986,4,FALSE)," ")</f>
        <v>STR115</v>
      </c>
      <c r="G244" s="31">
        <f>IFERROR(VLOOKUP($C244,[15]Nod!$A$3:$E$986,5,FALSE)," ")</f>
        <v>9</v>
      </c>
    </row>
    <row r="245" spans="1:7" ht="15" customHeight="1">
      <c r="A245" s="314" t="s">
        <v>250</v>
      </c>
      <c r="C245" s="40">
        <v>6173</v>
      </c>
      <c r="D245" s="331">
        <v>87</v>
      </c>
      <c r="E245" s="39">
        <v>0</v>
      </c>
      <c r="F245" s="31" t="str">
        <f>IFERROR(VLOOKUP($C245,[15]Nod!$A$3:$E$986,4,FALSE)," ")</f>
        <v>STR115</v>
      </c>
      <c r="G245" s="31">
        <f>IFERROR(VLOOKUP($C245,[15]Nod!$A$3:$E$986,5,FALSE)," ")</f>
        <v>9</v>
      </c>
    </row>
    <row r="246" spans="1:7" ht="15" customHeight="1" thickBot="1">
      <c r="A246" s="41" t="s">
        <v>35</v>
      </c>
      <c r="B246" s="3"/>
      <c r="C246" s="40"/>
      <c r="D246" s="333"/>
      <c r="E246" s="302"/>
      <c r="F246" s="31" t="str">
        <f>IFERROR(VLOOKUP($C246,[15]Nod!$A$3:$E$986,4,FALSE)," ")</f>
        <v xml:space="preserve"> </v>
      </c>
      <c r="G246" s="31" t="str">
        <f>IFERROR(VLOOKUP($C246,[15]Nod!$A$3:$E$986,5,FALSE)," ")</f>
        <v xml:space="preserve"> </v>
      </c>
    </row>
    <row r="247" spans="1:7" ht="15" customHeight="1">
      <c r="A247" s="47">
        <v>10</v>
      </c>
      <c r="B247" s="62"/>
      <c r="C247" s="64"/>
      <c r="D247" s="332">
        <f>SUM(D248:D249)</f>
        <v>252.17</v>
      </c>
      <c r="E247" s="297"/>
      <c r="F247" s="31" t="str">
        <f>IFERROR(VLOOKUP($C247,[15]Nod!$A$3:$E$986,4,FALSE)," ")</f>
        <v xml:space="preserve"> </v>
      </c>
      <c r="G247" s="31" t="str">
        <f>IFERROR(VLOOKUP($C247,[15]Nod!$A$3:$E$986,5,FALSE)," ")</f>
        <v xml:space="preserve"> </v>
      </c>
    </row>
    <row r="248" spans="1:7" ht="15" customHeight="1">
      <c r="A248" s="37" t="s">
        <v>99</v>
      </c>
      <c r="B248" s="3"/>
      <c r="C248" s="40">
        <v>6263</v>
      </c>
      <c r="D248" s="331">
        <v>222.17</v>
      </c>
      <c r="E248" s="39">
        <v>0</v>
      </c>
      <c r="F248" s="31" t="str">
        <f>IFERROR(VLOOKUP($C248,[15]Nod!$A$3:$E$986,4,FALSE)," ")</f>
        <v>ESP230</v>
      </c>
      <c r="G248" s="31">
        <f>IFERROR(VLOOKUP($C248,[15]Nod!$A$3:$E$986,5,FALSE)," ")</f>
        <v>10</v>
      </c>
    </row>
    <row r="249" spans="1:7" ht="15" customHeight="1">
      <c r="A249" s="37" t="s">
        <v>100</v>
      </c>
      <c r="B249" s="3"/>
      <c r="C249" s="40">
        <v>6263</v>
      </c>
      <c r="D249" s="331">
        <v>30</v>
      </c>
      <c r="E249" s="39">
        <v>0</v>
      </c>
      <c r="F249" s="31" t="str">
        <f>IFERROR(VLOOKUP($C249,[15]Nod!$A$3:$E$986,4,FALSE)," ")</f>
        <v>ESP230</v>
      </c>
      <c r="G249" s="31">
        <f>IFERROR(VLOOKUP($C249,[15]Nod!$A$3:$E$986,5,FALSE)," ")</f>
        <v>10</v>
      </c>
    </row>
    <row r="250" spans="1:7" ht="15" customHeight="1">
      <c r="A250" s="60" t="s">
        <v>35</v>
      </c>
      <c r="B250" s="42"/>
      <c r="C250" s="43"/>
      <c r="D250" s="330"/>
      <c r="E250" s="315"/>
      <c r="F250" s="3"/>
      <c r="G250" s="3"/>
    </row>
    <row r="254" spans="1:7" ht="15" customHeight="1">
      <c r="F254" s="281"/>
      <c r="G254" s="281"/>
    </row>
    <row r="255" spans="1:7" ht="15" customHeight="1">
      <c r="F255" s="281"/>
      <c r="G255" s="281"/>
    </row>
    <row r="256" spans="1:7" ht="15" customHeight="1">
      <c r="F256" s="281"/>
      <c r="G256" s="281"/>
    </row>
    <row r="257" spans="6:7" ht="15" customHeight="1">
      <c r="F257" s="281"/>
      <c r="G257" s="281"/>
    </row>
    <row r="258" spans="6:7" ht="15" customHeight="1">
      <c r="F258" s="281"/>
      <c r="G258" s="281"/>
    </row>
    <row r="259" spans="6:7" ht="15" customHeight="1">
      <c r="F259" s="281"/>
      <c r="G259" s="281"/>
    </row>
    <row r="260" spans="6:7" ht="15" customHeight="1">
      <c r="F260" s="281"/>
      <c r="G260" s="281"/>
    </row>
    <row r="261" spans="6:7" ht="15" customHeight="1">
      <c r="F261" s="281"/>
      <c r="G261" s="281"/>
    </row>
    <row r="262" spans="6:7" ht="15" customHeight="1">
      <c r="F262" s="281"/>
      <c r="G262" s="281"/>
    </row>
    <row r="263" spans="6:7" ht="15" customHeight="1">
      <c r="F263" s="281"/>
      <c r="G263" s="281"/>
    </row>
    <row r="264" spans="6:7" ht="15" customHeight="1">
      <c r="F264" s="281"/>
      <c r="G264" s="281"/>
    </row>
    <row r="265" spans="6:7" ht="15" customHeight="1">
      <c r="F265" s="281"/>
      <c r="G265" s="281"/>
    </row>
    <row r="266" spans="6:7" ht="15" customHeight="1">
      <c r="F266" s="281"/>
      <c r="G266" s="281"/>
    </row>
    <row r="267" spans="6:7" ht="15" customHeight="1">
      <c r="F267" s="281"/>
      <c r="G267" s="281"/>
    </row>
    <row r="268" spans="6:7" ht="15" customHeight="1">
      <c r="F268" s="281"/>
      <c r="G268" s="281"/>
    </row>
    <row r="269" spans="6:7" ht="15" customHeight="1">
      <c r="F269" s="281"/>
      <c r="G269" s="281"/>
    </row>
    <row r="270" spans="6:7" ht="15" customHeight="1">
      <c r="F270" s="281"/>
      <c r="G270" s="281"/>
    </row>
    <row r="271" spans="6:7" ht="15" customHeight="1">
      <c r="F271" s="281"/>
      <c r="G271" s="281"/>
    </row>
    <row r="272" spans="6:7" ht="15" customHeight="1">
      <c r="F272" s="281"/>
      <c r="G272" s="281"/>
    </row>
    <row r="273" spans="6:7" ht="15" customHeight="1">
      <c r="F273" s="281"/>
      <c r="G273" s="281"/>
    </row>
    <row r="274" spans="6:7" ht="15" customHeight="1">
      <c r="F274" s="281"/>
      <c r="G274" s="281"/>
    </row>
    <row r="275" spans="6:7" ht="15" customHeight="1">
      <c r="F275" s="281"/>
      <c r="G275" s="281"/>
    </row>
    <row r="276" spans="6:7" ht="15" customHeight="1">
      <c r="F276" s="281"/>
      <c r="G276" s="281"/>
    </row>
    <row r="277" spans="6:7" ht="15" customHeight="1">
      <c r="F277" s="281"/>
      <c r="G277" s="281"/>
    </row>
    <row r="278" spans="6:7" ht="15" customHeight="1">
      <c r="F278" s="281"/>
      <c r="G278" s="281"/>
    </row>
    <row r="279" spans="6:7" ht="15" customHeight="1">
      <c r="F279" s="281"/>
      <c r="G279" s="281"/>
    </row>
  </sheetData>
  <mergeCells count="1">
    <mergeCell ref="A9:L9"/>
  </mergeCells>
  <conditionalFormatting sqref="B11:L12">
    <cfRule type="cellIs" dxfId="141" priority="12" operator="equal">
      <formula>0</formula>
    </cfRule>
  </conditionalFormatting>
  <conditionalFormatting sqref="E18:E61">
    <cfRule type="cellIs" dxfId="140" priority="3" operator="equal">
      <formula>0</formula>
    </cfRule>
  </conditionalFormatting>
  <conditionalFormatting sqref="E64:E93 E233:E234 E236:E242">
    <cfRule type="cellIs" dxfId="139" priority="9" operator="equal">
      <formula>0</formula>
    </cfRule>
  </conditionalFormatting>
  <conditionalFormatting sqref="E96:E140">
    <cfRule type="cellIs" dxfId="138" priority="8" operator="equal">
      <formula>0</formula>
    </cfRule>
  </conditionalFormatting>
  <conditionalFormatting sqref="E143:E182">
    <cfRule type="cellIs" dxfId="137" priority="2" operator="equal">
      <formula>0</formula>
    </cfRule>
  </conditionalFormatting>
  <conditionalFormatting sqref="E226:E229">
    <cfRule type="cellIs" dxfId="136" priority="6" operator="equal">
      <formula>0</formula>
    </cfRule>
  </conditionalFormatting>
  <conditionalFormatting sqref="E231">
    <cfRule type="cellIs" dxfId="135" priority="1" operator="equal">
      <formula>0</formula>
    </cfRule>
  </conditionalFormatting>
  <conditionalFormatting sqref="K108:K162 E205:E212 E219:E224">
    <cfRule type="cellIs" dxfId="134" priority="13" operator="equal">
      <formula>0</formula>
    </cfRule>
  </conditionalFormatting>
  <conditionalFormatting sqref="M11:M12">
    <cfRule type="cellIs" dxfId="133" priority="10" stopIfTrue="1" operator="notEqual">
      <formula>L11</formula>
    </cfRule>
  </conditionalFormatting>
  <printOptions horizontalCentered="1"/>
  <pageMargins left="0.39370078740157483" right="0.39370078740157483" top="0.39370078740157483" bottom="0.39370078740157483" header="0.31496062992125984" footer="0.31496062992125984"/>
  <pageSetup paperSize="9" scale="5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D30676-B6F4-4094-A4DE-2028FFF1C384}">
  <sheetPr>
    <pageSetUpPr fitToPage="1"/>
  </sheetPr>
  <dimension ref="A1:N278"/>
  <sheetViews>
    <sheetView zoomScale="79" zoomScaleNormal="79" workbookViewId="0">
      <selection activeCell="O29" sqref="O29"/>
    </sheetView>
  </sheetViews>
  <sheetFormatPr baseColWidth="10" defaultColWidth="8.6640625" defaultRowHeight="15" customHeight="1"/>
  <cols>
    <col min="1" max="1" width="66" style="38" customWidth="1"/>
    <col min="2" max="2" width="15" style="38" customWidth="1"/>
    <col min="3" max="3" width="8.6640625" style="38"/>
    <col min="4" max="4" width="11.44140625" style="38" customWidth="1"/>
    <col min="5" max="5" width="9.44140625" style="38" customWidth="1"/>
    <col min="6" max="6" width="9.6640625" style="38" bestFit="1" customWidth="1"/>
    <col min="7" max="7" width="8.6640625" style="38"/>
    <col min="8" max="8" width="25" style="38" customWidth="1"/>
    <col min="9" max="9" width="9.5546875" style="38" customWidth="1"/>
    <col min="10" max="10" width="11.33203125" style="38" customWidth="1"/>
    <col min="11" max="11" width="15.6640625" style="38" customWidth="1"/>
    <col min="12" max="12" width="11.33203125" style="38" bestFit="1" customWidth="1"/>
    <col min="13" max="13" width="12.109375" style="38" customWidth="1"/>
    <col min="14" max="14" width="9.6640625" style="38" customWidth="1"/>
    <col min="15" max="15" width="26.5546875" style="38" bestFit="1" customWidth="1"/>
    <col min="16" max="16" width="29.33203125" style="38" bestFit="1" customWidth="1"/>
    <col min="17" max="26" width="6.6640625" style="38" customWidth="1"/>
    <col min="27" max="256" width="8.6640625" style="38"/>
    <col min="257" max="257" width="66" style="38" customWidth="1"/>
    <col min="258" max="258" width="15" style="38" customWidth="1"/>
    <col min="259" max="259" width="8.6640625" style="38"/>
    <col min="260" max="260" width="11.44140625" style="38" customWidth="1"/>
    <col min="261" max="261" width="9.44140625" style="38" customWidth="1"/>
    <col min="262" max="262" width="9.6640625" style="38" bestFit="1" customWidth="1"/>
    <col min="263" max="263" width="8.6640625" style="38"/>
    <col min="264" max="264" width="25" style="38" customWidth="1"/>
    <col min="265" max="265" width="9.5546875" style="38" customWidth="1"/>
    <col min="266" max="266" width="11.33203125" style="38" customWidth="1"/>
    <col min="267" max="267" width="15.6640625" style="38" customWidth="1"/>
    <col min="268" max="268" width="11.33203125" style="38" bestFit="1" customWidth="1"/>
    <col min="269" max="269" width="12.109375" style="38" customWidth="1"/>
    <col min="270" max="270" width="9.6640625" style="38" customWidth="1"/>
    <col min="271" max="271" width="26.5546875" style="38" bestFit="1" customWidth="1"/>
    <col min="272" max="272" width="29.33203125" style="38" bestFit="1" customWidth="1"/>
    <col min="273" max="282" width="6.6640625" style="38" customWidth="1"/>
    <col min="283" max="512" width="8.6640625" style="38"/>
    <col min="513" max="513" width="66" style="38" customWidth="1"/>
    <col min="514" max="514" width="15" style="38" customWidth="1"/>
    <col min="515" max="515" width="8.6640625" style="38"/>
    <col min="516" max="516" width="11.44140625" style="38" customWidth="1"/>
    <col min="517" max="517" width="9.44140625" style="38" customWidth="1"/>
    <col min="518" max="518" width="9.6640625" style="38" bestFit="1" customWidth="1"/>
    <col min="519" max="519" width="8.6640625" style="38"/>
    <col min="520" max="520" width="25" style="38" customWidth="1"/>
    <col min="521" max="521" width="9.5546875" style="38" customWidth="1"/>
    <col min="522" max="522" width="11.33203125" style="38" customWidth="1"/>
    <col min="523" max="523" width="15.6640625" style="38" customWidth="1"/>
    <col min="524" max="524" width="11.33203125" style="38" bestFit="1" customWidth="1"/>
    <col min="525" max="525" width="12.109375" style="38" customWidth="1"/>
    <col min="526" max="526" width="9.6640625" style="38" customWidth="1"/>
    <col min="527" max="527" width="26.5546875" style="38" bestFit="1" customWidth="1"/>
    <col min="528" max="528" width="29.33203125" style="38" bestFit="1" customWidth="1"/>
    <col min="529" max="538" width="6.6640625" style="38" customWidth="1"/>
    <col min="539" max="768" width="8.6640625" style="38"/>
    <col min="769" max="769" width="66" style="38" customWidth="1"/>
    <col min="770" max="770" width="15" style="38" customWidth="1"/>
    <col min="771" max="771" width="8.6640625" style="38"/>
    <col min="772" max="772" width="11.44140625" style="38" customWidth="1"/>
    <col min="773" max="773" width="9.44140625" style="38" customWidth="1"/>
    <col min="774" max="774" width="9.6640625" style="38" bestFit="1" customWidth="1"/>
    <col min="775" max="775" width="8.6640625" style="38"/>
    <col min="776" max="776" width="25" style="38" customWidth="1"/>
    <col min="777" max="777" width="9.5546875" style="38" customWidth="1"/>
    <col min="778" max="778" width="11.33203125" style="38" customWidth="1"/>
    <col min="779" max="779" width="15.6640625" style="38" customWidth="1"/>
    <col min="780" max="780" width="11.33203125" style="38" bestFit="1" customWidth="1"/>
    <col min="781" max="781" width="12.109375" style="38" customWidth="1"/>
    <col min="782" max="782" width="9.6640625" style="38" customWidth="1"/>
    <col min="783" max="783" width="26.5546875" style="38" bestFit="1" customWidth="1"/>
    <col min="784" max="784" width="29.33203125" style="38" bestFit="1" customWidth="1"/>
    <col min="785" max="794" width="6.6640625" style="38" customWidth="1"/>
    <col min="795" max="1024" width="8.6640625" style="38"/>
    <col min="1025" max="1025" width="66" style="38" customWidth="1"/>
    <col min="1026" max="1026" width="15" style="38" customWidth="1"/>
    <col min="1027" max="1027" width="8.6640625" style="38"/>
    <col min="1028" max="1028" width="11.44140625" style="38" customWidth="1"/>
    <col min="1029" max="1029" width="9.44140625" style="38" customWidth="1"/>
    <col min="1030" max="1030" width="9.6640625" style="38" bestFit="1" customWidth="1"/>
    <col min="1031" max="1031" width="8.6640625" style="38"/>
    <col min="1032" max="1032" width="25" style="38" customWidth="1"/>
    <col min="1033" max="1033" width="9.5546875" style="38" customWidth="1"/>
    <col min="1034" max="1034" width="11.33203125" style="38" customWidth="1"/>
    <col min="1035" max="1035" width="15.6640625" style="38" customWidth="1"/>
    <col min="1036" max="1036" width="11.33203125" style="38" bestFit="1" customWidth="1"/>
    <col min="1037" max="1037" width="12.109375" style="38" customWidth="1"/>
    <col min="1038" max="1038" width="9.6640625" style="38" customWidth="1"/>
    <col min="1039" max="1039" width="26.5546875" style="38" bestFit="1" customWidth="1"/>
    <col min="1040" max="1040" width="29.33203125" style="38" bestFit="1" customWidth="1"/>
    <col min="1041" max="1050" width="6.6640625" style="38" customWidth="1"/>
    <col min="1051" max="1280" width="8.6640625" style="38"/>
    <col min="1281" max="1281" width="66" style="38" customWidth="1"/>
    <col min="1282" max="1282" width="15" style="38" customWidth="1"/>
    <col min="1283" max="1283" width="8.6640625" style="38"/>
    <col min="1284" max="1284" width="11.44140625" style="38" customWidth="1"/>
    <col min="1285" max="1285" width="9.44140625" style="38" customWidth="1"/>
    <col min="1286" max="1286" width="9.6640625" style="38" bestFit="1" customWidth="1"/>
    <col min="1287" max="1287" width="8.6640625" style="38"/>
    <col min="1288" max="1288" width="25" style="38" customWidth="1"/>
    <col min="1289" max="1289" width="9.5546875" style="38" customWidth="1"/>
    <col min="1290" max="1290" width="11.33203125" style="38" customWidth="1"/>
    <col min="1291" max="1291" width="15.6640625" style="38" customWidth="1"/>
    <col min="1292" max="1292" width="11.33203125" style="38" bestFit="1" customWidth="1"/>
    <col min="1293" max="1293" width="12.109375" style="38" customWidth="1"/>
    <col min="1294" max="1294" width="9.6640625" style="38" customWidth="1"/>
    <col min="1295" max="1295" width="26.5546875" style="38" bestFit="1" customWidth="1"/>
    <col min="1296" max="1296" width="29.33203125" style="38" bestFit="1" customWidth="1"/>
    <col min="1297" max="1306" width="6.6640625" style="38" customWidth="1"/>
    <col min="1307" max="1536" width="8.6640625" style="38"/>
    <col min="1537" max="1537" width="66" style="38" customWidth="1"/>
    <col min="1538" max="1538" width="15" style="38" customWidth="1"/>
    <col min="1539" max="1539" width="8.6640625" style="38"/>
    <col min="1540" max="1540" width="11.44140625" style="38" customWidth="1"/>
    <col min="1541" max="1541" width="9.44140625" style="38" customWidth="1"/>
    <col min="1542" max="1542" width="9.6640625" style="38" bestFit="1" customWidth="1"/>
    <col min="1543" max="1543" width="8.6640625" style="38"/>
    <col min="1544" max="1544" width="25" style="38" customWidth="1"/>
    <col min="1545" max="1545" width="9.5546875" style="38" customWidth="1"/>
    <col min="1546" max="1546" width="11.33203125" style="38" customWidth="1"/>
    <col min="1547" max="1547" width="15.6640625" style="38" customWidth="1"/>
    <col min="1548" max="1548" width="11.33203125" style="38" bestFit="1" customWidth="1"/>
    <col min="1549" max="1549" width="12.109375" style="38" customWidth="1"/>
    <col min="1550" max="1550" width="9.6640625" style="38" customWidth="1"/>
    <col min="1551" max="1551" width="26.5546875" style="38" bestFit="1" customWidth="1"/>
    <col min="1552" max="1552" width="29.33203125" style="38" bestFit="1" customWidth="1"/>
    <col min="1553" max="1562" width="6.6640625" style="38" customWidth="1"/>
    <col min="1563" max="1792" width="8.6640625" style="38"/>
    <col min="1793" max="1793" width="66" style="38" customWidth="1"/>
    <col min="1794" max="1794" width="15" style="38" customWidth="1"/>
    <col min="1795" max="1795" width="8.6640625" style="38"/>
    <col min="1796" max="1796" width="11.44140625" style="38" customWidth="1"/>
    <col min="1797" max="1797" width="9.44140625" style="38" customWidth="1"/>
    <col min="1798" max="1798" width="9.6640625" style="38" bestFit="1" customWidth="1"/>
    <col min="1799" max="1799" width="8.6640625" style="38"/>
    <col min="1800" max="1800" width="25" style="38" customWidth="1"/>
    <col min="1801" max="1801" width="9.5546875" style="38" customWidth="1"/>
    <col min="1802" max="1802" width="11.33203125" style="38" customWidth="1"/>
    <col min="1803" max="1803" width="15.6640625" style="38" customWidth="1"/>
    <col min="1804" max="1804" width="11.33203125" style="38" bestFit="1" customWidth="1"/>
    <col min="1805" max="1805" width="12.109375" style="38" customWidth="1"/>
    <col min="1806" max="1806" width="9.6640625" style="38" customWidth="1"/>
    <col min="1807" max="1807" width="26.5546875" style="38" bestFit="1" customWidth="1"/>
    <col min="1808" max="1808" width="29.33203125" style="38" bestFit="1" customWidth="1"/>
    <col min="1809" max="1818" width="6.6640625" style="38" customWidth="1"/>
    <col min="1819" max="2048" width="8.6640625" style="38"/>
    <col min="2049" max="2049" width="66" style="38" customWidth="1"/>
    <col min="2050" max="2050" width="15" style="38" customWidth="1"/>
    <col min="2051" max="2051" width="8.6640625" style="38"/>
    <col min="2052" max="2052" width="11.44140625" style="38" customWidth="1"/>
    <col min="2053" max="2053" width="9.44140625" style="38" customWidth="1"/>
    <col min="2054" max="2054" width="9.6640625" style="38" bestFit="1" customWidth="1"/>
    <col min="2055" max="2055" width="8.6640625" style="38"/>
    <col min="2056" max="2056" width="25" style="38" customWidth="1"/>
    <col min="2057" max="2057" width="9.5546875" style="38" customWidth="1"/>
    <col min="2058" max="2058" width="11.33203125" style="38" customWidth="1"/>
    <col min="2059" max="2059" width="15.6640625" style="38" customWidth="1"/>
    <col min="2060" max="2060" width="11.33203125" style="38" bestFit="1" customWidth="1"/>
    <col min="2061" max="2061" width="12.109375" style="38" customWidth="1"/>
    <col min="2062" max="2062" width="9.6640625" style="38" customWidth="1"/>
    <col min="2063" max="2063" width="26.5546875" style="38" bestFit="1" customWidth="1"/>
    <col min="2064" max="2064" width="29.33203125" style="38" bestFit="1" customWidth="1"/>
    <col min="2065" max="2074" width="6.6640625" style="38" customWidth="1"/>
    <col min="2075" max="2304" width="8.6640625" style="38"/>
    <col min="2305" max="2305" width="66" style="38" customWidth="1"/>
    <col min="2306" max="2306" width="15" style="38" customWidth="1"/>
    <col min="2307" max="2307" width="8.6640625" style="38"/>
    <col min="2308" max="2308" width="11.44140625" style="38" customWidth="1"/>
    <col min="2309" max="2309" width="9.44140625" style="38" customWidth="1"/>
    <col min="2310" max="2310" width="9.6640625" style="38" bestFit="1" customWidth="1"/>
    <col min="2311" max="2311" width="8.6640625" style="38"/>
    <col min="2312" max="2312" width="25" style="38" customWidth="1"/>
    <col min="2313" max="2313" width="9.5546875" style="38" customWidth="1"/>
    <col min="2314" max="2314" width="11.33203125" style="38" customWidth="1"/>
    <col min="2315" max="2315" width="15.6640625" style="38" customWidth="1"/>
    <col min="2316" max="2316" width="11.33203125" style="38" bestFit="1" customWidth="1"/>
    <col min="2317" max="2317" width="12.109375" style="38" customWidth="1"/>
    <col min="2318" max="2318" width="9.6640625" style="38" customWidth="1"/>
    <col min="2319" max="2319" width="26.5546875" style="38" bestFit="1" customWidth="1"/>
    <col min="2320" max="2320" width="29.33203125" style="38" bestFit="1" customWidth="1"/>
    <col min="2321" max="2330" width="6.6640625" style="38" customWidth="1"/>
    <col min="2331" max="2560" width="8.6640625" style="38"/>
    <col min="2561" max="2561" width="66" style="38" customWidth="1"/>
    <col min="2562" max="2562" width="15" style="38" customWidth="1"/>
    <col min="2563" max="2563" width="8.6640625" style="38"/>
    <col min="2564" max="2564" width="11.44140625" style="38" customWidth="1"/>
    <col min="2565" max="2565" width="9.44140625" style="38" customWidth="1"/>
    <col min="2566" max="2566" width="9.6640625" style="38" bestFit="1" customWidth="1"/>
    <col min="2567" max="2567" width="8.6640625" style="38"/>
    <col min="2568" max="2568" width="25" style="38" customWidth="1"/>
    <col min="2569" max="2569" width="9.5546875" style="38" customWidth="1"/>
    <col min="2570" max="2570" width="11.33203125" style="38" customWidth="1"/>
    <col min="2571" max="2571" width="15.6640625" style="38" customWidth="1"/>
    <col min="2572" max="2572" width="11.33203125" style="38" bestFit="1" customWidth="1"/>
    <col min="2573" max="2573" width="12.109375" style="38" customWidth="1"/>
    <col min="2574" max="2574" width="9.6640625" style="38" customWidth="1"/>
    <col min="2575" max="2575" width="26.5546875" style="38" bestFit="1" customWidth="1"/>
    <col min="2576" max="2576" width="29.33203125" style="38" bestFit="1" customWidth="1"/>
    <col min="2577" max="2586" width="6.6640625" style="38" customWidth="1"/>
    <col min="2587" max="2816" width="8.6640625" style="38"/>
    <col min="2817" max="2817" width="66" style="38" customWidth="1"/>
    <col min="2818" max="2818" width="15" style="38" customWidth="1"/>
    <col min="2819" max="2819" width="8.6640625" style="38"/>
    <col min="2820" max="2820" width="11.44140625" style="38" customWidth="1"/>
    <col min="2821" max="2821" width="9.44140625" style="38" customWidth="1"/>
    <col min="2822" max="2822" width="9.6640625" style="38" bestFit="1" customWidth="1"/>
    <col min="2823" max="2823" width="8.6640625" style="38"/>
    <col min="2824" max="2824" width="25" style="38" customWidth="1"/>
    <col min="2825" max="2825" width="9.5546875" style="38" customWidth="1"/>
    <col min="2826" max="2826" width="11.33203125" style="38" customWidth="1"/>
    <col min="2827" max="2827" width="15.6640625" style="38" customWidth="1"/>
    <col min="2828" max="2828" width="11.33203125" style="38" bestFit="1" customWidth="1"/>
    <col min="2829" max="2829" width="12.109375" style="38" customWidth="1"/>
    <col min="2830" max="2830" width="9.6640625" style="38" customWidth="1"/>
    <col min="2831" max="2831" width="26.5546875" style="38" bestFit="1" customWidth="1"/>
    <col min="2832" max="2832" width="29.33203125" style="38" bestFit="1" customWidth="1"/>
    <col min="2833" max="2842" width="6.6640625" style="38" customWidth="1"/>
    <col min="2843" max="3072" width="8.6640625" style="38"/>
    <col min="3073" max="3073" width="66" style="38" customWidth="1"/>
    <col min="3074" max="3074" width="15" style="38" customWidth="1"/>
    <col min="3075" max="3075" width="8.6640625" style="38"/>
    <col min="3076" max="3076" width="11.44140625" style="38" customWidth="1"/>
    <col min="3077" max="3077" width="9.44140625" style="38" customWidth="1"/>
    <col min="3078" max="3078" width="9.6640625" style="38" bestFit="1" customWidth="1"/>
    <col min="3079" max="3079" width="8.6640625" style="38"/>
    <col min="3080" max="3080" width="25" style="38" customWidth="1"/>
    <col min="3081" max="3081" width="9.5546875" style="38" customWidth="1"/>
    <col min="3082" max="3082" width="11.33203125" style="38" customWidth="1"/>
    <col min="3083" max="3083" width="15.6640625" style="38" customWidth="1"/>
    <col min="3084" max="3084" width="11.33203125" style="38" bestFit="1" customWidth="1"/>
    <col min="3085" max="3085" width="12.109375" style="38" customWidth="1"/>
    <col min="3086" max="3086" width="9.6640625" style="38" customWidth="1"/>
    <col min="3087" max="3087" width="26.5546875" style="38" bestFit="1" customWidth="1"/>
    <col min="3088" max="3088" width="29.33203125" style="38" bestFit="1" customWidth="1"/>
    <col min="3089" max="3098" width="6.6640625" style="38" customWidth="1"/>
    <col min="3099" max="3328" width="8.6640625" style="38"/>
    <col min="3329" max="3329" width="66" style="38" customWidth="1"/>
    <col min="3330" max="3330" width="15" style="38" customWidth="1"/>
    <col min="3331" max="3331" width="8.6640625" style="38"/>
    <col min="3332" max="3332" width="11.44140625" style="38" customWidth="1"/>
    <col min="3333" max="3333" width="9.44140625" style="38" customWidth="1"/>
    <col min="3334" max="3334" width="9.6640625" style="38" bestFit="1" customWidth="1"/>
    <col min="3335" max="3335" width="8.6640625" style="38"/>
    <col min="3336" max="3336" width="25" style="38" customWidth="1"/>
    <col min="3337" max="3337" width="9.5546875" style="38" customWidth="1"/>
    <col min="3338" max="3338" width="11.33203125" style="38" customWidth="1"/>
    <col min="3339" max="3339" width="15.6640625" style="38" customWidth="1"/>
    <col min="3340" max="3340" width="11.33203125" style="38" bestFit="1" customWidth="1"/>
    <col min="3341" max="3341" width="12.109375" style="38" customWidth="1"/>
    <col min="3342" max="3342" width="9.6640625" style="38" customWidth="1"/>
    <col min="3343" max="3343" width="26.5546875" style="38" bestFit="1" customWidth="1"/>
    <col min="3344" max="3344" width="29.33203125" style="38" bestFit="1" customWidth="1"/>
    <col min="3345" max="3354" width="6.6640625" style="38" customWidth="1"/>
    <col min="3355" max="3584" width="8.6640625" style="38"/>
    <col min="3585" max="3585" width="66" style="38" customWidth="1"/>
    <col min="3586" max="3586" width="15" style="38" customWidth="1"/>
    <col min="3587" max="3587" width="8.6640625" style="38"/>
    <col min="3588" max="3588" width="11.44140625" style="38" customWidth="1"/>
    <col min="3589" max="3589" width="9.44140625" style="38" customWidth="1"/>
    <col min="3590" max="3590" width="9.6640625" style="38" bestFit="1" customWidth="1"/>
    <col min="3591" max="3591" width="8.6640625" style="38"/>
    <col min="3592" max="3592" width="25" style="38" customWidth="1"/>
    <col min="3593" max="3593" width="9.5546875" style="38" customWidth="1"/>
    <col min="3594" max="3594" width="11.33203125" style="38" customWidth="1"/>
    <col min="3595" max="3595" width="15.6640625" style="38" customWidth="1"/>
    <col min="3596" max="3596" width="11.33203125" style="38" bestFit="1" customWidth="1"/>
    <col min="3597" max="3597" width="12.109375" style="38" customWidth="1"/>
    <col min="3598" max="3598" width="9.6640625" style="38" customWidth="1"/>
    <col min="3599" max="3599" width="26.5546875" style="38" bestFit="1" customWidth="1"/>
    <col min="3600" max="3600" width="29.33203125" style="38" bestFit="1" customWidth="1"/>
    <col min="3601" max="3610" width="6.6640625" style="38" customWidth="1"/>
    <col min="3611" max="3840" width="8.6640625" style="38"/>
    <col min="3841" max="3841" width="66" style="38" customWidth="1"/>
    <col min="3842" max="3842" width="15" style="38" customWidth="1"/>
    <col min="3843" max="3843" width="8.6640625" style="38"/>
    <col min="3844" max="3844" width="11.44140625" style="38" customWidth="1"/>
    <col min="3845" max="3845" width="9.44140625" style="38" customWidth="1"/>
    <col min="3846" max="3846" width="9.6640625" style="38" bestFit="1" customWidth="1"/>
    <col min="3847" max="3847" width="8.6640625" style="38"/>
    <col min="3848" max="3848" width="25" style="38" customWidth="1"/>
    <col min="3849" max="3849" width="9.5546875" style="38" customWidth="1"/>
    <col min="3850" max="3850" width="11.33203125" style="38" customWidth="1"/>
    <col min="3851" max="3851" width="15.6640625" style="38" customWidth="1"/>
    <col min="3852" max="3852" width="11.33203125" style="38" bestFit="1" customWidth="1"/>
    <col min="3853" max="3853" width="12.109375" style="38" customWidth="1"/>
    <col min="3854" max="3854" width="9.6640625" style="38" customWidth="1"/>
    <col min="3855" max="3855" width="26.5546875" style="38" bestFit="1" customWidth="1"/>
    <col min="3856" max="3856" width="29.33203125" style="38" bestFit="1" customWidth="1"/>
    <col min="3857" max="3866" width="6.6640625" style="38" customWidth="1"/>
    <col min="3867" max="4096" width="8.6640625" style="38"/>
    <col min="4097" max="4097" width="66" style="38" customWidth="1"/>
    <col min="4098" max="4098" width="15" style="38" customWidth="1"/>
    <col min="4099" max="4099" width="8.6640625" style="38"/>
    <col min="4100" max="4100" width="11.44140625" style="38" customWidth="1"/>
    <col min="4101" max="4101" width="9.44140625" style="38" customWidth="1"/>
    <col min="4102" max="4102" width="9.6640625" style="38" bestFit="1" customWidth="1"/>
    <col min="4103" max="4103" width="8.6640625" style="38"/>
    <col min="4104" max="4104" width="25" style="38" customWidth="1"/>
    <col min="4105" max="4105" width="9.5546875" style="38" customWidth="1"/>
    <col min="4106" max="4106" width="11.33203125" style="38" customWidth="1"/>
    <col min="4107" max="4107" width="15.6640625" style="38" customWidth="1"/>
    <col min="4108" max="4108" width="11.33203125" style="38" bestFit="1" customWidth="1"/>
    <col min="4109" max="4109" width="12.109375" style="38" customWidth="1"/>
    <col min="4110" max="4110" width="9.6640625" style="38" customWidth="1"/>
    <col min="4111" max="4111" width="26.5546875" style="38" bestFit="1" customWidth="1"/>
    <col min="4112" max="4112" width="29.33203125" style="38" bestFit="1" customWidth="1"/>
    <col min="4113" max="4122" width="6.6640625" style="38" customWidth="1"/>
    <col min="4123" max="4352" width="8.6640625" style="38"/>
    <col min="4353" max="4353" width="66" style="38" customWidth="1"/>
    <col min="4354" max="4354" width="15" style="38" customWidth="1"/>
    <col min="4355" max="4355" width="8.6640625" style="38"/>
    <col min="4356" max="4356" width="11.44140625" style="38" customWidth="1"/>
    <col min="4357" max="4357" width="9.44140625" style="38" customWidth="1"/>
    <col min="4358" max="4358" width="9.6640625" style="38" bestFit="1" customWidth="1"/>
    <col min="4359" max="4359" width="8.6640625" style="38"/>
    <col min="4360" max="4360" width="25" style="38" customWidth="1"/>
    <col min="4361" max="4361" width="9.5546875" style="38" customWidth="1"/>
    <col min="4362" max="4362" width="11.33203125" style="38" customWidth="1"/>
    <col min="4363" max="4363" width="15.6640625" style="38" customWidth="1"/>
    <col min="4364" max="4364" width="11.33203125" style="38" bestFit="1" customWidth="1"/>
    <col min="4365" max="4365" width="12.109375" style="38" customWidth="1"/>
    <col min="4366" max="4366" width="9.6640625" style="38" customWidth="1"/>
    <col min="4367" max="4367" width="26.5546875" style="38" bestFit="1" customWidth="1"/>
    <col min="4368" max="4368" width="29.33203125" style="38" bestFit="1" customWidth="1"/>
    <col min="4369" max="4378" width="6.6640625" style="38" customWidth="1"/>
    <col min="4379" max="4608" width="8.6640625" style="38"/>
    <col min="4609" max="4609" width="66" style="38" customWidth="1"/>
    <col min="4610" max="4610" width="15" style="38" customWidth="1"/>
    <col min="4611" max="4611" width="8.6640625" style="38"/>
    <col min="4612" max="4612" width="11.44140625" style="38" customWidth="1"/>
    <col min="4613" max="4613" width="9.44140625" style="38" customWidth="1"/>
    <col min="4614" max="4614" width="9.6640625" style="38" bestFit="1" customWidth="1"/>
    <col min="4615" max="4615" width="8.6640625" style="38"/>
    <col min="4616" max="4616" width="25" style="38" customWidth="1"/>
    <col min="4617" max="4617" width="9.5546875" style="38" customWidth="1"/>
    <col min="4618" max="4618" width="11.33203125" style="38" customWidth="1"/>
    <col min="4619" max="4619" width="15.6640625" style="38" customWidth="1"/>
    <col min="4620" max="4620" width="11.33203125" style="38" bestFit="1" customWidth="1"/>
    <col min="4621" max="4621" width="12.109375" style="38" customWidth="1"/>
    <col min="4622" max="4622" width="9.6640625" style="38" customWidth="1"/>
    <col min="4623" max="4623" width="26.5546875" style="38" bestFit="1" customWidth="1"/>
    <col min="4624" max="4624" width="29.33203125" style="38" bestFit="1" customWidth="1"/>
    <col min="4625" max="4634" width="6.6640625" style="38" customWidth="1"/>
    <col min="4635" max="4864" width="8.6640625" style="38"/>
    <col min="4865" max="4865" width="66" style="38" customWidth="1"/>
    <col min="4866" max="4866" width="15" style="38" customWidth="1"/>
    <col min="4867" max="4867" width="8.6640625" style="38"/>
    <col min="4868" max="4868" width="11.44140625" style="38" customWidth="1"/>
    <col min="4869" max="4869" width="9.44140625" style="38" customWidth="1"/>
    <col min="4870" max="4870" width="9.6640625" style="38" bestFit="1" customWidth="1"/>
    <col min="4871" max="4871" width="8.6640625" style="38"/>
    <col min="4872" max="4872" width="25" style="38" customWidth="1"/>
    <col min="4873" max="4873" width="9.5546875" style="38" customWidth="1"/>
    <col min="4874" max="4874" width="11.33203125" style="38" customWidth="1"/>
    <col min="4875" max="4875" width="15.6640625" style="38" customWidth="1"/>
    <col min="4876" max="4876" width="11.33203125" style="38" bestFit="1" customWidth="1"/>
    <col min="4877" max="4877" width="12.109375" style="38" customWidth="1"/>
    <col min="4878" max="4878" width="9.6640625" style="38" customWidth="1"/>
    <col min="4879" max="4879" width="26.5546875" style="38" bestFit="1" customWidth="1"/>
    <col min="4880" max="4880" width="29.33203125" style="38" bestFit="1" customWidth="1"/>
    <col min="4881" max="4890" width="6.6640625" style="38" customWidth="1"/>
    <col min="4891" max="5120" width="8.6640625" style="38"/>
    <col min="5121" max="5121" width="66" style="38" customWidth="1"/>
    <col min="5122" max="5122" width="15" style="38" customWidth="1"/>
    <col min="5123" max="5123" width="8.6640625" style="38"/>
    <col min="5124" max="5124" width="11.44140625" style="38" customWidth="1"/>
    <col min="5125" max="5125" width="9.44140625" style="38" customWidth="1"/>
    <col min="5126" max="5126" width="9.6640625" style="38" bestFit="1" customWidth="1"/>
    <col min="5127" max="5127" width="8.6640625" style="38"/>
    <col min="5128" max="5128" width="25" style="38" customWidth="1"/>
    <col min="5129" max="5129" width="9.5546875" style="38" customWidth="1"/>
    <col min="5130" max="5130" width="11.33203125" style="38" customWidth="1"/>
    <col min="5131" max="5131" width="15.6640625" style="38" customWidth="1"/>
    <col min="5132" max="5132" width="11.33203125" style="38" bestFit="1" customWidth="1"/>
    <col min="5133" max="5133" width="12.109375" style="38" customWidth="1"/>
    <col min="5134" max="5134" width="9.6640625" style="38" customWidth="1"/>
    <col min="5135" max="5135" width="26.5546875" style="38" bestFit="1" customWidth="1"/>
    <col min="5136" max="5136" width="29.33203125" style="38" bestFit="1" customWidth="1"/>
    <col min="5137" max="5146" width="6.6640625" style="38" customWidth="1"/>
    <col min="5147" max="5376" width="8.6640625" style="38"/>
    <col min="5377" max="5377" width="66" style="38" customWidth="1"/>
    <col min="5378" max="5378" width="15" style="38" customWidth="1"/>
    <col min="5379" max="5379" width="8.6640625" style="38"/>
    <col min="5380" max="5380" width="11.44140625" style="38" customWidth="1"/>
    <col min="5381" max="5381" width="9.44140625" style="38" customWidth="1"/>
    <col min="5382" max="5382" width="9.6640625" style="38" bestFit="1" customWidth="1"/>
    <col min="5383" max="5383" width="8.6640625" style="38"/>
    <col min="5384" max="5384" width="25" style="38" customWidth="1"/>
    <col min="5385" max="5385" width="9.5546875" style="38" customWidth="1"/>
    <col min="5386" max="5386" width="11.33203125" style="38" customWidth="1"/>
    <col min="5387" max="5387" width="15.6640625" style="38" customWidth="1"/>
    <col min="5388" max="5388" width="11.33203125" style="38" bestFit="1" customWidth="1"/>
    <col min="5389" max="5389" width="12.109375" style="38" customWidth="1"/>
    <col min="5390" max="5390" width="9.6640625" style="38" customWidth="1"/>
    <col min="5391" max="5391" width="26.5546875" style="38" bestFit="1" customWidth="1"/>
    <col min="5392" max="5392" width="29.33203125" style="38" bestFit="1" customWidth="1"/>
    <col min="5393" max="5402" width="6.6640625" style="38" customWidth="1"/>
    <col min="5403" max="5632" width="8.6640625" style="38"/>
    <col min="5633" max="5633" width="66" style="38" customWidth="1"/>
    <col min="5634" max="5634" width="15" style="38" customWidth="1"/>
    <col min="5635" max="5635" width="8.6640625" style="38"/>
    <col min="5636" max="5636" width="11.44140625" style="38" customWidth="1"/>
    <col min="5637" max="5637" width="9.44140625" style="38" customWidth="1"/>
    <col min="5638" max="5638" width="9.6640625" style="38" bestFit="1" customWidth="1"/>
    <col min="5639" max="5639" width="8.6640625" style="38"/>
    <col min="5640" max="5640" width="25" style="38" customWidth="1"/>
    <col min="5641" max="5641" width="9.5546875" style="38" customWidth="1"/>
    <col min="5642" max="5642" width="11.33203125" style="38" customWidth="1"/>
    <col min="5643" max="5643" width="15.6640625" style="38" customWidth="1"/>
    <col min="5644" max="5644" width="11.33203125" style="38" bestFit="1" customWidth="1"/>
    <col min="5645" max="5645" width="12.109375" style="38" customWidth="1"/>
    <col min="5646" max="5646" width="9.6640625" style="38" customWidth="1"/>
    <col min="5647" max="5647" width="26.5546875" style="38" bestFit="1" customWidth="1"/>
    <col min="5648" max="5648" width="29.33203125" style="38" bestFit="1" customWidth="1"/>
    <col min="5649" max="5658" width="6.6640625" style="38" customWidth="1"/>
    <col min="5659" max="5888" width="8.6640625" style="38"/>
    <col min="5889" max="5889" width="66" style="38" customWidth="1"/>
    <col min="5890" max="5890" width="15" style="38" customWidth="1"/>
    <col min="5891" max="5891" width="8.6640625" style="38"/>
    <col min="5892" max="5892" width="11.44140625" style="38" customWidth="1"/>
    <col min="5893" max="5893" width="9.44140625" style="38" customWidth="1"/>
    <col min="5894" max="5894" width="9.6640625" style="38" bestFit="1" customWidth="1"/>
    <col min="5895" max="5895" width="8.6640625" style="38"/>
    <col min="5896" max="5896" width="25" style="38" customWidth="1"/>
    <col min="5897" max="5897" width="9.5546875" style="38" customWidth="1"/>
    <col min="5898" max="5898" width="11.33203125" style="38" customWidth="1"/>
    <col min="5899" max="5899" width="15.6640625" style="38" customWidth="1"/>
    <col min="5900" max="5900" width="11.33203125" style="38" bestFit="1" customWidth="1"/>
    <col min="5901" max="5901" width="12.109375" style="38" customWidth="1"/>
    <col min="5902" max="5902" width="9.6640625" style="38" customWidth="1"/>
    <col min="5903" max="5903" width="26.5546875" style="38" bestFit="1" customWidth="1"/>
    <col min="5904" max="5904" width="29.33203125" style="38" bestFit="1" customWidth="1"/>
    <col min="5905" max="5914" width="6.6640625" style="38" customWidth="1"/>
    <col min="5915" max="6144" width="8.6640625" style="38"/>
    <col min="6145" max="6145" width="66" style="38" customWidth="1"/>
    <col min="6146" max="6146" width="15" style="38" customWidth="1"/>
    <col min="6147" max="6147" width="8.6640625" style="38"/>
    <col min="6148" max="6148" width="11.44140625" style="38" customWidth="1"/>
    <col min="6149" max="6149" width="9.44140625" style="38" customWidth="1"/>
    <col min="6150" max="6150" width="9.6640625" style="38" bestFit="1" customWidth="1"/>
    <col min="6151" max="6151" width="8.6640625" style="38"/>
    <col min="6152" max="6152" width="25" style="38" customWidth="1"/>
    <col min="6153" max="6153" width="9.5546875" style="38" customWidth="1"/>
    <col min="6154" max="6154" width="11.33203125" style="38" customWidth="1"/>
    <col min="6155" max="6155" width="15.6640625" style="38" customWidth="1"/>
    <col min="6156" max="6156" width="11.33203125" style="38" bestFit="1" customWidth="1"/>
    <col min="6157" max="6157" width="12.109375" style="38" customWidth="1"/>
    <col min="6158" max="6158" width="9.6640625" style="38" customWidth="1"/>
    <col min="6159" max="6159" width="26.5546875" style="38" bestFit="1" customWidth="1"/>
    <col min="6160" max="6160" width="29.33203125" style="38" bestFit="1" customWidth="1"/>
    <col min="6161" max="6170" width="6.6640625" style="38" customWidth="1"/>
    <col min="6171" max="6400" width="8.6640625" style="38"/>
    <col min="6401" max="6401" width="66" style="38" customWidth="1"/>
    <col min="6402" max="6402" width="15" style="38" customWidth="1"/>
    <col min="6403" max="6403" width="8.6640625" style="38"/>
    <col min="6404" max="6404" width="11.44140625" style="38" customWidth="1"/>
    <col min="6405" max="6405" width="9.44140625" style="38" customWidth="1"/>
    <col min="6406" max="6406" width="9.6640625" style="38" bestFit="1" customWidth="1"/>
    <col min="6407" max="6407" width="8.6640625" style="38"/>
    <col min="6408" max="6408" width="25" style="38" customWidth="1"/>
    <col min="6409" max="6409" width="9.5546875" style="38" customWidth="1"/>
    <col min="6410" max="6410" width="11.33203125" style="38" customWidth="1"/>
    <col min="6411" max="6411" width="15.6640625" style="38" customWidth="1"/>
    <col min="6412" max="6412" width="11.33203125" style="38" bestFit="1" customWidth="1"/>
    <col min="6413" max="6413" width="12.109375" style="38" customWidth="1"/>
    <col min="6414" max="6414" width="9.6640625" style="38" customWidth="1"/>
    <col min="6415" max="6415" width="26.5546875" style="38" bestFit="1" customWidth="1"/>
    <col min="6416" max="6416" width="29.33203125" style="38" bestFit="1" customWidth="1"/>
    <col min="6417" max="6426" width="6.6640625" style="38" customWidth="1"/>
    <col min="6427" max="6656" width="8.6640625" style="38"/>
    <col min="6657" max="6657" width="66" style="38" customWidth="1"/>
    <col min="6658" max="6658" width="15" style="38" customWidth="1"/>
    <col min="6659" max="6659" width="8.6640625" style="38"/>
    <col min="6660" max="6660" width="11.44140625" style="38" customWidth="1"/>
    <col min="6661" max="6661" width="9.44140625" style="38" customWidth="1"/>
    <col min="6662" max="6662" width="9.6640625" style="38" bestFit="1" customWidth="1"/>
    <col min="6663" max="6663" width="8.6640625" style="38"/>
    <col min="6664" max="6664" width="25" style="38" customWidth="1"/>
    <col min="6665" max="6665" width="9.5546875" style="38" customWidth="1"/>
    <col min="6666" max="6666" width="11.33203125" style="38" customWidth="1"/>
    <col min="6667" max="6667" width="15.6640625" style="38" customWidth="1"/>
    <col min="6668" max="6668" width="11.33203125" style="38" bestFit="1" customWidth="1"/>
    <col min="6669" max="6669" width="12.109375" style="38" customWidth="1"/>
    <col min="6670" max="6670" width="9.6640625" style="38" customWidth="1"/>
    <col min="6671" max="6671" width="26.5546875" style="38" bestFit="1" customWidth="1"/>
    <col min="6672" max="6672" width="29.33203125" style="38" bestFit="1" customWidth="1"/>
    <col min="6673" max="6682" width="6.6640625" style="38" customWidth="1"/>
    <col min="6683" max="6912" width="8.6640625" style="38"/>
    <col min="6913" max="6913" width="66" style="38" customWidth="1"/>
    <col min="6914" max="6914" width="15" style="38" customWidth="1"/>
    <col min="6915" max="6915" width="8.6640625" style="38"/>
    <col min="6916" max="6916" width="11.44140625" style="38" customWidth="1"/>
    <col min="6917" max="6917" width="9.44140625" style="38" customWidth="1"/>
    <col min="6918" max="6918" width="9.6640625" style="38" bestFit="1" customWidth="1"/>
    <col min="6919" max="6919" width="8.6640625" style="38"/>
    <col min="6920" max="6920" width="25" style="38" customWidth="1"/>
    <col min="6921" max="6921" width="9.5546875" style="38" customWidth="1"/>
    <col min="6922" max="6922" width="11.33203125" style="38" customWidth="1"/>
    <col min="6923" max="6923" width="15.6640625" style="38" customWidth="1"/>
    <col min="6924" max="6924" width="11.33203125" style="38" bestFit="1" customWidth="1"/>
    <col min="6925" max="6925" width="12.109375" style="38" customWidth="1"/>
    <col min="6926" max="6926" width="9.6640625" style="38" customWidth="1"/>
    <col min="6927" max="6927" width="26.5546875" style="38" bestFit="1" customWidth="1"/>
    <col min="6928" max="6928" width="29.33203125" style="38" bestFit="1" customWidth="1"/>
    <col min="6929" max="6938" width="6.6640625" style="38" customWidth="1"/>
    <col min="6939" max="7168" width="8.6640625" style="38"/>
    <col min="7169" max="7169" width="66" style="38" customWidth="1"/>
    <col min="7170" max="7170" width="15" style="38" customWidth="1"/>
    <col min="7171" max="7171" width="8.6640625" style="38"/>
    <col min="7172" max="7172" width="11.44140625" style="38" customWidth="1"/>
    <col min="7173" max="7173" width="9.44140625" style="38" customWidth="1"/>
    <col min="7174" max="7174" width="9.6640625" style="38" bestFit="1" customWidth="1"/>
    <col min="7175" max="7175" width="8.6640625" style="38"/>
    <col min="7176" max="7176" width="25" style="38" customWidth="1"/>
    <col min="7177" max="7177" width="9.5546875" style="38" customWidth="1"/>
    <col min="7178" max="7178" width="11.33203125" style="38" customWidth="1"/>
    <col min="7179" max="7179" width="15.6640625" style="38" customWidth="1"/>
    <col min="7180" max="7180" width="11.33203125" style="38" bestFit="1" customWidth="1"/>
    <col min="7181" max="7181" width="12.109375" style="38" customWidth="1"/>
    <col min="7182" max="7182" width="9.6640625" style="38" customWidth="1"/>
    <col min="7183" max="7183" width="26.5546875" style="38" bestFit="1" customWidth="1"/>
    <col min="7184" max="7184" width="29.33203125" style="38" bestFit="1" customWidth="1"/>
    <col min="7185" max="7194" width="6.6640625" style="38" customWidth="1"/>
    <col min="7195" max="7424" width="8.6640625" style="38"/>
    <col min="7425" max="7425" width="66" style="38" customWidth="1"/>
    <col min="7426" max="7426" width="15" style="38" customWidth="1"/>
    <col min="7427" max="7427" width="8.6640625" style="38"/>
    <col min="7428" max="7428" width="11.44140625" style="38" customWidth="1"/>
    <col min="7429" max="7429" width="9.44140625" style="38" customWidth="1"/>
    <col min="7430" max="7430" width="9.6640625" style="38" bestFit="1" customWidth="1"/>
    <col min="7431" max="7431" width="8.6640625" style="38"/>
    <col min="7432" max="7432" width="25" style="38" customWidth="1"/>
    <col min="7433" max="7433" width="9.5546875" style="38" customWidth="1"/>
    <col min="7434" max="7434" width="11.33203125" style="38" customWidth="1"/>
    <col min="7435" max="7435" width="15.6640625" style="38" customWidth="1"/>
    <col min="7436" max="7436" width="11.33203125" style="38" bestFit="1" customWidth="1"/>
    <col min="7437" max="7437" width="12.109375" style="38" customWidth="1"/>
    <col min="7438" max="7438" width="9.6640625" style="38" customWidth="1"/>
    <col min="7439" max="7439" width="26.5546875" style="38" bestFit="1" customWidth="1"/>
    <col min="7440" max="7440" width="29.33203125" style="38" bestFit="1" customWidth="1"/>
    <col min="7441" max="7450" width="6.6640625" style="38" customWidth="1"/>
    <col min="7451" max="7680" width="8.6640625" style="38"/>
    <col min="7681" max="7681" width="66" style="38" customWidth="1"/>
    <col min="7682" max="7682" width="15" style="38" customWidth="1"/>
    <col min="7683" max="7683" width="8.6640625" style="38"/>
    <col min="7684" max="7684" width="11.44140625" style="38" customWidth="1"/>
    <col min="7685" max="7685" width="9.44140625" style="38" customWidth="1"/>
    <col min="7686" max="7686" width="9.6640625" style="38" bestFit="1" customWidth="1"/>
    <col min="7687" max="7687" width="8.6640625" style="38"/>
    <col min="7688" max="7688" width="25" style="38" customWidth="1"/>
    <col min="7689" max="7689" width="9.5546875" style="38" customWidth="1"/>
    <col min="7690" max="7690" width="11.33203125" style="38" customWidth="1"/>
    <col min="7691" max="7691" width="15.6640625" style="38" customWidth="1"/>
    <col min="7692" max="7692" width="11.33203125" style="38" bestFit="1" customWidth="1"/>
    <col min="7693" max="7693" width="12.109375" style="38" customWidth="1"/>
    <col min="7694" max="7694" width="9.6640625" style="38" customWidth="1"/>
    <col min="7695" max="7695" width="26.5546875" style="38" bestFit="1" customWidth="1"/>
    <col min="7696" max="7696" width="29.33203125" style="38" bestFit="1" customWidth="1"/>
    <col min="7697" max="7706" width="6.6640625" style="38" customWidth="1"/>
    <col min="7707" max="7936" width="8.6640625" style="38"/>
    <col min="7937" max="7937" width="66" style="38" customWidth="1"/>
    <col min="7938" max="7938" width="15" style="38" customWidth="1"/>
    <col min="7939" max="7939" width="8.6640625" style="38"/>
    <col min="7940" max="7940" width="11.44140625" style="38" customWidth="1"/>
    <col min="7941" max="7941" width="9.44140625" style="38" customWidth="1"/>
    <col min="7942" max="7942" width="9.6640625" style="38" bestFit="1" customWidth="1"/>
    <col min="7943" max="7943" width="8.6640625" style="38"/>
    <col min="7944" max="7944" width="25" style="38" customWidth="1"/>
    <col min="7945" max="7945" width="9.5546875" style="38" customWidth="1"/>
    <col min="7946" max="7946" width="11.33203125" style="38" customWidth="1"/>
    <col min="7947" max="7947" width="15.6640625" style="38" customWidth="1"/>
    <col min="7948" max="7948" width="11.33203125" style="38" bestFit="1" customWidth="1"/>
    <col min="7949" max="7949" width="12.109375" style="38" customWidth="1"/>
    <col min="7950" max="7950" width="9.6640625" style="38" customWidth="1"/>
    <col min="7951" max="7951" width="26.5546875" style="38" bestFit="1" customWidth="1"/>
    <col min="7952" max="7952" width="29.33203125" style="38" bestFit="1" customWidth="1"/>
    <col min="7953" max="7962" width="6.6640625" style="38" customWidth="1"/>
    <col min="7963" max="8192" width="8.6640625" style="38"/>
    <col min="8193" max="8193" width="66" style="38" customWidth="1"/>
    <col min="8194" max="8194" width="15" style="38" customWidth="1"/>
    <col min="8195" max="8195" width="8.6640625" style="38"/>
    <col min="8196" max="8196" width="11.44140625" style="38" customWidth="1"/>
    <col min="8197" max="8197" width="9.44140625" style="38" customWidth="1"/>
    <col min="8198" max="8198" width="9.6640625" style="38" bestFit="1" customWidth="1"/>
    <col min="8199" max="8199" width="8.6640625" style="38"/>
    <col min="8200" max="8200" width="25" style="38" customWidth="1"/>
    <col min="8201" max="8201" width="9.5546875" style="38" customWidth="1"/>
    <col min="8202" max="8202" width="11.33203125" style="38" customWidth="1"/>
    <col min="8203" max="8203" width="15.6640625" style="38" customWidth="1"/>
    <col min="8204" max="8204" width="11.33203125" style="38" bestFit="1" customWidth="1"/>
    <col min="8205" max="8205" width="12.109375" style="38" customWidth="1"/>
    <col min="8206" max="8206" width="9.6640625" style="38" customWidth="1"/>
    <col min="8207" max="8207" width="26.5546875" style="38" bestFit="1" customWidth="1"/>
    <col min="8208" max="8208" width="29.33203125" style="38" bestFit="1" customWidth="1"/>
    <col min="8209" max="8218" width="6.6640625" style="38" customWidth="1"/>
    <col min="8219" max="8448" width="8.6640625" style="38"/>
    <col min="8449" max="8449" width="66" style="38" customWidth="1"/>
    <col min="8450" max="8450" width="15" style="38" customWidth="1"/>
    <col min="8451" max="8451" width="8.6640625" style="38"/>
    <col min="8452" max="8452" width="11.44140625" style="38" customWidth="1"/>
    <col min="8453" max="8453" width="9.44140625" style="38" customWidth="1"/>
    <col min="8454" max="8454" width="9.6640625" style="38" bestFit="1" customWidth="1"/>
    <col min="8455" max="8455" width="8.6640625" style="38"/>
    <col min="8456" max="8456" width="25" style="38" customWidth="1"/>
    <col min="8457" max="8457" width="9.5546875" style="38" customWidth="1"/>
    <col min="8458" max="8458" width="11.33203125" style="38" customWidth="1"/>
    <col min="8459" max="8459" width="15.6640625" style="38" customWidth="1"/>
    <col min="8460" max="8460" width="11.33203125" style="38" bestFit="1" customWidth="1"/>
    <col min="8461" max="8461" width="12.109375" style="38" customWidth="1"/>
    <col min="8462" max="8462" width="9.6640625" style="38" customWidth="1"/>
    <col min="8463" max="8463" width="26.5546875" style="38" bestFit="1" customWidth="1"/>
    <col min="8464" max="8464" width="29.33203125" style="38" bestFit="1" customWidth="1"/>
    <col min="8465" max="8474" width="6.6640625" style="38" customWidth="1"/>
    <col min="8475" max="8704" width="8.6640625" style="38"/>
    <col min="8705" max="8705" width="66" style="38" customWidth="1"/>
    <col min="8706" max="8706" width="15" style="38" customWidth="1"/>
    <col min="8707" max="8707" width="8.6640625" style="38"/>
    <col min="8708" max="8708" width="11.44140625" style="38" customWidth="1"/>
    <col min="8709" max="8709" width="9.44140625" style="38" customWidth="1"/>
    <col min="8710" max="8710" width="9.6640625" style="38" bestFit="1" customWidth="1"/>
    <col min="8711" max="8711" width="8.6640625" style="38"/>
    <col min="8712" max="8712" width="25" style="38" customWidth="1"/>
    <col min="8713" max="8713" width="9.5546875" style="38" customWidth="1"/>
    <col min="8714" max="8714" width="11.33203125" style="38" customWidth="1"/>
    <col min="8715" max="8715" width="15.6640625" style="38" customWidth="1"/>
    <col min="8716" max="8716" width="11.33203125" style="38" bestFit="1" customWidth="1"/>
    <col min="8717" max="8717" width="12.109375" style="38" customWidth="1"/>
    <col min="8718" max="8718" width="9.6640625" style="38" customWidth="1"/>
    <col min="8719" max="8719" width="26.5546875" style="38" bestFit="1" customWidth="1"/>
    <col min="8720" max="8720" width="29.33203125" style="38" bestFit="1" customWidth="1"/>
    <col min="8721" max="8730" width="6.6640625" style="38" customWidth="1"/>
    <col min="8731" max="8960" width="8.6640625" style="38"/>
    <col min="8961" max="8961" width="66" style="38" customWidth="1"/>
    <col min="8962" max="8962" width="15" style="38" customWidth="1"/>
    <col min="8963" max="8963" width="8.6640625" style="38"/>
    <col min="8964" max="8964" width="11.44140625" style="38" customWidth="1"/>
    <col min="8965" max="8965" width="9.44140625" style="38" customWidth="1"/>
    <col min="8966" max="8966" width="9.6640625" style="38" bestFit="1" customWidth="1"/>
    <col min="8967" max="8967" width="8.6640625" style="38"/>
    <col min="8968" max="8968" width="25" style="38" customWidth="1"/>
    <col min="8969" max="8969" width="9.5546875" style="38" customWidth="1"/>
    <col min="8970" max="8970" width="11.33203125" style="38" customWidth="1"/>
    <col min="8971" max="8971" width="15.6640625" style="38" customWidth="1"/>
    <col min="8972" max="8972" width="11.33203125" style="38" bestFit="1" customWidth="1"/>
    <col min="8973" max="8973" width="12.109375" style="38" customWidth="1"/>
    <col min="8974" max="8974" width="9.6640625" style="38" customWidth="1"/>
    <col min="8975" max="8975" width="26.5546875" style="38" bestFit="1" customWidth="1"/>
    <col min="8976" max="8976" width="29.33203125" style="38" bestFit="1" customWidth="1"/>
    <col min="8977" max="8986" width="6.6640625" style="38" customWidth="1"/>
    <col min="8987" max="9216" width="8.6640625" style="38"/>
    <col min="9217" max="9217" width="66" style="38" customWidth="1"/>
    <col min="9218" max="9218" width="15" style="38" customWidth="1"/>
    <col min="9219" max="9219" width="8.6640625" style="38"/>
    <col min="9220" max="9220" width="11.44140625" style="38" customWidth="1"/>
    <col min="9221" max="9221" width="9.44140625" style="38" customWidth="1"/>
    <col min="9222" max="9222" width="9.6640625" style="38" bestFit="1" customWidth="1"/>
    <col min="9223" max="9223" width="8.6640625" style="38"/>
    <col min="9224" max="9224" width="25" style="38" customWidth="1"/>
    <col min="9225" max="9225" width="9.5546875" style="38" customWidth="1"/>
    <col min="9226" max="9226" width="11.33203125" style="38" customWidth="1"/>
    <col min="9227" max="9227" width="15.6640625" style="38" customWidth="1"/>
    <col min="9228" max="9228" width="11.33203125" style="38" bestFit="1" customWidth="1"/>
    <col min="9229" max="9229" width="12.109375" style="38" customWidth="1"/>
    <col min="9230" max="9230" width="9.6640625" style="38" customWidth="1"/>
    <col min="9231" max="9231" width="26.5546875" style="38" bestFit="1" customWidth="1"/>
    <col min="9232" max="9232" width="29.33203125" style="38" bestFit="1" customWidth="1"/>
    <col min="9233" max="9242" width="6.6640625" style="38" customWidth="1"/>
    <col min="9243" max="9472" width="8.6640625" style="38"/>
    <col min="9473" max="9473" width="66" style="38" customWidth="1"/>
    <col min="9474" max="9474" width="15" style="38" customWidth="1"/>
    <col min="9475" max="9475" width="8.6640625" style="38"/>
    <col min="9476" max="9476" width="11.44140625" style="38" customWidth="1"/>
    <col min="9477" max="9477" width="9.44140625" style="38" customWidth="1"/>
    <col min="9478" max="9478" width="9.6640625" style="38" bestFit="1" customWidth="1"/>
    <col min="9479" max="9479" width="8.6640625" style="38"/>
    <col min="9480" max="9480" width="25" style="38" customWidth="1"/>
    <col min="9481" max="9481" width="9.5546875" style="38" customWidth="1"/>
    <col min="9482" max="9482" width="11.33203125" style="38" customWidth="1"/>
    <col min="9483" max="9483" width="15.6640625" style="38" customWidth="1"/>
    <col min="9484" max="9484" width="11.33203125" style="38" bestFit="1" customWidth="1"/>
    <col min="9485" max="9485" width="12.109375" style="38" customWidth="1"/>
    <col min="9486" max="9486" width="9.6640625" style="38" customWidth="1"/>
    <col min="9487" max="9487" width="26.5546875" style="38" bestFit="1" customWidth="1"/>
    <col min="9488" max="9488" width="29.33203125" style="38" bestFit="1" customWidth="1"/>
    <col min="9489" max="9498" width="6.6640625" style="38" customWidth="1"/>
    <col min="9499" max="9728" width="8.6640625" style="38"/>
    <col min="9729" max="9729" width="66" style="38" customWidth="1"/>
    <col min="9730" max="9730" width="15" style="38" customWidth="1"/>
    <col min="9731" max="9731" width="8.6640625" style="38"/>
    <col min="9732" max="9732" width="11.44140625" style="38" customWidth="1"/>
    <col min="9733" max="9733" width="9.44140625" style="38" customWidth="1"/>
    <col min="9734" max="9734" width="9.6640625" style="38" bestFit="1" customWidth="1"/>
    <col min="9735" max="9735" width="8.6640625" style="38"/>
    <col min="9736" max="9736" width="25" style="38" customWidth="1"/>
    <col min="9737" max="9737" width="9.5546875" style="38" customWidth="1"/>
    <col min="9738" max="9738" width="11.33203125" style="38" customWidth="1"/>
    <col min="9739" max="9739" width="15.6640625" style="38" customWidth="1"/>
    <col min="9740" max="9740" width="11.33203125" style="38" bestFit="1" customWidth="1"/>
    <col min="9741" max="9741" width="12.109375" style="38" customWidth="1"/>
    <col min="9742" max="9742" width="9.6640625" style="38" customWidth="1"/>
    <col min="9743" max="9743" width="26.5546875" style="38" bestFit="1" customWidth="1"/>
    <col min="9744" max="9744" width="29.33203125" style="38" bestFit="1" customWidth="1"/>
    <col min="9745" max="9754" width="6.6640625" style="38" customWidth="1"/>
    <col min="9755" max="9984" width="8.6640625" style="38"/>
    <col min="9985" max="9985" width="66" style="38" customWidth="1"/>
    <col min="9986" max="9986" width="15" style="38" customWidth="1"/>
    <col min="9987" max="9987" width="8.6640625" style="38"/>
    <col min="9988" max="9988" width="11.44140625" style="38" customWidth="1"/>
    <col min="9989" max="9989" width="9.44140625" style="38" customWidth="1"/>
    <col min="9990" max="9990" width="9.6640625" style="38" bestFit="1" customWidth="1"/>
    <col min="9991" max="9991" width="8.6640625" style="38"/>
    <col min="9992" max="9992" width="25" style="38" customWidth="1"/>
    <col min="9993" max="9993" width="9.5546875" style="38" customWidth="1"/>
    <col min="9994" max="9994" width="11.33203125" style="38" customWidth="1"/>
    <col min="9995" max="9995" width="15.6640625" style="38" customWidth="1"/>
    <col min="9996" max="9996" width="11.33203125" style="38" bestFit="1" customWidth="1"/>
    <col min="9997" max="9997" width="12.109375" style="38" customWidth="1"/>
    <col min="9998" max="9998" width="9.6640625" style="38" customWidth="1"/>
    <col min="9999" max="9999" width="26.5546875" style="38" bestFit="1" customWidth="1"/>
    <col min="10000" max="10000" width="29.33203125" style="38" bestFit="1" customWidth="1"/>
    <col min="10001" max="10010" width="6.6640625" style="38" customWidth="1"/>
    <col min="10011" max="10240" width="8.6640625" style="38"/>
    <col min="10241" max="10241" width="66" style="38" customWidth="1"/>
    <col min="10242" max="10242" width="15" style="38" customWidth="1"/>
    <col min="10243" max="10243" width="8.6640625" style="38"/>
    <col min="10244" max="10244" width="11.44140625" style="38" customWidth="1"/>
    <col min="10245" max="10245" width="9.44140625" style="38" customWidth="1"/>
    <col min="10246" max="10246" width="9.6640625" style="38" bestFit="1" customWidth="1"/>
    <col min="10247" max="10247" width="8.6640625" style="38"/>
    <col min="10248" max="10248" width="25" style="38" customWidth="1"/>
    <col min="10249" max="10249" width="9.5546875" style="38" customWidth="1"/>
    <col min="10250" max="10250" width="11.33203125" style="38" customWidth="1"/>
    <col min="10251" max="10251" width="15.6640625" style="38" customWidth="1"/>
    <col min="10252" max="10252" width="11.33203125" style="38" bestFit="1" customWidth="1"/>
    <col min="10253" max="10253" width="12.109375" style="38" customWidth="1"/>
    <col min="10254" max="10254" width="9.6640625" style="38" customWidth="1"/>
    <col min="10255" max="10255" width="26.5546875" style="38" bestFit="1" customWidth="1"/>
    <col min="10256" max="10256" width="29.33203125" style="38" bestFit="1" customWidth="1"/>
    <col min="10257" max="10266" width="6.6640625" style="38" customWidth="1"/>
    <col min="10267" max="10496" width="8.6640625" style="38"/>
    <col min="10497" max="10497" width="66" style="38" customWidth="1"/>
    <col min="10498" max="10498" width="15" style="38" customWidth="1"/>
    <col min="10499" max="10499" width="8.6640625" style="38"/>
    <col min="10500" max="10500" width="11.44140625" style="38" customWidth="1"/>
    <col min="10501" max="10501" width="9.44140625" style="38" customWidth="1"/>
    <col min="10502" max="10502" width="9.6640625" style="38" bestFit="1" customWidth="1"/>
    <col min="10503" max="10503" width="8.6640625" style="38"/>
    <col min="10504" max="10504" width="25" style="38" customWidth="1"/>
    <col min="10505" max="10505" width="9.5546875" style="38" customWidth="1"/>
    <col min="10506" max="10506" width="11.33203125" style="38" customWidth="1"/>
    <col min="10507" max="10507" width="15.6640625" style="38" customWidth="1"/>
    <col min="10508" max="10508" width="11.33203125" style="38" bestFit="1" customWidth="1"/>
    <col min="10509" max="10509" width="12.109375" style="38" customWidth="1"/>
    <col min="10510" max="10510" width="9.6640625" style="38" customWidth="1"/>
    <col min="10511" max="10511" width="26.5546875" style="38" bestFit="1" customWidth="1"/>
    <col min="10512" max="10512" width="29.33203125" style="38" bestFit="1" customWidth="1"/>
    <col min="10513" max="10522" width="6.6640625" style="38" customWidth="1"/>
    <col min="10523" max="10752" width="8.6640625" style="38"/>
    <col min="10753" max="10753" width="66" style="38" customWidth="1"/>
    <col min="10754" max="10754" width="15" style="38" customWidth="1"/>
    <col min="10755" max="10755" width="8.6640625" style="38"/>
    <col min="10756" max="10756" width="11.44140625" style="38" customWidth="1"/>
    <col min="10757" max="10757" width="9.44140625" style="38" customWidth="1"/>
    <col min="10758" max="10758" width="9.6640625" style="38" bestFit="1" customWidth="1"/>
    <col min="10759" max="10759" width="8.6640625" style="38"/>
    <col min="10760" max="10760" width="25" style="38" customWidth="1"/>
    <col min="10761" max="10761" width="9.5546875" style="38" customWidth="1"/>
    <col min="10762" max="10762" width="11.33203125" style="38" customWidth="1"/>
    <col min="10763" max="10763" width="15.6640625" style="38" customWidth="1"/>
    <col min="10764" max="10764" width="11.33203125" style="38" bestFit="1" customWidth="1"/>
    <col min="10765" max="10765" width="12.109375" style="38" customWidth="1"/>
    <col min="10766" max="10766" width="9.6640625" style="38" customWidth="1"/>
    <col min="10767" max="10767" width="26.5546875" style="38" bestFit="1" customWidth="1"/>
    <col min="10768" max="10768" width="29.33203125" style="38" bestFit="1" customWidth="1"/>
    <col min="10769" max="10778" width="6.6640625" style="38" customWidth="1"/>
    <col min="10779" max="11008" width="8.6640625" style="38"/>
    <col min="11009" max="11009" width="66" style="38" customWidth="1"/>
    <col min="11010" max="11010" width="15" style="38" customWidth="1"/>
    <col min="11011" max="11011" width="8.6640625" style="38"/>
    <col min="11012" max="11012" width="11.44140625" style="38" customWidth="1"/>
    <col min="11013" max="11013" width="9.44140625" style="38" customWidth="1"/>
    <col min="11014" max="11014" width="9.6640625" style="38" bestFit="1" customWidth="1"/>
    <col min="11015" max="11015" width="8.6640625" style="38"/>
    <col min="11016" max="11016" width="25" style="38" customWidth="1"/>
    <col min="11017" max="11017" width="9.5546875" style="38" customWidth="1"/>
    <col min="11018" max="11018" width="11.33203125" style="38" customWidth="1"/>
    <col min="11019" max="11019" width="15.6640625" style="38" customWidth="1"/>
    <col min="11020" max="11020" width="11.33203125" style="38" bestFit="1" customWidth="1"/>
    <col min="11021" max="11021" width="12.109375" style="38" customWidth="1"/>
    <col min="11022" max="11022" width="9.6640625" style="38" customWidth="1"/>
    <col min="11023" max="11023" width="26.5546875" style="38" bestFit="1" customWidth="1"/>
    <col min="11024" max="11024" width="29.33203125" style="38" bestFit="1" customWidth="1"/>
    <col min="11025" max="11034" width="6.6640625" style="38" customWidth="1"/>
    <col min="11035" max="11264" width="8.6640625" style="38"/>
    <col min="11265" max="11265" width="66" style="38" customWidth="1"/>
    <col min="11266" max="11266" width="15" style="38" customWidth="1"/>
    <col min="11267" max="11267" width="8.6640625" style="38"/>
    <col min="11268" max="11268" width="11.44140625" style="38" customWidth="1"/>
    <col min="11269" max="11269" width="9.44140625" style="38" customWidth="1"/>
    <col min="11270" max="11270" width="9.6640625" style="38" bestFit="1" customWidth="1"/>
    <col min="11271" max="11271" width="8.6640625" style="38"/>
    <col min="11272" max="11272" width="25" style="38" customWidth="1"/>
    <col min="11273" max="11273" width="9.5546875" style="38" customWidth="1"/>
    <col min="11274" max="11274" width="11.33203125" style="38" customWidth="1"/>
    <col min="11275" max="11275" width="15.6640625" style="38" customWidth="1"/>
    <col min="11276" max="11276" width="11.33203125" style="38" bestFit="1" customWidth="1"/>
    <col min="11277" max="11277" width="12.109375" style="38" customWidth="1"/>
    <col min="11278" max="11278" width="9.6640625" style="38" customWidth="1"/>
    <col min="11279" max="11279" width="26.5546875" style="38" bestFit="1" customWidth="1"/>
    <col min="11280" max="11280" width="29.33203125" style="38" bestFit="1" customWidth="1"/>
    <col min="11281" max="11290" width="6.6640625" style="38" customWidth="1"/>
    <col min="11291" max="11520" width="8.6640625" style="38"/>
    <col min="11521" max="11521" width="66" style="38" customWidth="1"/>
    <col min="11522" max="11522" width="15" style="38" customWidth="1"/>
    <col min="11523" max="11523" width="8.6640625" style="38"/>
    <col min="11524" max="11524" width="11.44140625" style="38" customWidth="1"/>
    <col min="11525" max="11525" width="9.44140625" style="38" customWidth="1"/>
    <col min="11526" max="11526" width="9.6640625" style="38" bestFit="1" customWidth="1"/>
    <col min="11527" max="11527" width="8.6640625" style="38"/>
    <col min="11528" max="11528" width="25" style="38" customWidth="1"/>
    <col min="11529" max="11529" width="9.5546875" style="38" customWidth="1"/>
    <col min="11530" max="11530" width="11.33203125" style="38" customWidth="1"/>
    <col min="11531" max="11531" width="15.6640625" style="38" customWidth="1"/>
    <col min="11532" max="11532" width="11.33203125" style="38" bestFit="1" customWidth="1"/>
    <col min="11533" max="11533" width="12.109375" style="38" customWidth="1"/>
    <col min="11534" max="11534" width="9.6640625" style="38" customWidth="1"/>
    <col min="11535" max="11535" width="26.5546875" style="38" bestFit="1" customWidth="1"/>
    <col min="11536" max="11536" width="29.33203125" style="38" bestFit="1" customWidth="1"/>
    <col min="11537" max="11546" width="6.6640625" style="38" customWidth="1"/>
    <col min="11547" max="11776" width="8.6640625" style="38"/>
    <col min="11777" max="11777" width="66" style="38" customWidth="1"/>
    <col min="11778" max="11778" width="15" style="38" customWidth="1"/>
    <col min="11779" max="11779" width="8.6640625" style="38"/>
    <col min="11780" max="11780" width="11.44140625" style="38" customWidth="1"/>
    <col min="11781" max="11781" width="9.44140625" style="38" customWidth="1"/>
    <col min="11782" max="11782" width="9.6640625" style="38" bestFit="1" customWidth="1"/>
    <col min="11783" max="11783" width="8.6640625" style="38"/>
    <col min="11784" max="11784" width="25" style="38" customWidth="1"/>
    <col min="11785" max="11785" width="9.5546875" style="38" customWidth="1"/>
    <col min="11786" max="11786" width="11.33203125" style="38" customWidth="1"/>
    <col min="11787" max="11787" width="15.6640625" style="38" customWidth="1"/>
    <col min="11788" max="11788" width="11.33203125" style="38" bestFit="1" customWidth="1"/>
    <col min="11789" max="11789" width="12.109375" style="38" customWidth="1"/>
    <col min="11790" max="11790" width="9.6640625" style="38" customWidth="1"/>
    <col min="11791" max="11791" width="26.5546875" style="38" bestFit="1" customWidth="1"/>
    <col min="11792" max="11792" width="29.33203125" style="38" bestFit="1" customWidth="1"/>
    <col min="11793" max="11802" width="6.6640625" style="38" customWidth="1"/>
    <col min="11803" max="12032" width="8.6640625" style="38"/>
    <col min="12033" max="12033" width="66" style="38" customWidth="1"/>
    <col min="12034" max="12034" width="15" style="38" customWidth="1"/>
    <col min="12035" max="12035" width="8.6640625" style="38"/>
    <col min="12036" max="12036" width="11.44140625" style="38" customWidth="1"/>
    <col min="12037" max="12037" width="9.44140625" style="38" customWidth="1"/>
    <col min="12038" max="12038" width="9.6640625" style="38" bestFit="1" customWidth="1"/>
    <col min="12039" max="12039" width="8.6640625" style="38"/>
    <col min="12040" max="12040" width="25" style="38" customWidth="1"/>
    <col min="12041" max="12041" width="9.5546875" style="38" customWidth="1"/>
    <col min="12042" max="12042" width="11.33203125" style="38" customWidth="1"/>
    <col min="12043" max="12043" width="15.6640625" style="38" customWidth="1"/>
    <col min="12044" max="12044" width="11.33203125" style="38" bestFit="1" customWidth="1"/>
    <col min="12045" max="12045" width="12.109375" style="38" customWidth="1"/>
    <col min="12046" max="12046" width="9.6640625" style="38" customWidth="1"/>
    <col min="12047" max="12047" width="26.5546875" style="38" bestFit="1" customWidth="1"/>
    <col min="12048" max="12048" width="29.33203125" style="38" bestFit="1" customWidth="1"/>
    <col min="12049" max="12058" width="6.6640625" style="38" customWidth="1"/>
    <col min="12059" max="12288" width="8.6640625" style="38"/>
    <col min="12289" max="12289" width="66" style="38" customWidth="1"/>
    <col min="12290" max="12290" width="15" style="38" customWidth="1"/>
    <col min="12291" max="12291" width="8.6640625" style="38"/>
    <col min="12292" max="12292" width="11.44140625" style="38" customWidth="1"/>
    <col min="12293" max="12293" width="9.44140625" style="38" customWidth="1"/>
    <col min="12294" max="12294" width="9.6640625" style="38" bestFit="1" customWidth="1"/>
    <col min="12295" max="12295" width="8.6640625" style="38"/>
    <col min="12296" max="12296" width="25" style="38" customWidth="1"/>
    <col min="12297" max="12297" width="9.5546875" style="38" customWidth="1"/>
    <col min="12298" max="12298" width="11.33203125" style="38" customWidth="1"/>
    <col min="12299" max="12299" width="15.6640625" style="38" customWidth="1"/>
    <col min="12300" max="12300" width="11.33203125" style="38" bestFit="1" customWidth="1"/>
    <col min="12301" max="12301" width="12.109375" style="38" customWidth="1"/>
    <col min="12302" max="12302" width="9.6640625" style="38" customWidth="1"/>
    <col min="12303" max="12303" width="26.5546875" style="38" bestFit="1" customWidth="1"/>
    <col min="12304" max="12304" width="29.33203125" style="38" bestFit="1" customWidth="1"/>
    <col min="12305" max="12314" width="6.6640625" style="38" customWidth="1"/>
    <col min="12315" max="12544" width="8.6640625" style="38"/>
    <col min="12545" max="12545" width="66" style="38" customWidth="1"/>
    <col min="12546" max="12546" width="15" style="38" customWidth="1"/>
    <col min="12547" max="12547" width="8.6640625" style="38"/>
    <col min="12548" max="12548" width="11.44140625" style="38" customWidth="1"/>
    <col min="12549" max="12549" width="9.44140625" style="38" customWidth="1"/>
    <col min="12550" max="12550" width="9.6640625" style="38" bestFit="1" customWidth="1"/>
    <col min="12551" max="12551" width="8.6640625" style="38"/>
    <col min="12552" max="12552" width="25" style="38" customWidth="1"/>
    <col min="12553" max="12553" width="9.5546875" style="38" customWidth="1"/>
    <col min="12554" max="12554" width="11.33203125" style="38" customWidth="1"/>
    <col min="12555" max="12555" width="15.6640625" style="38" customWidth="1"/>
    <col min="12556" max="12556" width="11.33203125" style="38" bestFit="1" customWidth="1"/>
    <col min="12557" max="12557" width="12.109375" style="38" customWidth="1"/>
    <col min="12558" max="12558" width="9.6640625" style="38" customWidth="1"/>
    <col min="12559" max="12559" width="26.5546875" style="38" bestFit="1" customWidth="1"/>
    <col min="12560" max="12560" width="29.33203125" style="38" bestFit="1" customWidth="1"/>
    <col min="12561" max="12570" width="6.6640625" style="38" customWidth="1"/>
    <col min="12571" max="12800" width="8.6640625" style="38"/>
    <col min="12801" max="12801" width="66" style="38" customWidth="1"/>
    <col min="12802" max="12802" width="15" style="38" customWidth="1"/>
    <col min="12803" max="12803" width="8.6640625" style="38"/>
    <col min="12804" max="12804" width="11.44140625" style="38" customWidth="1"/>
    <col min="12805" max="12805" width="9.44140625" style="38" customWidth="1"/>
    <col min="12806" max="12806" width="9.6640625" style="38" bestFit="1" customWidth="1"/>
    <col min="12807" max="12807" width="8.6640625" style="38"/>
    <col min="12808" max="12808" width="25" style="38" customWidth="1"/>
    <col min="12809" max="12809" width="9.5546875" style="38" customWidth="1"/>
    <col min="12810" max="12810" width="11.33203125" style="38" customWidth="1"/>
    <col min="12811" max="12811" width="15.6640625" style="38" customWidth="1"/>
    <col min="12812" max="12812" width="11.33203125" style="38" bestFit="1" customWidth="1"/>
    <col min="12813" max="12813" width="12.109375" style="38" customWidth="1"/>
    <col min="12814" max="12814" width="9.6640625" style="38" customWidth="1"/>
    <col min="12815" max="12815" width="26.5546875" style="38" bestFit="1" customWidth="1"/>
    <col min="12816" max="12816" width="29.33203125" style="38" bestFit="1" customWidth="1"/>
    <col min="12817" max="12826" width="6.6640625" style="38" customWidth="1"/>
    <col min="12827" max="13056" width="8.6640625" style="38"/>
    <col min="13057" max="13057" width="66" style="38" customWidth="1"/>
    <col min="13058" max="13058" width="15" style="38" customWidth="1"/>
    <col min="13059" max="13059" width="8.6640625" style="38"/>
    <col min="13060" max="13060" width="11.44140625" style="38" customWidth="1"/>
    <col min="13061" max="13061" width="9.44140625" style="38" customWidth="1"/>
    <col min="13062" max="13062" width="9.6640625" style="38" bestFit="1" customWidth="1"/>
    <col min="13063" max="13063" width="8.6640625" style="38"/>
    <col min="13064" max="13064" width="25" style="38" customWidth="1"/>
    <col min="13065" max="13065" width="9.5546875" style="38" customWidth="1"/>
    <col min="13066" max="13066" width="11.33203125" style="38" customWidth="1"/>
    <col min="13067" max="13067" width="15.6640625" style="38" customWidth="1"/>
    <col min="13068" max="13068" width="11.33203125" style="38" bestFit="1" customWidth="1"/>
    <col min="13069" max="13069" width="12.109375" style="38" customWidth="1"/>
    <col min="13070" max="13070" width="9.6640625" style="38" customWidth="1"/>
    <col min="13071" max="13071" width="26.5546875" style="38" bestFit="1" customWidth="1"/>
    <col min="13072" max="13072" width="29.33203125" style="38" bestFit="1" customWidth="1"/>
    <col min="13073" max="13082" width="6.6640625" style="38" customWidth="1"/>
    <col min="13083" max="13312" width="8.6640625" style="38"/>
    <col min="13313" max="13313" width="66" style="38" customWidth="1"/>
    <col min="13314" max="13314" width="15" style="38" customWidth="1"/>
    <col min="13315" max="13315" width="8.6640625" style="38"/>
    <col min="13316" max="13316" width="11.44140625" style="38" customWidth="1"/>
    <col min="13317" max="13317" width="9.44140625" style="38" customWidth="1"/>
    <col min="13318" max="13318" width="9.6640625" style="38" bestFit="1" customWidth="1"/>
    <col min="13319" max="13319" width="8.6640625" style="38"/>
    <col min="13320" max="13320" width="25" style="38" customWidth="1"/>
    <col min="13321" max="13321" width="9.5546875" style="38" customWidth="1"/>
    <col min="13322" max="13322" width="11.33203125" style="38" customWidth="1"/>
    <col min="13323" max="13323" width="15.6640625" style="38" customWidth="1"/>
    <col min="13324" max="13324" width="11.33203125" style="38" bestFit="1" customWidth="1"/>
    <col min="13325" max="13325" width="12.109375" style="38" customWidth="1"/>
    <col min="13326" max="13326" width="9.6640625" style="38" customWidth="1"/>
    <col min="13327" max="13327" width="26.5546875" style="38" bestFit="1" customWidth="1"/>
    <col min="13328" max="13328" width="29.33203125" style="38" bestFit="1" customWidth="1"/>
    <col min="13329" max="13338" width="6.6640625" style="38" customWidth="1"/>
    <col min="13339" max="13568" width="8.6640625" style="38"/>
    <col min="13569" max="13569" width="66" style="38" customWidth="1"/>
    <col min="13570" max="13570" width="15" style="38" customWidth="1"/>
    <col min="13571" max="13571" width="8.6640625" style="38"/>
    <col min="13572" max="13572" width="11.44140625" style="38" customWidth="1"/>
    <col min="13573" max="13573" width="9.44140625" style="38" customWidth="1"/>
    <col min="13574" max="13574" width="9.6640625" style="38" bestFit="1" customWidth="1"/>
    <col min="13575" max="13575" width="8.6640625" style="38"/>
    <col min="13576" max="13576" width="25" style="38" customWidth="1"/>
    <col min="13577" max="13577" width="9.5546875" style="38" customWidth="1"/>
    <col min="13578" max="13578" width="11.33203125" style="38" customWidth="1"/>
    <col min="13579" max="13579" width="15.6640625" style="38" customWidth="1"/>
    <col min="13580" max="13580" width="11.33203125" style="38" bestFit="1" customWidth="1"/>
    <col min="13581" max="13581" width="12.109375" style="38" customWidth="1"/>
    <col min="13582" max="13582" width="9.6640625" style="38" customWidth="1"/>
    <col min="13583" max="13583" width="26.5546875" style="38" bestFit="1" customWidth="1"/>
    <col min="13584" max="13584" width="29.33203125" style="38" bestFit="1" customWidth="1"/>
    <col min="13585" max="13594" width="6.6640625" style="38" customWidth="1"/>
    <col min="13595" max="13824" width="8.6640625" style="38"/>
    <col min="13825" max="13825" width="66" style="38" customWidth="1"/>
    <col min="13826" max="13826" width="15" style="38" customWidth="1"/>
    <col min="13827" max="13827" width="8.6640625" style="38"/>
    <col min="13828" max="13828" width="11.44140625" style="38" customWidth="1"/>
    <col min="13829" max="13829" width="9.44140625" style="38" customWidth="1"/>
    <col min="13830" max="13830" width="9.6640625" style="38" bestFit="1" customWidth="1"/>
    <col min="13831" max="13831" width="8.6640625" style="38"/>
    <col min="13832" max="13832" width="25" style="38" customWidth="1"/>
    <col min="13833" max="13833" width="9.5546875" style="38" customWidth="1"/>
    <col min="13834" max="13834" width="11.33203125" style="38" customWidth="1"/>
    <col min="13835" max="13835" width="15.6640625" style="38" customWidth="1"/>
    <col min="13836" max="13836" width="11.33203125" style="38" bestFit="1" customWidth="1"/>
    <col min="13837" max="13837" width="12.109375" style="38" customWidth="1"/>
    <col min="13838" max="13838" width="9.6640625" style="38" customWidth="1"/>
    <col min="13839" max="13839" width="26.5546875" style="38" bestFit="1" customWidth="1"/>
    <col min="13840" max="13840" width="29.33203125" style="38" bestFit="1" customWidth="1"/>
    <col min="13841" max="13850" width="6.6640625" style="38" customWidth="1"/>
    <col min="13851" max="14080" width="8.6640625" style="38"/>
    <col min="14081" max="14081" width="66" style="38" customWidth="1"/>
    <col min="14082" max="14082" width="15" style="38" customWidth="1"/>
    <col min="14083" max="14083" width="8.6640625" style="38"/>
    <col min="14084" max="14084" width="11.44140625" style="38" customWidth="1"/>
    <col min="14085" max="14085" width="9.44140625" style="38" customWidth="1"/>
    <col min="14086" max="14086" width="9.6640625" style="38" bestFit="1" customWidth="1"/>
    <col min="14087" max="14087" width="8.6640625" style="38"/>
    <col min="14088" max="14088" width="25" style="38" customWidth="1"/>
    <col min="14089" max="14089" width="9.5546875" style="38" customWidth="1"/>
    <col min="14090" max="14090" width="11.33203125" style="38" customWidth="1"/>
    <col min="14091" max="14091" width="15.6640625" style="38" customWidth="1"/>
    <col min="14092" max="14092" width="11.33203125" style="38" bestFit="1" customWidth="1"/>
    <col min="14093" max="14093" width="12.109375" style="38" customWidth="1"/>
    <col min="14094" max="14094" width="9.6640625" style="38" customWidth="1"/>
    <col min="14095" max="14095" width="26.5546875" style="38" bestFit="1" customWidth="1"/>
    <col min="14096" max="14096" width="29.33203125" style="38" bestFit="1" customWidth="1"/>
    <col min="14097" max="14106" width="6.6640625" style="38" customWidth="1"/>
    <col min="14107" max="14336" width="8.6640625" style="38"/>
    <col min="14337" max="14337" width="66" style="38" customWidth="1"/>
    <col min="14338" max="14338" width="15" style="38" customWidth="1"/>
    <col min="14339" max="14339" width="8.6640625" style="38"/>
    <col min="14340" max="14340" width="11.44140625" style="38" customWidth="1"/>
    <col min="14341" max="14341" width="9.44140625" style="38" customWidth="1"/>
    <col min="14342" max="14342" width="9.6640625" style="38" bestFit="1" customWidth="1"/>
    <col min="14343" max="14343" width="8.6640625" style="38"/>
    <col min="14344" max="14344" width="25" style="38" customWidth="1"/>
    <col min="14345" max="14345" width="9.5546875" style="38" customWidth="1"/>
    <col min="14346" max="14346" width="11.33203125" style="38" customWidth="1"/>
    <col min="14347" max="14347" width="15.6640625" style="38" customWidth="1"/>
    <col min="14348" max="14348" width="11.33203125" style="38" bestFit="1" customWidth="1"/>
    <col min="14349" max="14349" width="12.109375" style="38" customWidth="1"/>
    <col min="14350" max="14350" width="9.6640625" style="38" customWidth="1"/>
    <col min="14351" max="14351" width="26.5546875" style="38" bestFit="1" customWidth="1"/>
    <col min="14352" max="14352" width="29.33203125" style="38" bestFit="1" customWidth="1"/>
    <col min="14353" max="14362" width="6.6640625" style="38" customWidth="1"/>
    <col min="14363" max="14592" width="8.6640625" style="38"/>
    <col min="14593" max="14593" width="66" style="38" customWidth="1"/>
    <col min="14594" max="14594" width="15" style="38" customWidth="1"/>
    <col min="14595" max="14595" width="8.6640625" style="38"/>
    <col min="14596" max="14596" width="11.44140625" style="38" customWidth="1"/>
    <col min="14597" max="14597" width="9.44140625" style="38" customWidth="1"/>
    <col min="14598" max="14598" width="9.6640625" style="38" bestFit="1" customWidth="1"/>
    <col min="14599" max="14599" width="8.6640625" style="38"/>
    <col min="14600" max="14600" width="25" style="38" customWidth="1"/>
    <col min="14601" max="14601" width="9.5546875" style="38" customWidth="1"/>
    <col min="14602" max="14602" width="11.33203125" style="38" customWidth="1"/>
    <col min="14603" max="14603" width="15.6640625" style="38" customWidth="1"/>
    <col min="14604" max="14604" width="11.33203125" style="38" bestFit="1" customWidth="1"/>
    <col min="14605" max="14605" width="12.109375" style="38" customWidth="1"/>
    <col min="14606" max="14606" width="9.6640625" style="38" customWidth="1"/>
    <col min="14607" max="14607" width="26.5546875" style="38" bestFit="1" customWidth="1"/>
    <col min="14608" max="14608" width="29.33203125" style="38" bestFit="1" customWidth="1"/>
    <col min="14609" max="14618" width="6.6640625" style="38" customWidth="1"/>
    <col min="14619" max="14848" width="8.6640625" style="38"/>
    <col min="14849" max="14849" width="66" style="38" customWidth="1"/>
    <col min="14850" max="14850" width="15" style="38" customWidth="1"/>
    <col min="14851" max="14851" width="8.6640625" style="38"/>
    <col min="14852" max="14852" width="11.44140625" style="38" customWidth="1"/>
    <col min="14853" max="14853" width="9.44140625" style="38" customWidth="1"/>
    <col min="14854" max="14854" width="9.6640625" style="38" bestFit="1" customWidth="1"/>
    <col min="14855" max="14855" width="8.6640625" style="38"/>
    <col min="14856" max="14856" width="25" style="38" customWidth="1"/>
    <col min="14857" max="14857" width="9.5546875" style="38" customWidth="1"/>
    <col min="14858" max="14858" width="11.33203125" style="38" customWidth="1"/>
    <col min="14859" max="14859" width="15.6640625" style="38" customWidth="1"/>
    <col min="14860" max="14860" width="11.33203125" style="38" bestFit="1" customWidth="1"/>
    <col min="14861" max="14861" width="12.109375" style="38" customWidth="1"/>
    <col min="14862" max="14862" width="9.6640625" style="38" customWidth="1"/>
    <col min="14863" max="14863" width="26.5546875" style="38" bestFit="1" customWidth="1"/>
    <col min="14864" max="14864" width="29.33203125" style="38" bestFit="1" customWidth="1"/>
    <col min="14865" max="14874" width="6.6640625" style="38" customWidth="1"/>
    <col min="14875" max="15104" width="8.6640625" style="38"/>
    <col min="15105" max="15105" width="66" style="38" customWidth="1"/>
    <col min="15106" max="15106" width="15" style="38" customWidth="1"/>
    <col min="15107" max="15107" width="8.6640625" style="38"/>
    <col min="15108" max="15108" width="11.44140625" style="38" customWidth="1"/>
    <col min="15109" max="15109" width="9.44140625" style="38" customWidth="1"/>
    <col min="15110" max="15110" width="9.6640625" style="38" bestFit="1" customWidth="1"/>
    <col min="15111" max="15111" width="8.6640625" style="38"/>
    <col min="15112" max="15112" width="25" style="38" customWidth="1"/>
    <col min="15113" max="15113" width="9.5546875" style="38" customWidth="1"/>
    <col min="15114" max="15114" width="11.33203125" style="38" customWidth="1"/>
    <col min="15115" max="15115" width="15.6640625" style="38" customWidth="1"/>
    <col min="15116" max="15116" width="11.33203125" style="38" bestFit="1" customWidth="1"/>
    <col min="15117" max="15117" width="12.109375" style="38" customWidth="1"/>
    <col min="15118" max="15118" width="9.6640625" style="38" customWidth="1"/>
    <col min="15119" max="15119" width="26.5546875" style="38" bestFit="1" customWidth="1"/>
    <col min="15120" max="15120" width="29.33203125" style="38" bestFit="1" customWidth="1"/>
    <col min="15121" max="15130" width="6.6640625" style="38" customWidth="1"/>
    <col min="15131" max="15360" width="8.6640625" style="38"/>
    <col min="15361" max="15361" width="66" style="38" customWidth="1"/>
    <col min="15362" max="15362" width="15" style="38" customWidth="1"/>
    <col min="15363" max="15363" width="8.6640625" style="38"/>
    <col min="15364" max="15364" width="11.44140625" style="38" customWidth="1"/>
    <col min="15365" max="15365" width="9.44140625" style="38" customWidth="1"/>
    <col min="15366" max="15366" width="9.6640625" style="38" bestFit="1" customWidth="1"/>
    <col min="15367" max="15367" width="8.6640625" style="38"/>
    <col min="15368" max="15368" width="25" style="38" customWidth="1"/>
    <col min="15369" max="15369" width="9.5546875" style="38" customWidth="1"/>
    <col min="15370" max="15370" width="11.33203125" style="38" customWidth="1"/>
    <col min="15371" max="15371" width="15.6640625" style="38" customWidth="1"/>
    <col min="15372" max="15372" width="11.33203125" style="38" bestFit="1" customWidth="1"/>
    <col min="15373" max="15373" width="12.109375" style="38" customWidth="1"/>
    <col min="15374" max="15374" width="9.6640625" style="38" customWidth="1"/>
    <col min="15375" max="15375" width="26.5546875" style="38" bestFit="1" customWidth="1"/>
    <col min="15376" max="15376" width="29.33203125" style="38" bestFit="1" customWidth="1"/>
    <col min="15377" max="15386" width="6.6640625" style="38" customWidth="1"/>
    <col min="15387" max="15616" width="8.6640625" style="38"/>
    <col min="15617" max="15617" width="66" style="38" customWidth="1"/>
    <col min="15618" max="15618" width="15" style="38" customWidth="1"/>
    <col min="15619" max="15619" width="8.6640625" style="38"/>
    <col min="15620" max="15620" width="11.44140625" style="38" customWidth="1"/>
    <col min="15621" max="15621" width="9.44140625" style="38" customWidth="1"/>
    <col min="15622" max="15622" width="9.6640625" style="38" bestFit="1" customWidth="1"/>
    <col min="15623" max="15623" width="8.6640625" style="38"/>
    <col min="15624" max="15624" width="25" style="38" customWidth="1"/>
    <col min="15625" max="15625" width="9.5546875" style="38" customWidth="1"/>
    <col min="15626" max="15626" width="11.33203125" style="38" customWidth="1"/>
    <col min="15627" max="15627" width="15.6640625" style="38" customWidth="1"/>
    <col min="15628" max="15628" width="11.33203125" style="38" bestFit="1" customWidth="1"/>
    <col min="15629" max="15629" width="12.109375" style="38" customWidth="1"/>
    <col min="15630" max="15630" width="9.6640625" style="38" customWidth="1"/>
    <col min="15631" max="15631" width="26.5546875" style="38" bestFit="1" customWidth="1"/>
    <col min="15632" max="15632" width="29.33203125" style="38" bestFit="1" customWidth="1"/>
    <col min="15633" max="15642" width="6.6640625" style="38" customWidth="1"/>
    <col min="15643" max="15872" width="8.6640625" style="38"/>
    <col min="15873" max="15873" width="66" style="38" customWidth="1"/>
    <col min="15874" max="15874" width="15" style="38" customWidth="1"/>
    <col min="15875" max="15875" width="8.6640625" style="38"/>
    <col min="15876" max="15876" width="11.44140625" style="38" customWidth="1"/>
    <col min="15877" max="15877" width="9.44140625" style="38" customWidth="1"/>
    <col min="15878" max="15878" width="9.6640625" style="38" bestFit="1" customWidth="1"/>
    <col min="15879" max="15879" width="8.6640625" style="38"/>
    <col min="15880" max="15880" width="25" style="38" customWidth="1"/>
    <col min="15881" max="15881" width="9.5546875" style="38" customWidth="1"/>
    <col min="15882" max="15882" width="11.33203125" style="38" customWidth="1"/>
    <col min="15883" max="15883" width="15.6640625" style="38" customWidth="1"/>
    <col min="15884" max="15884" width="11.33203125" style="38" bestFit="1" customWidth="1"/>
    <col min="15885" max="15885" width="12.109375" style="38" customWidth="1"/>
    <col min="15886" max="15886" width="9.6640625" style="38" customWidth="1"/>
    <col min="15887" max="15887" width="26.5546875" style="38" bestFit="1" customWidth="1"/>
    <col min="15888" max="15888" width="29.33203125" style="38" bestFit="1" customWidth="1"/>
    <col min="15889" max="15898" width="6.6640625" style="38" customWidth="1"/>
    <col min="15899" max="16128" width="8.6640625" style="38"/>
    <col min="16129" max="16129" width="66" style="38" customWidth="1"/>
    <col min="16130" max="16130" width="15" style="38" customWidth="1"/>
    <col min="16131" max="16131" width="8.6640625" style="38"/>
    <col min="16132" max="16132" width="11.44140625" style="38" customWidth="1"/>
    <col min="16133" max="16133" width="9.44140625" style="38" customWidth="1"/>
    <col min="16134" max="16134" width="9.6640625" style="38" bestFit="1" customWidth="1"/>
    <col min="16135" max="16135" width="8.6640625" style="38"/>
    <col min="16136" max="16136" width="25" style="38" customWidth="1"/>
    <col min="16137" max="16137" width="9.5546875" style="38" customWidth="1"/>
    <col min="16138" max="16138" width="11.33203125" style="38" customWidth="1"/>
    <col min="16139" max="16139" width="15.6640625" style="38" customWidth="1"/>
    <col min="16140" max="16140" width="11.33203125" style="38" bestFit="1" customWidth="1"/>
    <col min="16141" max="16141" width="12.109375" style="38" customWidth="1"/>
    <col min="16142" max="16142" width="9.6640625" style="38" customWidth="1"/>
    <col min="16143" max="16143" width="26.5546875" style="38" bestFit="1" customWidth="1"/>
    <col min="16144" max="16144" width="29.33203125" style="38" bestFit="1" customWidth="1"/>
    <col min="16145" max="16154" width="6.6640625" style="38" customWidth="1"/>
    <col min="16155" max="16384" width="8.6640625" style="38"/>
  </cols>
  <sheetData>
    <row r="1" spans="1:14" ht="24.9" customHeight="1">
      <c r="A1" s="1" t="s">
        <v>0</v>
      </c>
      <c r="B1" s="1">
        <v>4</v>
      </c>
      <c r="C1" s="2" t="s">
        <v>364</v>
      </c>
      <c r="H1" s="4" t="s">
        <v>1</v>
      </c>
      <c r="I1" s="5"/>
      <c r="J1" s="3"/>
      <c r="K1" s="3"/>
      <c r="L1" s="3"/>
      <c r="M1" s="3"/>
      <c r="N1" s="3"/>
    </row>
    <row r="2" spans="1:14" ht="15" customHeight="1">
      <c r="A2" s="6"/>
      <c r="B2" s="7" t="s">
        <v>2</v>
      </c>
      <c r="C2" s="8"/>
      <c r="D2" s="254" t="s">
        <v>3</v>
      </c>
      <c r="E2" s="255"/>
      <c r="F2" s="256" t="s">
        <v>4</v>
      </c>
      <c r="H2" s="3"/>
      <c r="I2" s="3"/>
      <c r="J2" s="3"/>
      <c r="K2" s="3"/>
      <c r="L2" s="3"/>
      <c r="M2" s="3"/>
      <c r="N2" s="3"/>
    </row>
    <row r="3" spans="1:14" ht="15" customHeight="1">
      <c r="A3" s="9" t="s">
        <v>5</v>
      </c>
      <c r="B3" s="253">
        <v>50840.521229912134</v>
      </c>
      <c r="C3" s="10">
        <f>SUM(C4:C5)</f>
        <v>1</v>
      </c>
      <c r="D3" s="258">
        <f>SUM(D4:D5)</f>
        <v>3054.91</v>
      </c>
      <c r="E3" s="257">
        <f>D3/$D$3</f>
        <v>1</v>
      </c>
      <c r="F3" s="259" t="s">
        <v>6</v>
      </c>
      <c r="H3" s="9" t="s">
        <v>7</v>
      </c>
      <c r="I3" s="11">
        <v>0</v>
      </c>
      <c r="J3" s="12" t="s">
        <v>8</v>
      </c>
      <c r="K3" s="3"/>
      <c r="L3" s="13" t="s">
        <v>9</v>
      </c>
      <c r="M3" s="14">
        <v>0.45</v>
      </c>
      <c r="N3" s="15">
        <f>M3*B3</f>
        <v>22878.234553460461</v>
      </c>
    </row>
    <row r="4" spans="1:14" ht="15" customHeight="1">
      <c r="A4" s="16" t="s">
        <v>10</v>
      </c>
      <c r="B4" s="17">
        <f>C4*B3</f>
        <v>43481.355460002786</v>
      </c>
      <c r="C4" s="18">
        <v>0.85524999366883825</v>
      </c>
      <c r="D4" s="260">
        <f>SUMIFS([16]Ram!G2:G991,[16]Ram!C2:C991,230,[16]Ram!F2:F991,"S")</f>
        <v>2780.1499999999996</v>
      </c>
      <c r="E4" s="261">
        <f>D4/$D$3</f>
        <v>0.9100595434890062</v>
      </c>
      <c r="F4" s="262">
        <f>B4/D4</f>
        <v>15.639931464130637</v>
      </c>
      <c r="H4" s="3"/>
      <c r="I4" s="3"/>
      <c r="J4" s="3"/>
      <c r="K4" s="3"/>
      <c r="L4" s="13" t="s">
        <v>11</v>
      </c>
      <c r="M4" s="14">
        <v>0.55000000000000004</v>
      </c>
      <c r="N4" s="15">
        <f>M4*B3</f>
        <v>27962.286676451677</v>
      </c>
    </row>
    <row r="5" spans="1:14" ht="15" customHeight="1">
      <c r="A5" s="19" t="s">
        <v>12</v>
      </c>
      <c r="B5" s="20">
        <f>C5*B3</f>
        <v>7359.1657699093448</v>
      </c>
      <c r="C5" s="21">
        <f>1-C4</f>
        <v>0.14475000633116175</v>
      </c>
      <c r="D5" s="263">
        <f>SUMIFS([16]Ram!G2:G991,[16]Ram!C2:C991,115,[16]Ram!F2:F991,"S")</f>
        <v>274.76000000000005</v>
      </c>
      <c r="E5" s="264">
        <f>D5/$D$3</f>
        <v>8.9940456510993791E-2</v>
      </c>
      <c r="F5" s="265">
        <f>B5/D5</f>
        <v>26.783977907662482</v>
      </c>
      <c r="H5" s="3"/>
      <c r="I5" s="3"/>
      <c r="J5" s="3"/>
      <c r="K5" s="3"/>
      <c r="L5" s="3"/>
      <c r="M5" s="3"/>
      <c r="N5" s="3"/>
    </row>
    <row r="6" spans="1:14" ht="15" customHeight="1">
      <c r="A6" s="22"/>
      <c r="B6" s="22"/>
      <c r="C6" s="23"/>
      <c r="E6" s="266"/>
      <c r="H6" s="3"/>
      <c r="I6" s="3"/>
      <c r="J6" s="3"/>
      <c r="K6" s="3"/>
      <c r="L6" s="24" t="s">
        <v>13</v>
      </c>
      <c r="M6" s="25">
        <f>[16]ENERGIA!L17</f>
        <v>0</v>
      </c>
      <c r="N6" s="26" t="s">
        <v>14</v>
      </c>
    </row>
    <row r="7" spans="1:14" ht="15" customHeight="1">
      <c r="A7" s="27" t="s">
        <v>15</v>
      </c>
      <c r="B7" s="253">
        <v>55949.542291452024</v>
      </c>
      <c r="C7" s="10">
        <v>1</v>
      </c>
      <c r="D7" s="267">
        <f>SUMIF([16]Ram!F3:F991,"SD",[16]Ram!G3:G991)</f>
        <v>387.74</v>
      </c>
      <c r="E7" s="257">
        <v>1</v>
      </c>
      <c r="F7" s="268">
        <f>IF(B7&gt;0,B7/D7,0)</f>
        <v>144.29654482759588</v>
      </c>
      <c r="G7" s="38" t="s">
        <v>184</v>
      </c>
      <c r="H7" s="9" t="s">
        <v>16</v>
      </c>
      <c r="I7" s="11">
        <v>0</v>
      </c>
      <c r="J7" s="12" t="s">
        <v>8</v>
      </c>
      <c r="K7" s="3"/>
      <c r="L7" s="28" t="s">
        <v>17</v>
      </c>
      <c r="M7" s="29">
        <f>[16]ENERGIA!L2</f>
        <v>0</v>
      </c>
      <c r="N7" s="30" t="s">
        <v>14</v>
      </c>
    </row>
    <row r="9" spans="1:14" ht="15" customHeight="1">
      <c r="A9" s="363" t="s">
        <v>18</v>
      </c>
      <c r="B9" s="363"/>
      <c r="C9" s="363"/>
      <c r="D9" s="363"/>
      <c r="E9" s="363"/>
      <c r="F9" s="363"/>
      <c r="G9" s="363"/>
      <c r="H9" s="363"/>
      <c r="I9" s="363"/>
      <c r="J9" s="363"/>
      <c r="K9" s="363"/>
      <c r="L9" s="363"/>
    </row>
    <row r="10" spans="1:14" ht="15" customHeight="1">
      <c r="A10" s="269" t="s">
        <v>19</v>
      </c>
      <c r="B10" s="270">
        <v>1</v>
      </c>
      <c r="C10" s="271">
        <v>2</v>
      </c>
      <c r="D10" s="271">
        <v>3</v>
      </c>
      <c r="E10" s="271">
        <v>4</v>
      </c>
      <c r="F10" s="271">
        <v>5</v>
      </c>
      <c r="G10" s="271">
        <v>6</v>
      </c>
      <c r="H10" s="271">
        <v>7</v>
      </c>
      <c r="I10" s="271">
        <v>8</v>
      </c>
      <c r="J10" s="271">
        <v>9</v>
      </c>
      <c r="K10" s="272">
        <v>10</v>
      </c>
      <c r="L10" s="273" t="s">
        <v>20</v>
      </c>
    </row>
    <row r="11" spans="1:14" ht="15" customHeight="1">
      <c r="A11" s="274" t="s">
        <v>21</v>
      </c>
      <c r="B11" s="275">
        <f t="shared" ref="B11:K11" si="0">SUMIF($G$17:$G$1078,B$10,$D$17:$D$1079)</f>
        <v>812.31</v>
      </c>
      <c r="C11" s="275">
        <f t="shared" si="0"/>
        <v>730.88000000000011</v>
      </c>
      <c r="D11" s="275">
        <f t="shared" si="0"/>
        <v>178.73000000000005</v>
      </c>
      <c r="E11" s="275">
        <f t="shared" si="0"/>
        <v>654.92099999999982</v>
      </c>
      <c r="F11" s="275">
        <f t="shared" si="0"/>
        <v>1646.0099999999998</v>
      </c>
      <c r="G11" s="275">
        <f t="shared" si="0"/>
        <v>321.21000000000004</v>
      </c>
      <c r="H11" s="275">
        <f t="shared" si="0"/>
        <v>154.33000000000001</v>
      </c>
      <c r="I11" s="275">
        <f t="shared" si="0"/>
        <v>260</v>
      </c>
      <c r="J11" s="275">
        <f t="shared" si="0"/>
        <v>1565.45</v>
      </c>
      <c r="K11" s="275">
        <f t="shared" si="0"/>
        <v>252.17</v>
      </c>
      <c r="L11" s="276">
        <f>SUM(B11:K11)</f>
        <v>6576.0109999999995</v>
      </c>
      <c r="M11" s="284">
        <f>SUM(D17,D63,D84,D95,D142,D203,D224,D231,D234,D246)</f>
        <v>6576.0109999999995</v>
      </c>
    </row>
    <row r="12" spans="1:14" ht="15" customHeight="1">
      <c r="A12" s="278" t="s">
        <v>22</v>
      </c>
      <c r="B12" s="279">
        <f t="shared" ref="B12:K12" si="1">SUMIF($M$18:$M$1018,B$10,$K$18:$K$1018)</f>
        <v>24.448816417509502</v>
      </c>
      <c r="C12" s="279">
        <f t="shared" si="1"/>
        <v>0</v>
      </c>
      <c r="D12" s="279">
        <f t="shared" si="1"/>
        <v>4.6836847075140575E-2</v>
      </c>
      <c r="E12" s="279">
        <f t="shared" si="1"/>
        <v>158.78765378042561</v>
      </c>
      <c r="F12" s="279">
        <f t="shared" si="1"/>
        <v>351.79028248207129</v>
      </c>
      <c r="G12" s="279">
        <f t="shared" si="1"/>
        <v>240.35441692705891</v>
      </c>
      <c r="H12" s="279">
        <f t="shared" si="1"/>
        <v>1254.8037773694064</v>
      </c>
      <c r="I12" s="279">
        <f t="shared" si="1"/>
        <v>1.35</v>
      </c>
      <c r="J12" s="279">
        <f t="shared" si="1"/>
        <v>142.87444388279732</v>
      </c>
      <c r="K12" s="279">
        <f t="shared" si="1"/>
        <v>60.815354535977733</v>
      </c>
      <c r="L12" s="280">
        <f>SUM(B12:K12)</f>
        <v>2235.271582242322</v>
      </c>
      <c r="M12" s="277">
        <f>SUM(K17,K22,K24,K28,K33,K44,K51,K71,K75,K82)</f>
        <v>2235.271582242322</v>
      </c>
    </row>
    <row r="13" spans="1:14" ht="15" customHeight="1">
      <c r="M13" s="281"/>
    </row>
    <row r="15" spans="1:14" ht="15" customHeight="1">
      <c r="A15" s="285" t="s">
        <v>23</v>
      </c>
      <c r="B15" s="286"/>
      <c r="C15" s="286"/>
      <c r="D15" s="286"/>
      <c r="E15" s="286"/>
      <c r="F15" s="286"/>
      <c r="G15" s="287"/>
      <c r="H15" s="285" t="s">
        <v>24</v>
      </c>
      <c r="I15" s="286"/>
      <c r="J15" s="286"/>
      <c r="K15" s="286"/>
      <c r="L15" s="286"/>
      <c r="M15" s="286"/>
    </row>
    <row r="16" spans="1:14" ht="27" thickBot="1">
      <c r="A16" s="288" t="s">
        <v>25</v>
      </c>
      <c r="B16" s="289"/>
      <c r="C16" s="290" t="s">
        <v>26</v>
      </c>
      <c r="D16" s="32" t="s">
        <v>21</v>
      </c>
      <c r="E16" s="32" t="s">
        <v>27</v>
      </c>
      <c r="F16" s="282"/>
      <c r="G16" s="282"/>
      <c r="H16" s="291" t="s">
        <v>25</v>
      </c>
      <c r="I16" s="292"/>
      <c r="J16" s="293" t="s">
        <v>26</v>
      </c>
      <c r="K16" s="294" t="s">
        <v>22</v>
      </c>
      <c r="L16" s="283">
        <f>+K17+K22+K24+K28+K33+K44+K51+K71+K75+K82</f>
        <v>2235.271582242322</v>
      </c>
      <c r="M16" s="282"/>
    </row>
    <row r="17" spans="1:13" ht="15" customHeight="1">
      <c r="A17" s="33">
        <v>1</v>
      </c>
      <c r="B17" s="34"/>
      <c r="C17" s="45"/>
      <c r="D17" s="332">
        <f>SUM(D18:D61)</f>
        <v>812.31</v>
      </c>
      <c r="E17" s="297"/>
      <c r="F17" s="31"/>
      <c r="G17" s="31"/>
      <c r="H17" s="298">
        <v>1</v>
      </c>
      <c r="I17" s="299"/>
      <c r="J17" s="327"/>
      <c r="K17" s="300">
        <f>SUM(K18:K20)</f>
        <v>24.448816417509502</v>
      </c>
      <c r="L17" s="281"/>
      <c r="M17" s="281"/>
    </row>
    <row r="18" spans="1:13" ht="15" customHeight="1">
      <c r="A18" s="301" t="s">
        <v>28</v>
      </c>
      <c r="C18" s="39">
        <v>6014</v>
      </c>
      <c r="D18" s="331">
        <v>87.6</v>
      </c>
      <c r="E18" s="302">
        <v>0</v>
      </c>
      <c r="F18" s="31" t="str">
        <f>IFERROR(VLOOKUP($C18,[16]Nod!$A$3:$E$988,4,FALSE)," ")</f>
        <v>PRO230</v>
      </c>
      <c r="G18" s="31">
        <f>IFERROR(VLOOKUP($C18,[16]Nod!$A$3:$E$988,5,FALSE)," ")</f>
        <v>1</v>
      </c>
      <c r="H18" s="296" t="s">
        <v>29</v>
      </c>
      <c r="I18" s="67"/>
      <c r="J18" s="68"/>
      <c r="K18" s="68"/>
      <c r="L18" s="281"/>
      <c r="M18" s="281"/>
    </row>
    <row r="19" spans="1:13" ht="15" customHeight="1">
      <c r="A19" s="301" t="s">
        <v>30</v>
      </c>
      <c r="C19" s="39">
        <v>6014</v>
      </c>
      <c r="D19" s="331">
        <v>57.4</v>
      </c>
      <c r="E19" s="302">
        <v>0</v>
      </c>
      <c r="F19" s="31" t="str">
        <f>IFERROR(VLOOKUP($C19,[16]Nod!$A$3:$E$988,4,FALSE)," ")</f>
        <v>PRO230</v>
      </c>
      <c r="G19" s="31">
        <f>IFERROR(VLOOKUP($C19,[16]Nod!$A$3:$E$988,5,FALSE)," ")</f>
        <v>1</v>
      </c>
      <c r="H19" s="69" t="s">
        <v>31</v>
      </c>
      <c r="I19" s="67"/>
      <c r="J19" s="68">
        <v>6014</v>
      </c>
      <c r="K19" s="65">
        <v>24.304928097983201</v>
      </c>
      <c r="L19" s="281" t="str">
        <f>VLOOKUP($J19,[16]Nod!$A$3:$E$987,4,FALSE)</f>
        <v>PRO230</v>
      </c>
      <c r="M19" s="281">
        <f>VLOOKUP($J19,[16]Nod!$A$3:$E$987,5,FALSE)</f>
        <v>1</v>
      </c>
    </row>
    <row r="20" spans="1:13" ht="15" customHeight="1">
      <c r="A20" s="301" t="s">
        <v>32</v>
      </c>
      <c r="C20" s="39">
        <v>6014</v>
      </c>
      <c r="D20" s="331">
        <v>30</v>
      </c>
      <c r="E20" s="302">
        <v>0</v>
      </c>
      <c r="F20" s="31" t="str">
        <f>IFERROR(VLOOKUP($C20,[16]Nod!$A$3:$E$988,4,FALSE)," ")</f>
        <v>PRO230</v>
      </c>
      <c r="G20" s="31">
        <f>IFERROR(VLOOKUP($C20,[16]Nod!$A$3:$E$988,5,FALSE)," ")</f>
        <v>1</v>
      </c>
      <c r="H20" s="69" t="s">
        <v>33</v>
      </c>
      <c r="I20" s="67"/>
      <c r="J20" s="68">
        <v>6014</v>
      </c>
      <c r="K20" s="65">
        <v>0.1438883195263016</v>
      </c>
      <c r="L20" s="281" t="str">
        <f>VLOOKUP($J20,[16]Nod!$A$3:$E$987,4,FALSE)</f>
        <v>PRO230</v>
      </c>
      <c r="M20" s="281">
        <f>VLOOKUP($J20,[16]Nod!$A$3:$E$987,5,FALSE)</f>
        <v>1</v>
      </c>
    </row>
    <row r="21" spans="1:13" ht="15" customHeight="1">
      <c r="A21" s="301" t="s">
        <v>34</v>
      </c>
      <c r="C21" s="39">
        <v>6014</v>
      </c>
      <c r="D21" s="331">
        <v>27.9</v>
      </c>
      <c r="E21" s="302">
        <v>0</v>
      </c>
      <c r="F21" s="31" t="str">
        <f>IFERROR(VLOOKUP($C21,[16]Nod!$A$3:$E$988,4,FALSE)," ")</f>
        <v>PRO230</v>
      </c>
      <c r="G21" s="31">
        <f>IFERROR(VLOOKUP($C21,[16]Nod!$A$3:$E$988,5,FALSE)," ")</f>
        <v>1</v>
      </c>
      <c r="H21" s="303" t="s">
        <v>35</v>
      </c>
      <c r="I21" s="304"/>
      <c r="J21" s="306"/>
      <c r="K21" s="306"/>
      <c r="L21" s="281"/>
      <c r="M21" s="281"/>
    </row>
    <row r="22" spans="1:13" ht="15" customHeight="1">
      <c r="A22" s="301" t="s">
        <v>36</v>
      </c>
      <c r="C22" s="39">
        <v>6014</v>
      </c>
      <c r="D22" s="331">
        <v>10</v>
      </c>
      <c r="E22" s="302">
        <v>0</v>
      </c>
      <c r="F22" s="31" t="str">
        <f>IFERROR(VLOOKUP($C22,[16]Nod!$A$3:$E$988,4,FALSE)," ")</f>
        <v>PRO230</v>
      </c>
      <c r="G22" s="31">
        <f>IFERROR(VLOOKUP($C22,[16]Nod!$A$3:$E$988,5,FALSE)," ")</f>
        <v>1</v>
      </c>
      <c r="H22" s="307">
        <v>2</v>
      </c>
      <c r="I22" s="299"/>
      <c r="J22" s="327"/>
      <c r="K22" s="300">
        <v>0</v>
      </c>
      <c r="L22" s="281"/>
      <c r="M22" s="281"/>
    </row>
    <row r="23" spans="1:13" ht="15" customHeight="1">
      <c r="A23" s="301" t="s">
        <v>189</v>
      </c>
      <c r="C23" s="39">
        <v>6014</v>
      </c>
      <c r="D23" s="331">
        <v>9.99</v>
      </c>
      <c r="E23" s="302">
        <v>0</v>
      </c>
      <c r="F23" s="31" t="str">
        <f>IFERROR(VLOOKUP($C23,[16]Nod!$A$3:$E$988,4,FALSE)," ")</f>
        <v>PRO230</v>
      </c>
      <c r="G23" s="31">
        <f>IFERROR(VLOOKUP($C23,[16]Nod!$A$3:$E$988,5,FALSE)," ")</f>
        <v>1</v>
      </c>
      <c r="H23" s="303" t="s">
        <v>35</v>
      </c>
      <c r="I23" s="304"/>
      <c r="J23" s="306"/>
      <c r="K23" s="306"/>
      <c r="L23" s="281"/>
      <c r="M23" s="281"/>
    </row>
    <row r="24" spans="1:13" ht="15" customHeight="1">
      <c r="A24" s="301" t="s">
        <v>190</v>
      </c>
      <c r="C24" s="39">
        <v>6014</v>
      </c>
      <c r="D24" s="331">
        <v>5.5</v>
      </c>
      <c r="E24" s="302">
        <v>0</v>
      </c>
      <c r="F24" s="31" t="str">
        <f>IFERROR(VLOOKUP($C24,[16]Nod!$A$3:$E$988,4,FALSE)," ")</f>
        <v>PRO230</v>
      </c>
      <c r="G24" s="31">
        <f>IFERROR(VLOOKUP($C24,[16]Nod!$A$3:$E$988,5,FALSE)," ")</f>
        <v>1</v>
      </c>
      <c r="H24" s="298">
        <v>3</v>
      </c>
      <c r="I24" s="299"/>
      <c r="J24" s="327"/>
      <c r="K24" s="300">
        <f>SUM(K25:K27)</f>
        <v>4.6836847075140575E-2</v>
      </c>
      <c r="L24" s="281"/>
      <c r="M24" s="281"/>
    </row>
    <row r="25" spans="1:13" ht="15" customHeight="1">
      <c r="A25" s="301" t="s">
        <v>359</v>
      </c>
      <c r="C25" s="39">
        <v>6014</v>
      </c>
      <c r="D25" s="331">
        <v>10</v>
      </c>
      <c r="E25" s="302">
        <v>0</v>
      </c>
      <c r="F25" s="31" t="str">
        <f>IFERROR(VLOOKUP($C25,[16]Nod!$A$3:$E$988,4,FALSE)," ")</f>
        <v>PRO230</v>
      </c>
      <c r="G25" s="31">
        <f>IFERROR(VLOOKUP($C25,[16]Nod!$A$3:$E$988,5,FALSE)," ")</f>
        <v>1</v>
      </c>
      <c r="H25" s="296" t="s">
        <v>29</v>
      </c>
      <c r="I25" s="67"/>
      <c r="J25" s="68"/>
      <c r="K25" s="68"/>
      <c r="L25" s="281"/>
      <c r="M25" s="281"/>
    </row>
    <row r="26" spans="1:13" ht="15" customHeight="1">
      <c r="A26" s="301" t="s">
        <v>358</v>
      </c>
      <c r="C26" s="39">
        <v>6014</v>
      </c>
      <c r="D26" s="331">
        <v>10</v>
      </c>
      <c r="E26" s="302">
        <v>0</v>
      </c>
      <c r="F26" s="31" t="str">
        <f>IFERROR(VLOOKUP($C26,[16]Nod!$A$3:$E$988,4,FALSE)," ")</f>
        <v>PRO230</v>
      </c>
      <c r="G26" s="31">
        <f>IFERROR(VLOOKUP($C26,[16]Nod!$A$3:$E$988,5,FALSE)," ")</f>
        <v>1</v>
      </c>
      <c r="H26" s="69" t="s">
        <v>37</v>
      </c>
      <c r="I26" s="67"/>
      <c r="J26" s="68">
        <v>6087</v>
      </c>
      <c r="K26" s="65">
        <v>4.6836847075140575E-2</v>
      </c>
      <c r="L26" s="281" t="str">
        <f>VLOOKUP($J26,[16]Nod!$A$3:$E$987,4,FALSE)</f>
        <v>CAL115</v>
      </c>
      <c r="M26" s="281">
        <f>VLOOKUP($J26,[16]Nod!$A$3:$E$987,5,FALSE)</f>
        <v>3</v>
      </c>
    </row>
    <row r="27" spans="1:13" ht="15" customHeight="1">
      <c r="A27" s="301" t="s">
        <v>357</v>
      </c>
      <c r="C27" s="39">
        <v>6014</v>
      </c>
      <c r="D27" s="331">
        <v>10</v>
      </c>
      <c r="E27" s="302">
        <v>0</v>
      </c>
      <c r="F27" s="31" t="str">
        <f>IFERROR(VLOOKUP($C27,[16]Nod!$A$3:$E$988,4,FALSE)," ")</f>
        <v>PRO230</v>
      </c>
      <c r="G27" s="31">
        <f>IFERROR(VLOOKUP($C27,[16]Nod!$A$3:$E$988,5,FALSE)," ")</f>
        <v>1</v>
      </c>
      <c r="H27" s="303" t="s">
        <v>35</v>
      </c>
      <c r="I27" s="304"/>
      <c r="J27" s="306"/>
      <c r="K27" s="306"/>
      <c r="L27" s="281"/>
      <c r="M27" s="281"/>
    </row>
    <row r="28" spans="1:13" ht="15" customHeight="1">
      <c r="A28" s="301" t="s">
        <v>356</v>
      </c>
      <c r="C28" s="39">
        <v>6014</v>
      </c>
      <c r="D28" s="331">
        <v>10</v>
      </c>
      <c r="E28" s="302">
        <v>0</v>
      </c>
      <c r="F28" s="31" t="str">
        <f>IFERROR(VLOOKUP($C28,[16]Nod!$A$3:$E$988,4,FALSE)," ")</f>
        <v>PRO230</v>
      </c>
      <c r="G28" s="31">
        <f>IFERROR(VLOOKUP($C28,[16]Nod!$A$3:$E$988,5,FALSE)," ")</f>
        <v>1</v>
      </c>
      <c r="H28" s="298">
        <v>4</v>
      </c>
      <c r="I28" s="299"/>
      <c r="J28" s="327"/>
      <c r="K28" s="300">
        <f>SUM(K29:K32)</f>
        <v>158.78765378042561</v>
      </c>
      <c r="L28" s="281"/>
      <c r="M28" s="281"/>
    </row>
    <row r="29" spans="1:13" ht="15" customHeight="1">
      <c r="A29" s="301" t="s">
        <v>355</v>
      </c>
      <c r="C29" s="39">
        <v>6014</v>
      </c>
      <c r="D29" s="331">
        <v>10</v>
      </c>
      <c r="E29" s="302">
        <v>0</v>
      </c>
      <c r="F29" s="31" t="str">
        <f>IFERROR(VLOOKUP($C29,[16]Nod!$A$3:$E$988,4,FALSE)," ")</f>
        <v>PRO230</v>
      </c>
      <c r="G29" s="31">
        <f>IFERROR(VLOOKUP($C29,[16]Nod!$A$3:$E$988,5,FALSE)," ")</f>
        <v>1</v>
      </c>
      <c r="H29" s="296" t="s">
        <v>29</v>
      </c>
      <c r="I29" s="67"/>
      <c r="J29" s="68"/>
      <c r="K29" s="68"/>
      <c r="L29" s="281"/>
      <c r="M29" s="281"/>
    </row>
    <row r="30" spans="1:13" ht="15" customHeight="1">
      <c r="A30" s="301" t="s">
        <v>354</v>
      </c>
      <c r="C30" s="39">
        <v>6014</v>
      </c>
      <c r="D30" s="331">
        <v>19.88</v>
      </c>
      <c r="E30" s="302">
        <v>0</v>
      </c>
      <c r="F30" s="31" t="str">
        <f>IFERROR(VLOOKUP($C30,[16]Nod!$A$3:$E$988,4,FALSE)," ")</f>
        <v>PRO230</v>
      </c>
      <c r="G30" s="31">
        <f>IFERROR(VLOOKUP($C30,[16]Nod!$A$3:$E$988,5,FALSE)," ")</f>
        <v>1</v>
      </c>
      <c r="H30" s="57" t="s">
        <v>38</v>
      </c>
      <c r="I30" s="67"/>
      <c r="J30" s="68">
        <v>6013</v>
      </c>
      <c r="K30" s="65"/>
      <c r="L30" s="281" t="str">
        <f>VLOOKUP($J30,[16]Nod!$A$3:$E$987,4,FALSE)</f>
        <v>MDN34</v>
      </c>
      <c r="M30" s="281">
        <f>VLOOKUP($J30,[16]Nod!$A$3:$E$987,5,FALSE)</f>
        <v>4</v>
      </c>
    </row>
    <row r="31" spans="1:13" ht="15" customHeight="1">
      <c r="A31" s="301" t="s">
        <v>188</v>
      </c>
      <c r="C31" s="39">
        <v>6014</v>
      </c>
      <c r="D31" s="331">
        <v>25.9</v>
      </c>
      <c r="E31" s="302">
        <v>0</v>
      </c>
      <c r="F31" s="31" t="str">
        <f>IFERROR(VLOOKUP($C31,[16]Nod!$A$3:$E$988,4,FALSE)," ")</f>
        <v>PRO230</v>
      </c>
      <c r="G31" s="31">
        <f>IFERROR(VLOOKUP($C31,[16]Nod!$A$3:$E$988,5,FALSE)," ")</f>
        <v>1</v>
      </c>
      <c r="H31" s="57" t="s">
        <v>39</v>
      </c>
      <c r="I31" s="67"/>
      <c r="J31" s="68">
        <v>6013</v>
      </c>
      <c r="K31" s="344">
        <v>158.78765378042561</v>
      </c>
      <c r="L31" s="281" t="str">
        <f>VLOOKUP($J31,[16]Nod!$A$3:$E$987,4,FALSE)</f>
        <v>MDN34</v>
      </c>
      <c r="M31" s="281">
        <f>VLOOKUP($J31,[16]Nod!$A$3:$E$987,5,FALSE)</f>
        <v>4</v>
      </c>
    </row>
    <row r="32" spans="1:13" ht="15" customHeight="1">
      <c r="A32" s="301" t="s">
        <v>353</v>
      </c>
      <c r="C32" s="39">
        <v>6014</v>
      </c>
      <c r="D32" s="331">
        <v>25.9</v>
      </c>
      <c r="E32" s="302">
        <v>0</v>
      </c>
      <c r="F32" s="31" t="str">
        <f>IFERROR(VLOOKUP($C32,[16]Nod!$A$3:$E$988,4,FALSE)," ")</f>
        <v>PRO230</v>
      </c>
      <c r="G32" s="31">
        <f>IFERROR(VLOOKUP($C32,[16]Nod!$A$3:$E$988,5,FALSE)," ")</f>
        <v>1</v>
      </c>
      <c r="H32" s="303" t="s">
        <v>35</v>
      </c>
      <c r="I32" s="304"/>
      <c r="J32" s="306"/>
      <c r="K32" s="308"/>
      <c r="L32" s="281"/>
      <c r="M32" s="281"/>
    </row>
    <row r="33" spans="1:13" ht="15" customHeight="1">
      <c r="A33" s="301" t="s">
        <v>352</v>
      </c>
      <c r="C33" s="39">
        <v>6014</v>
      </c>
      <c r="D33" s="331">
        <v>9.9</v>
      </c>
      <c r="E33" s="302">
        <v>0</v>
      </c>
      <c r="F33" s="31" t="str">
        <f>IFERROR(VLOOKUP($C33,[16]Nod!$A$3:$E$988,4,FALSE)," ")</f>
        <v>PRO230</v>
      </c>
      <c r="G33" s="31">
        <f>IFERROR(VLOOKUP($C33,[16]Nod!$A$3:$E$988,5,FALSE)," ")</f>
        <v>1</v>
      </c>
      <c r="H33" s="309">
        <v>5</v>
      </c>
      <c r="I33" s="310"/>
      <c r="J33" s="326"/>
      <c r="K33" s="311">
        <f>SUM(K34:K43)</f>
        <v>351.79028248207129</v>
      </c>
      <c r="L33" s="281"/>
      <c r="M33" s="281"/>
    </row>
    <row r="34" spans="1:13" ht="15" customHeight="1">
      <c r="A34" s="301" t="s">
        <v>191</v>
      </c>
      <c r="C34" s="39">
        <v>6014</v>
      </c>
      <c r="D34" s="331">
        <v>10</v>
      </c>
      <c r="E34" s="48">
        <v>0</v>
      </c>
      <c r="F34" s="31" t="str">
        <f>IFERROR(VLOOKUP($C34,[16]Nod!$A$3:$E$988,4,FALSE)," ")</f>
        <v>PRO230</v>
      </c>
      <c r="G34" s="31">
        <f>IFERROR(VLOOKUP($C34,[16]Nod!$A$3:$E$988,5,FALSE)," ")</f>
        <v>1</v>
      </c>
      <c r="H34" s="296" t="s">
        <v>40</v>
      </c>
      <c r="I34" s="67"/>
      <c r="J34" s="68"/>
      <c r="K34" s="312"/>
      <c r="L34" s="281"/>
      <c r="M34" s="281"/>
    </row>
    <row r="35" spans="1:13" ht="15" customHeight="1">
      <c r="A35" s="301" t="s">
        <v>192</v>
      </c>
      <c r="C35" s="39">
        <v>6014</v>
      </c>
      <c r="D35" s="331">
        <v>10</v>
      </c>
      <c r="E35" s="48">
        <v>0</v>
      </c>
      <c r="F35" s="31" t="str">
        <f>IFERROR(VLOOKUP($C35,[16]Nod!$A$3:$E$988,4,FALSE)," ")</f>
        <v>PRO230</v>
      </c>
      <c r="G35" s="31">
        <f>IFERROR(VLOOKUP($C35,[16]Nod!$A$3:$E$988,5,FALSE)," ")</f>
        <v>1</v>
      </c>
      <c r="H35" s="313" t="s">
        <v>41</v>
      </c>
      <c r="I35" s="67"/>
      <c r="J35" s="68">
        <v>6460</v>
      </c>
      <c r="K35" s="65">
        <v>265.67635519189378</v>
      </c>
      <c r="L35" s="281" t="str">
        <f>VLOOKUP($J35,[16]Nod!$A$3:$E$987,4,FALSE)</f>
        <v>ECO230</v>
      </c>
      <c r="M35" s="281">
        <f>VLOOKUP($J35,[16]Nod!$A$3:$E$987,5,FALSE)</f>
        <v>5</v>
      </c>
    </row>
    <row r="36" spans="1:13" ht="15" customHeight="1">
      <c r="A36" s="301" t="s">
        <v>193</v>
      </c>
      <c r="C36" s="39">
        <v>6014</v>
      </c>
      <c r="D36" s="331">
        <v>19.88</v>
      </c>
      <c r="E36" s="48">
        <v>0</v>
      </c>
      <c r="F36" s="31" t="str">
        <f>IFERROR(VLOOKUP($C36,[16]Nod!$A$3:$E$988,4,FALSE)," ")</f>
        <v>PRO230</v>
      </c>
      <c r="G36" s="31">
        <f>IFERROR(VLOOKUP($C36,[16]Nod!$A$3:$E$988,5,FALSE)," ")</f>
        <v>1</v>
      </c>
      <c r="H36" s="313" t="s">
        <v>104</v>
      </c>
      <c r="I36" s="67"/>
      <c r="J36" s="68">
        <v>6460</v>
      </c>
      <c r="K36" s="65">
        <v>20.33938829356828</v>
      </c>
      <c r="L36" s="281" t="str">
        <f>VLOOKUP($J36,[16]Nod!$A$3:$E$987,4,FALSE)</f>
        <v>ECO230</v>
      </c>
      <c r="M36" s="281">
        <f>VLOOKUP($J36,[16]Nod!$A$3:$E$987,5,FALSE)</f>
        <v>5</v>
      </c>
    </row>
    <row r="37" spans="1:13" ht="15" customHeight="1">
      <c r="A37" s="301" t="s">
        <v>351</v>
      </c>
      <c r="C37" s="39">
        <v>6014</v>
      </c>
      <c r="D37" s="331">
        <v>1.05</v>
      </c>
      <c r="E37" s="48">
        <v>0</v>
      </c>
      <c r="F37" s="31" t="str">
        <f>IFERROR(VLOOKUP($C37,[16]Nod!$A$3:$E$988,4,FALSE)," ")</f>
        <v>PRO230</v>
      </c>
      <c r="G37" s="31">
        <f>IFERROR(VLOOKUP($C37,[16]Nod!$A$3:$E$988,5,FALSE)," ")</f>
        <v>1</v>
      </c>
      <c r="H37" s="296" t="s">
        <v>42</v>
      </c>
      <c r="I37" s="67"/>
      <c r="J37" s="68"/>
      <c r="K37" s="68"/>
      <c r="L37" s="281"/>
      <c r="M37" s="281"/>
    </row>
    <row r="38" spans="1:13" ht="15" customHeight="1">
      <c r="A38" s="314" t="s">
        <v>350</v>
      </c>
      <c r="C38" s="39">
        <v>6014</v>
      </c>
      <c r="D38" s="331">
        <v>9.99</v>
      </c>
      <c r="E38" s="48">
        <v>0</v>
      </c>
      <c r="F38" s="31" t="str">
        <f>IFERROR(VLOOKUP($C38,[16]Nod!$A$3:$E$988,4,FALSE)," ")</f>
        <v>PRO230</v>
      </c>
      <c r="G38" s="31">
        <f>IFERROR(VLOOKUP($C38,[16]Nod!$A$3:$E$988,5,FALSE)," ")</f>
        <v>1</v>
      </c>
      <c r="H38" s="69" t="s">
        <v>44</v>
      </c>
      <c r="I38" s="67"/>
      <c r="J38" s="68">
        <v>6460</v>
      </c>
      <c r="K38" s="65">
        <v>0.93199999999999994</v>
      </c>
      <c r="L38" s="281" t="str">
        <f>VLOOKUP($J38,[16]Nod!$A$3:$E$987,4,FALSE)</f>
        <v>ECO230</v>
      </c>
      <c r="M38" s="281">
        <f>VLOOKUP($J38,[16]Nod!$A$3:$E$987,5,FALSE)</f>
        <v>5</v>
      </c>
    </row>
    <row r="39" spans="1:13" ht="15" customHeight="1">
      <c r="A39" s="314" t="s">
        <v>349</v>
      </c>
      <c r="C39" s="39">
        <v>6014</v>
      </c>
      <c r="D39" s="331">
        <v>9.99</v>
      </c>
      <c r="E39" s="48">
        <v>0</v>
      </c>
      <c r="F39" s="31" t="str">
        <f>IFERROR(VLOOKUP($C39,[16]Nod!$A$3:$E$988,4,FALSE)," ")</f>
        <v>PRO230</v>
      </c>
      <c r="G39" s="31">
        <f>IFERROR(VLOOKUP($C39,[16]Nod!$A$3:$E$988,5,FALSE)," ")</f>
        <v>1</v>
      </c>
      <c r="H39" s="69" t="s">
        <v>45</v>
      </c>
      <c r="I39" s="67"/>
      <c r="J39" s="68"/>
      <c r="K39" s="65"/>
      <c r="L39" s="281"/>
      <c r="M39" s="281"/>
    </row>
    <row r="40" spans="1:13" ht="15" customHeight="1">
      <c r="A40" s="314" t="s">
        <v>348</v>
      </c>
      <c r="C40" s="39">
        <v>6014</v>
      </c>
      <c r="D40" s="331">
        <v>9.99</v>
      </c>
      <c r="E40" s="48">
        <v>0</v>
      </c>
      <c r="F40" s="31" t="str">
        <f>IFERROR(VLOOKUP($C40,[16]Nod!$A$3:$E$988,4,FALSE)," ")</f>
        <v>PRO230</v>
      </c>
      <c r="G40" s="31">
        <f>IFERROR(VLOOKUP($C40,[16]Nod!$A$3:$E$988,5,FALSE)," ")</f>
        <v>1</v>
      </c>
      <c r="H40" s="69" t="s">
        <v>47</v>
      </c>
      <c r="I40" s="67"/>
      <c r="J40" s="68">
        <v>6460</v>
      </c>
      <c r="K40" s="355">
        <v>0.84253899660921205</v>
      </c>
      <c r="L40" s="281" t="str">
        <f>VLOOKUP($J40,[16]Nod!$A$3:$E$987,4,FALSE)</f>
        <v>ECO230</v>
      </c>
      <c r="M40" s="281">
        <f>VLOOKUP($J40,[16]Nod!$A$3:$E$987,5,FALSE)</f>
        <v>5</v>
      </c>
    </row>
    <row r="41" spans="1:13" ht="15" customHeight="1">
      <c r="A41" s="314" t="s">
        <v>347</v>
      </c>
      <c r="C41" s="39">
        <v>6014</v>
      </c>
      <c r="D41" s="331">
        <v>9.99</v>
      </c>
      <c r="E41" s="48">
        <v>0</v>
      </c>
      <c r="F41" s="31" t="str">
        <f>IFERROR(VLOOKUP($C41,[16]Nod!$A$3:$E$988,4,FALSE)," ")</f>
        <v>PRO230</v>
      </c>
      <c r="G41" s="31">
        <f>IFERROR(VLOOKUP($C41,[16]Nod!$A$3:$E$988,5,FALSE)," ")</f>
        <v>1</v>
      </c>
      <c r="H41" s="354" t="s">
        <v>49</v>
      </c>
      <c r="I41" s="67"/>
      <c r="J41" s="68"/>
      <c r="K41" s="68"/>
      <c r="L41" s="281"/>
      <c r="M41" s="281"/>
    </row>
    <row r="42" spans="1:13" ht="15" customHeight="1">
      <c r="A42" s="314" t="s">
        <v>346</v>
      </c>
      <c r="C42" s="39">
        <v>6014</v>
      </c>
      <c r="D42" s="331">
        <v>9.99</v>
      </c>
      <c r="E42" s="48">
        <v>0</v>
      </c>
      <c r="F42" s="31" t="str">
        <f>IFERROR(VLOOKUP($C42,[16]Nod!$A$3:$E$988,4,FALSE)," ")</f>
        <v>PRO230</v>
      </c>
      <c r="G42" s="31">
        <f>IFERROR(VLOOKUP($C42,[16]Nod!$A$3:$E$988,5,FALSE)," ")</f>
        <v>1</v>
      </c>
      <c r="H42" s="69" t="s">
        <v>51</v>
      </c>
      <c r="I42" s="67"/>
      <c r="J42" s="68">
        <v>6460</v>
      </c>
      <c r="K42" s="65">
        <v>64</v>
      </c>
      <c r="L42" s="281" t="str">
        <f>VLOOKUP($J42,[16]Nod!$A$3:$E$987,4,FALSE)</f>
        <v>ECO230</v>
      </c>
      <c r="M42" s="281">
        <f>VLOOKUP($J42,[16]Nod!$A$3:$E$987,5,FALSE)</f>
        <v>5</v>
      </c>
    </row>
    <row r="43" spans="1:13" ht="15" customHeight="1">
      <c r="A43" s="314" t="s">
        <v>345</v>
      </c>
      <c r="C43" s="39">
        <v>6014</v>
      </c>
      <c r="D43" s="331">
        <v>9.99</v>
      </c>
      <c r="E43" s="48">
        <v>0</v>
      </c>
      <c r="F43" s="31" t="str">
        <f>IFERROR(VLOOKUP($C43,[16]Nod!$A$3:$E$988,4,FALSE)," ")</f>
        <v>PRO230</v>
      </c>
      <c r="G43" s="31">
        <f>IFERROR(VLOOKUP($C43,[16]Nod!$A$3:$E$988,5,FALSE)," ")</f>
        <v>1</v>
      </c>
      <c r="H43" s="316" t="s">
        <v>35</v>
      </c>
      <c r="I43" s="67"/>
      <c r="J43" s="68"/>
      <c r="K43" s="68"/>
      <c r="L43" s="281"/>
      <c r="M43" s="281"/>
    </row>
    <row r="44" spans="1:13" ht="15" customHeight="1">
      <c r="A44" s="314" t="s">
        <v>344</v>
      </c>
      <c r="C44" s="39">
        <v>6014</v>
      </c>
      <c r="D44" s="331">
        <v>9.99</v>
      </c>
      <c r="E44" s="48">
        <v>0</v>
      </c>
      <c r="F44" s="31" t="str">
        <f>IFERROR(VLOOKUP($C44,[16]Nod!$A$3:$E$988,4,FALSE)," ")</f>
        <v>PRO230</v>
      </c>
      <c r="G44" s="31">
        <f>IFERROR(VLOOKUP($C44,[16]Nod!$A$3:$E$988,5,FALSE)," ")</f>
        <v>1</v>
      </c>
      <c r="H44" s="307">
        <v>6</v>
      </c>
      <c r="I44" s="299"/>
      <c r="J44" s="327"/>
      <c r="K44" s="300">
        <f>SUM(K45:K50)</f>
        <v>240.35441692705891</v>
      </c>
      <c r="L44" s="281"/>
      <c r="M44" s="281"/>
    </row>
    <row r="45" spans="1:13" ht="15" customHeight="1">
      <c r="A45" s="314" t="s">
        <v>343</v>
      </c>
      <c r="C45" s="39">
        <v>6014</v>
      </c>
      <c r="D45" s="331">
        <v>17</v>
      </c>
      <c r="E45" s="48">
        <v>0</v>
      </c>
      <c r="F45" s="31" t="str">
        <f>IFERROR(VLOOKUP($C45,[16]Nod!$A$3:$E$988,4,FALSE)," ")</f>
        <v>PRO230</v>
      </c>
      <c r="G45" s="31">
        <f>IFERROR(VLOOKUP($C45,[16]Nod!$A$3:$E$988,5,FALSE)," ")</f>
        <v>1</v>
      </c>
      <c r="H45" s="296" t="s">
        <v>40</v>
      </c>
      <c r="I45" s="67"/>
      <c r="J45" s="68"/>
      <c r="K45" s="68"/>
      <c r="L45" s="281"/>
      <c r="M45" s="281"/>
    </row>
    <row r="46" spans="1:13" ht="15" customHeight="1">
      <c r="A46" s="314" t="s">
        <v>342</v>
      </c>
      <c r="C46" s="39">
        <v>6014</v>
      </c>
      <c r="D46" s="331">
        <v>10</v>
      </c>
      <c r="E46" s="48">
        <v>0</v>
      </c>
      <c r="F46" s="31" t="str">
        <f>IFERROR(VLOOKUP($C46,[16]Nod!$A$3:$E$988,4,FALSE)," ")</f>
        <v>PRO230</v>
      </c>
      <c r="G46" s="31">
        <f>IFERROR(VLOOKUP($C46,[16]Nod!$A$3:$E$988,5,FALSE)," ")</f>
        <v>1</v>
      </c>
      <c r="H46" s="69" t="s">
        <v>53</v>
      </c>
      <c r="I46" s="67"/>
      <c r="J46" s="68">
        <v>6005</v>
      </c>
      <c r="K46" s="65">
        <v>239.70041692705891</v>
      </c>
      <c r="L46" s="281" t="str">
        <f>VLOOKUP($J46,[16]Nod!$A$3:$E$987,4,FALSE)</f>
        <v>CHO230</v>
      </c>
      <c r="M46" s="281">
        <f>VLOOKUP($J46,[16]Nod!$A$3:$E$987,5,FALSE)</f>
        <v>6</v>
      </c>
    </row>
    <row r="47" spans="1:13" ht="15" customHeight="1">
      <c r="A47" s="314" t="s">
        <v>341</v>
      </c>
      <c r="C47" s="39">
        <v>6014</v>
      </c>
      <c r="D47" s="331">
        <v>10</v>
      </c>
      <c r="E47" s="48">
        <v>0</v>
      </c>
      <c r="F47" s="31" t="str">
        <f>IFERROR(VLOOKUP($C47,[16]Nod!$A$3:$E$988,4,FALSE)," ")</f>
        <v>PRO230</v>
      </c>
      <c r="G47" s="31">
        <f>IFERROR(VLOOKUP($C47,[16]Nod!$A$3:$E$988,5,FALSE)," ")</f>
        <v>1</v>
      </c>
      <c r="H47" s="296" t="s">
        <v>42</v>
      </c>
      <c r="I47" s="67"/>
      <c r="J47" s="68"/>
      <c r="K47" s="68"/>
      <c r="L47" s="281"/>
      <c r="M47" s="281"/>
    </row>
    <row r="48" spans="1:13" ht="15" customHeight="1">
      <c r="A48" s="314" t="s">
        <v>340</v>
      </c>
      <c r="C48" s="39">
        <v>6014</v>
      </c>
      <c r="D48" s="331">
        <v>9.9</v>
      </c>
      <c r="E48" s="302">
        <v>0</v>
      </c>
      <c r="F48" s="31" t="str">
        <f>IFERROR(VLOOKUP($C48,[16]Nod!$A$3:$E$988,4,FALSE)," ")</f>
        <v>PRO230</v>
      </c>
      <c r="G48" s="31">
        <f>IFERROR(VLOOKUP($C48,[16]Nod!$A$3:$E$988,5,FALSE)," ")</f>
        <v>1</v>
      </c>
      <c r="H48" s="69" t="s">
        <v>44</v>
      </c>
      <c r="I48" s="67"/>
      <c r="J48" s="68">
        <v>6005</v>
      </c>
      <c r="K48" s="65">
        <v>0.32100000000000001</v>
      </c>
      <c r="L48" s="281" t="str">
        <f>VLOOKUP($J48,[16]Nod!$A$3:$E$987,4,FALSE)</f>
        <v>CHO230</v>
      </c>
      <c r="M48" s="281">
        <f>VLOOKUP($J48,[16]Nod!$A$3:$E$987,5,FALSE)</f>
        <v>6</v>
      </c>
    </row>
    <row r="49" spans="1:13" ht="15" customHeight="1">
      <c r="A49" s="314" t="s">
        <v>339</v>
      </c>
      <c r="C49" s="39">
        <v>6014</v>
      </c>
      <c r="D49" s="331">
        <v>9.99</v>
      </c>
      <c r="E49" s="302">
        <v>0</v>
      </c>
      <c r="F49" s="31" t="str">
        <f>IFERROR(VLOOKUP($C49,[16]Nod!$A$3:$E$988,4,FALSE)," ")</f>
        <v>PRO230</v>
      </c>
      <c r="G49" s="31">
        <f>IFERROR(VLOOKUP($C49,[16]Nod!$A$3:$E$988,5,FALSE)," ")</f>
        <v>1</v>
      </c>
      <c r="H49" s="69" t="s">
        <v>57</v>
      </c>
      <c r="I49" s="67"/>
      <c r="J49" s="68">
        <v>6005</v>
      </c>
      <c r="K49" s="65">
        <v>0.33300000000000002</v>
      </c>
      <c r="L49" s="281" t="str">
        <f>VLOOKUP($J49,[16]Nod!$A$3:$E$987,4,FALSE)</f>
        <v>CHO230</v>
      </c>
      <c r="M49" s="281">
        <f>VLOOKUP($J49,[16]Nod!$A$3:$E$987,5,FALSE)</f>
        <v>6</v>
      </c>
    </row>
    <row r="50" spans="1:13" ht="15" customHeight="1">
      <c r="A50" s="314" t="s">
        <v>338</v>
      </c>
      <c r="C50" s="39">
        <v>6014</v>
      </c>
      <c r="D50" s="331">
        <v>9.99</v>
      </c>
      <c r="E50" s="302">
        <v>0</v>
      </c>
      <c r="F50" s="31" t="str">
        <f>IFERROR(VLOOKUP($C50,[16]Nod!$A$3:$E$988,4,FALSE)," ")</f>
        <v>PRO230</v>
      </c>
      <c r="G50" s="31">
        <f>IFERROR(VLOOKUP($C50,[16]Nod!$A$3:$E$988,5,FALSE)," ")</f>
        <v>1</v>
      </c>
      <c r="H50" s="303" t="s">
        <v>35</v>
      </c>
      <c r="I50" s="304"/>
      <c r="J50" s="306"/>
      <c r="K50" s="306"/>
      <c r="L50" s="281"/>
      <c r="M50" s="281"/>
    </row>
    <row r="51" spans="1:13" ht="15" customHeight="1">
      <c r="A51" s="314" t="s">
        <v>337</v>
      </c>
      <c r="C51" s="39">
        <v>6014</v>
      </c>
      <c r="D51" s="331">
        <v>9.9</v>
      </c>
      <c r="E51" s="302">
        <v>0</v>
      </c>
      <c r="F51" s="31" t="str">
        <f>IFERROR(VLOOKUP($C51,[16]Nod!$A$3:$E$988,4,FALSE)," ")</f>
        <v>PRO230</v>
      </c>
      <c r="G51" s="31">
        <f>IFERROR(VLOOKUP($C51,[16]Nod!$A$3:$E$988,5,FALSE)," ")</f>
        <v>1</v>
      </c>
      <c r="H51" s="307">
        <v>7</v>
      </c>
      <c r="I51" s="299"/>
      <c r="J51" s="327"/>
      <c r="K51" s="300">
        <f>SUM(K52:K69)</f>
        <v>1254.8037773694064</v>
      </c>
      <c r="L51" s="281"/>
      <c r="M51" s="281"/>
    </row>
    <row r="52" spans="1:13" ht="15" customHeight="1">
      <c r="A52" s="314" t="s">
        <v>336</v>
      </c>
      <c r="C52" s="39">
        <v>6014</v>
      </c>
      <c r="D52" s="331">
        <v>105</v>
      </c>
      <c r="E52" s="302">
        <v>0</v>
      </c>
      <c r="F52" s="31" t="str">
        <f>IFERROR(VLOOKUP($C52,[16]Nod!$A$3:$E$988,4,FALSE)," ")</f>
        <v>PRO230</v>
      </c>
      <c r="G52" s="31">
        <f>IFERROR(VLOOKUP($C52,[16]Nod!$A$3:$E$988,5,FALSE)," ")</f>
        <v>1</v>
      </c>
      <c r="H52" s="296" t="s">
        <v>40</v>
      </c>
      <c r="I52" s="67"/>
      <c r="J52" s="68"/>
      <c r="K52" s="68"/>
      <c r="L52" s="281"/>
      <c r="M52" s="281"/>
    </row>
    <row r="53" spans="1:13" ht="15" customHeight="1">
      <c r="A53" s="314" t="s">
        <v>335</v>
      </c>
      <c r="C53" s="39">
        <v>6014</v>
      </c>
      <c r="D53" s="331">
        <v>9.9</v>
      </c>
      <c r="E53" s="302">
        <v>0</v>
      </c>
      <c r="F53" s="31" t="str">
        <f>IFERROR(VLOOKUP($C53,[16]Nod!$A$3:$E$988,4,FALSE)," ")</f>
        <v>PRO230</v>
      </c>
      <c r="G53" s="31">
        <f>IFERROR(VLOOKUP($C53,[16]Nod!$A$3:$E$988,5,FALSE)," ")</f>
        <v>1</v>
      </c>
      <c r="H53" s="57" t="s">
        <v>61</v>
      </c>
      <c r="I53" s="67"/>
      <c r="J53" s="68">
        <v>6002</v>
      </c>
      <c r="K53" s="65">
        <v>521.68140524087164</v>
      </c>
      <c r="L53" s="281" t="str">
        <f>VLOOKUP($J53,[16]Nod!$A$3:$E$987,4,FALSE)</f>
        <v>PAN115</v>
      </c>
      <c r="M53" s="281">
        <f>VLOOKUP($J53,[16]Nod!$A$3:$E$987,5,FALSE)</f>
        <v>7</v>
      </c>
    </row>
    <row r="54" spans="1:13" ht="15" customHeight="1">
      <c r="A54" s="314" t="s">
        <v>334</v>
      </c>
      <c r="C54" s="39">
        <v>6014</v>
      </c>
      <c r="D54" s="331">
        <v>9.9</v>
      </c>
      <c r="E54" s="302">
        <v>0</v>
      </c>
      <c r="F54" s="31" t="str">
        <f>IFERROR(VLOOKUP($C54,[16]Nod!$A$3:$E$988,4,FALSE)," ")</f>
        <v>PRO230</v>
      </c>
      <c r="G54" s="31">
        <f>IFERROR(VLOOKUP($C54,[16]Nod!$A$3:$E$988,5,FALSE)," ")</f>
        <v>1</v>
      </c>
      <c r="H54" s="351" t="s">
        <v>186</v>
      </c>
      <c r="I54" s="67"/>
      <c r="J54" s="68"/>
      <c r="K54" s="65"/>
      <c r="L54" s="281"/>
      <c r="M54" s="281"/>
    </row>
    <row r="55" spans="1:13" ht="15" customHeight="1">
      <c r="A55" s="314" t="s">
        <v>333</v>
      </c>
      <c r="C55" s="39">
        <v>6014</v>
      </c>
      <c r="D55" s="331">
        <v>9.9</v>
      </c>
      <c r="E55" s="302">
        <v>0</v>
      </c>
      <c r="F55" s="31" t="str">
        <f>IFERROR(VLOOKUP($C55,[16]Nod!$A$3:$E$988,4,FALSE)," ")</f>
        <v>PRO230</v>
      </c>
      <c r="G55" s="31">
        <f>IFERROR(VLOOKUP($C55,[16]Nod!$A$3:$E$988,5,FALSE)," ")</f>
        <v>1</v>
      </c>
      <c r="H55" s="57" t="s">
        <v>69</v>
      </c>
      <c r="I55" s="67"/>
      <c r="J55" s="68">
        <v>6002</v>
      </c>
      <c r="K55" s="65">
        <v>0.36599999999999999</v>
      </c>
      <c r="L55" s="281" t="str">
        <f>VLOOKUP($J55,[16]Nod!$A$3:$E$987,4,FALSE)</f>
        <v>PAN115</v>
      </c>
      <c r="M55" s="281">
        <f>VLOOKUP($J55,[16]Nod!$A$3:$E$987,5,FALSE)</f>
        <v>7</v>
      </c>
    </row>
    <row r="56" spans="1:13" ht="15" customHeight="1">
      <c r="A56" s="314" t="s">
        <v>332</v>
      </c>
      <c r="C56" s="39">
        <v>6014</v>
      </c>
      <c r="D56" s="331">
        <v>70</v>
      </c>
      <c r="E56" s="302">
        <v>0</v>
      </c>
      <c r="F56" s="31" t="str">
        <f>IFERROR(VLOOKUP($C56,[16]Nod!$A$3:$E$988,4,FALSE)," ")</f>
        <v>PRO230</v>
      </c>
      <c r="G56" s="31">
        <f>IFERROR(VLOOKUP($C56,[16]Nod!$A$3:$E$988,5,FALSE)," ")</f>
        <v>1</v>
      </c>
      <c r="H56" s="57" t="s">
        <v>331</v>
      </c>
      <c r="I56" s="67"/>
      <c r="J56" s="68">
        <v>6002</v>
      </c>
      <c r="K56" s="65">
        <v>1.2148865</v>
      </c>
      <c r="L56" s="281" t="str">
        <f>VLOOKUP($J56,[16]Nod!$A$3:$E$987,4,FALSE)</f>
        <v>PAN115</v>
      </c>
      <c r="M56" s="281">
        <f>VLOOKUP($J56,[16]Nod!$A$3:$E$987,5,FALSE)</f>
        <v>7</v>
      </c>
    </row>
    <row r="57" spans="1:13" ht="15" customHeight="1">
      <c r="A57" s="314" t="s">
        <v>330</v>
      </c>
      <c r="C57" s="39">
        <v>6014</v>
      </c>
      <c r="D57" s="331">
        <v>10</v>
      </c>
      <c r="E57" s="302">
        <v>0</v>
      </c>
      <c r="F57" s="31" t="str">
        <f>IFERROR(VLOOKUP($C57,[16]Nod!$A$3:$E$988,4,FALSE)," ")</f>
        <v>PRO230</v>
      </c>
      <c r="G57" s="31">
        <f>IFERROR(VLOOKUP($C57,[16]Nod!$A$3:$E$988,5,FALSE)," ")</f>
        <v>1</v>
      </c>
      <c r="H57" s="57" t="s">
        <v>74</v>
      </c>
      <c r="I57" s="67"/>
      <c r="J57" s="68">
        <v>6002</v>
      </c>
      <c r="K57" s="65">
        <v>0.32300000000000001</v>
      </c>
      <c r="L57" s="281" t="str">
        <f>VLOOKUP($J57,[16]Nod!$A$3:$E$987,4,FALSE)</f>
        <v>PAN115</v>
      </c>
      <c r="M57" s="281">
        <f>VLOOKUP($J57,[16]Nod!$A$3:$E$987,5,FALSE)</f>
        <v>7</v>
      </c>
    </row>
    <row r="58" spans="1:13" ht="15" customHeight="1">
      <c r="A58" s="314" t="s">
        <v>329</v>
      </c>
      <c r="C58" s="39">
        <v>6014</v>
      </c>
      <c r="D58" s="331">
        <v>10</v>
      </c>
      <c r="E58" s="302">
        <v>0</v>
      </c>
      <c r="F58" s="31" t="str">
        <f>IFERROR(VLOOKUP($C58,[16]Nod!$A$3:$E$988,4,FALSE)," ")</f>
        <v>PRO230</v>
      </c>
      <c r="G58" s="31">
        <f>IFERROR(VLOOKUP($C58,[16]Nod!$A$3:$E$988,5,FALSE)," ")</f>
        <v>1</v>
      </c>
      <c r="H58" s="57" t="s">
        <v>76</v>
      </c>
      <c r="I58" s="67"/>
      <c r="J58" s="68">
        <v>6002</v>
      </c>
      <c r="K58" s="65">
        <v>0</v>
      </c>
      <c r="L58" s="281" t="str">
        <f>VLOOKUP($J58,[16]Nod!$A$3:$E$987,4,FALSE)</f>
        <v>PAN115</v>
      </c>
      <c r="M58" s="281">
        <f>VLOOKUP($J58,[16]Nod!$A$3:$E$987,5,FALSE)</f>
        <v>7</v>
      </c>
    </row>
    <row r="59" spans="1:13" ht="15" customHeight="1">
      <c r="A59" s="314" t="s">
        <v>328</v>
      </c>
      <c r="C59" s="39">
        <v>6014</v>
      </c>
      <c r="D59" s="331">
        <v>10</v>
      </c>
      <c r="E59" s="302">
        <v>0</v>
      </c>
      <c r="F59" s="31" t="str">
        <f>IFERROR(VLOOKUP($C59,[16]Nod!$A$3:$E$988,4,FALSE)," ")</f>
        <v>PRO230</v>
      </c>
      <c r="G59" s="31">
        <f>IFERROR(VLOOKUP($C59,[16]Nod!$A$3:$E$988,5,FALSE)," ")</f>
        <v>1</v>
      </c>
      <c r="H59" s="350" t="s">
        <v>44</v>
      </c>
      <c r="I59" s="67"/>
      <c r="J59" s="68">
        <v>6002</v>
      </c>
      <c r="K59" s="65">
        <v>2.7756880000000002</v>
      </c>
      <c r="L59" s="281" t="str">
        <f>VLOOKUP($J59,[16]Nod!$A$3:$E$987,4,FALSE)</f>
        <v>PAN115</v>
      </c>
      <c r="M59" s="281">
        <f>VLOOKUP($J59,[16]Nod!$A$3:$E$987,5,FALSE)</f>
        <v>7</v>
      </c>
    </row>
    <row r="60" spans="1:13" ht="15" customHeight="1">
      <c r="A60" s="314" t="s">
        <v>327</v>
      </c>
      <c r="C60" s="39">
        <v>6014</v>
      </c>
      <c r="D60" s="331">
        <v>10</v>
      </c>
      <c r="E60" s="302">
        <v>0</v>
      </c>
      <c r="F60" s="31" t="str">
        <f>IFERROR(VLOOKUP($C60,[16]Nod!$A$3:$E$988,4,FALSE)," ")</f>
        <v>PRO230</v>
      </c>
      <c r="G60" s="31">
        <f>IFERROR(VLOOKUP($C60,[16]Nod!$A$3:$E$988,5,FALSE)," ")</f>
        <v>1</v>
      </c>
      <c r="H60" s="352"/>
      <c r="I60" s="67"/>
      <c r="J60" s="68"/>
      <c r="K60" s="65"/>
      <c r="L60" s="281"/>
      <c r="M60" s="281"/>
    </row>
    <row r="61" spans="1:13" ht="15" customHeight="1">
      <c r="A61" s="314" t="s">
        <v>326</v>
      </c>
      <c r="C61" s="39">
        <v>6014</v>
      </c>
      <c r="D61" s="331">
        <v>20</v>
      </c>
      <c r="E61" s="48">
        <v>6</v>
      </c>
      <c r="F61" s="31" t="str">
        <f>IFERROR(VLOOKUP($C61,[16]Nod!$A$3:$E$988,4,FALSE)," ")</f>
        <v>PRO230</v>
      </c>
      <c r="G61" s="31">
        <f>IFERROR(VLOOKUP($C61,[16]Nod!$A$3:$E$988,5,FALSE)," ")</f>
        <v>1</v>
      </c>
      <c r="H61" s="351" t="s">
        <v>60</v>
      </c>
      <c r="I61" s="67"/>
      <c r="J61" s="68"/>
      <c r="K61" s="65"/>
      <c r="L61" s="281"/>
      <c r="M61" s="281"/>
    </row>
    <row r="62" spans="1:13" ht="15" customHeight="1" thickBot="1">
      <c r="A62" s="49" t="s">
        <v>35</v>
      </c>
      <c r="B62" s="3"/>
      <c r="C62" s="40"/>
      <c r="D62" s="333"/>
      <c r="E62" s="302"/>
      <c r="F62" s="31" t="str">
        <f>IFERROR(VLOOKUP($C62,[16]Nod!$A$3:$E$988,4,FALSE)," ")</f>
        <v xml:space="preserve"> </v>
      </c>
      <c r="G62" s="31" t="str">
        <f>IFERROR(VLOOKUP($C62,[16]Nod!$A$3:$E$988,5,FALSE)," ")</f>
        <v xml:space="preserve"> </v>
      </c>
      <c r="H62" s="57" t="s">
        <v>61</v>
      </c>
      <c r="I62" s="67"/>
      <c r="J62" s="68">
        <v>6002</v>
      </c>
      <c r="K62" s="65">
        <v>291.66804153116811</v>
      </c>
      <c r="L62" s="281" t="str">
        <f>VLOOKUP($J62,[16]Nod!$A$3:$E$987,4,FALSE)</f>
        <v>PAN115</v>
      </c>
      <c r="M62" s="281">
        <f>VLOOKUP($J62,[16]Nod!$A$3:$E$987,5,FALSE)</f>
        <v>7</v>
      </c>
    </row>
    <row r="63" spans="1:13" ht="15" customHeight="1">
      <c r="A63" s="50">
        <v>2</v>
      </c>
      <c r="B63" s="44"/>
      <c r="C63" s="45"/>
      <c r="D63" s="332">
        <f>SUM(D64:D82)</f>
        <v>730.88000000000011</v>
      </c>
      <c r="E63" s="297"/>
      <c r="F63" s="31" t="str">
        <f>IFERROR(VLOOKUP($C63,[16]Nod!$A$3:$E$988,4,FALSE)," ")</f>
        <v xml:space="preserve"> </v>
      </c>
      <c r="G63" s="31" t="str">
        <f>IFERROR(VLOOKUP($C63,[16]Nod!$A$3:$E$988,5,FALSE)," ")</f>
        <v xml:space="preserve"> </v>
      </c>
      <c r="H63" s="57" t="s">
        <v>63</v>
      </c>
      <c r="I63" s="67"/>
      <c r="J63" s="68">
        <v>6002</v>
      </c>
      <c r="K63" s="65">
        <v>333.7972761616972</v>
      </c>
      <c r="L63" s="281" t="str">
        <f>VLOOKUP($J63,[16]Nod!$A$3:$E$987,4,FALSE)</f>
        <v>PAN115</v>
      </c>
      <c r="M63" s="281">
        <f>VLOOKUP($J63,[16]Nod!$A$3:$E$987,5,FALSE)</f>
        <v>7</v>
      </c>
    </row>
    <row r="64" spans="1:13" ht="15" customHeight="1">
      <c r="A64" s="301" t="s">
        <v>43</v>
      </c>
      <c r="B64" s="3"/>
      <c r="C64" s="40">
        <v>6096</v>
      </c>
      <c r="D64" s="331">
        <v>300</v>
      </c>
      <c r="E64" s="302">
        <v>0</v>
      </c>
      <c r="F64" s="31" t="str">
        <f>IFERROR(VLOOKUP($C64,[16]Nod!$A$3:$E$988,4,FALSE)," ")</f>
        <v>FOR230</v>
      </c>
      <c r="G64" s="31">
        <f>IFERROR(VLOOKUP($C64,[16]Nod!$A$3:$E$988,5,FALSE)," ")</f>
        <v>2</v>
      </c>
      <c r="H64" s="57" t="s">
        <v>65</v>
      </c>
      <c r="I64" s="67"/>
      <c r="J64" s="68">
        <v>6470</v>
      </c>
      <c r="K64" s="65">
        <v>78.84901993566919</v>
      </c>
      <c r="L64" s="281" t="str">
        <f>VLOOKUP($J64,[16]Nod!$A$3:$E$987,4,FALSE)</f>
        <v>24DIC230</v>
      </c>
      <c r="M64" s="281">
        <f>VLOOKUP($J64,[16]Nod!$A$3:$E$987,5,FALSE)</f>
        <v>7</v>
      </c>
    </row>
    <row r="65" spans="1:13" ht="15" customHeight="1">
      <c r="A65" s="301" t="s">
        <v>194</v>
      </c>
      <c r="B65" s="3"/>
      <c r="C65" s="40">
        <v>6179</v>
      </c>
      <c r="D65" s="331">
        <v>120</v>
      </c>
      <c r="E65" s="302">
        <v>0</v>
      </c>
      <c r="F65" s="31" t="str">
        <f>IFERROR(VLOOKUP($C65,[16]Nod!$A$3:$E$988,4,FALSE)," ")</f>
        <v>GUA230</v>
      </c>
      <c r="G65" s="31">
        <f>IFERROR(VLOOKUP($C65,[16]Nod!$A$3:$E$988,5,FALSE)," ")</f>
        <v>2</v>
      </c>
      <c r="H65" s="351" t="s">
        <v>185</v>
      </c>
      <c r="I65" s="67"/>
      <c r="J65" s="68"/>
      <c r="K65" s="65"/>
      <c r="L65" s="281"/>
      <c r="M65" s="281"/>
    </row>
    <row r="66" spans="1:13" ht="15" customHeight="1">
      <c r="A66" s="301" t="s">
        <v>46</v>
      </c>
      <c r="B66" s="3"/>
      <c r="C66" s="40">
        <v>6179</v>
      </c>
      <c r="D66" s="331">
        <v>25.34</v>
      </c>
      <c r="E66" s="302">
        <v>0</v>
      </c>
      <c r="F66" s="31" t="str">
        <f>IFERROR(VLOOKUP($C66,[16]Nod!$A$3:$E$988,4,FALSE)," ")</f>
        <v>GUA230</v>
      </c>
      <c r="G66" s="31">
        <f>IFERROR(VLOOKUP($C66,[16]Nod!$A$3:$E$988,5,FALSE)," ")</f>
        <v>2</v>
      </c>
      <c r="H66" s="57" t="s">
        <v>68</v>
      </c>
      <c r="I66" s="67"/>
      <c r="J66" s="68">
        <v>6024</v>
      </c>
      <c r="K66" s="65">
        <v>22.589860000000002</v>
      </c>
      <c r="L66" s="281" t="str">
        <f>VLOOKUP($J66,[16]Nod!$A$3:$E$987,4,FALSE)</f>
        <v>CHI115</v>
      </c>
      <c r="M66" s="281">
        <f>VLOOKUP($J66,[16]Nod!$A$3:$E$987,5,FALSE)</f>
        <v>7</v>
      </c>
    </row>
    <row r="67" spans="1:13" ht="15" customHeight="1">
      <c r="A67" s="301" t="s">
        <v>48</v>
      </c>
      <c r="B67" s="3"/>
      <c r="C67" s="40">
        <v>6179</v>
      </c>
      <c r="D67" s="331">
        <v>35</v>
      </c>
      <c r="E67" s="302">
        <v>0</v>
      </c>
      <c r="F67" s="31" t="str">
        <f>IFERROR(VLOOKUP($C67,[16]Nod!$A$3:$E$988,4,FALSE)," ")</f>
        <v>GUA230</v>
      </c>
      <c r="G67" s="31">
        <f>IFERROR(VLOOKUP($C67,[16]Nod!$A$3:$E$988,5,FALSE)," ")</f>
        <v>2</v>
      </c>
      <c r="H67" s="57" t="s">
        <v>72</v>
      </c>
      <c r="I67" s="67"/>
      <c r="J67" s="68">
        <v>6002</v>
      </c>
      <c r="K67" s="65">
        <v>0.18659999999999999</v>
      </c>
      <c r="L67" s="281" t="str">
        <f>VLOOKUP($J67,[16]Nod!$A$3:$E$987,4,FALSE)</f>
        <v>PAN115</v>
      </c>
      <c r="M67" s="281">
        <f>VLOOKUP($J67,[16]Nod!$A$3:$E$987,5,FALSE)</f>
        <v>7</v>
      </c>
    </row>
    <row r="68" spans="1:13" ht="15" customHeight="1">
      <c r="A68" s="301" t="s">
        <v>50</v>
      </c>
      <c r="B68" s="3"/>
      <c r="C68" s="40">
        <v>6179</v>
      </c>
      <c r="D68" s="331">
        <v>58.66</v>
      </c>
      <c r="E68" s="302">
        <v>0</v>
      </c>
      <c r="F68" s="31" t="str">
        <f>IFERROR(VLOOKUP($C68,[16]Nod!$A$3:$E$988,4,FALSE)," ")</f>
        <v>GUA230</v>
      </c>
      <c r="G68" s="31">
        <f>IFERROR(VLOOKUP($C68,[16]Nod!$A$3:$E$988,5,FALSE)," ")</f>
        <v>2</v>
      </c>
      <c r="H68" s="57" t="s">
        <v>78</v>
      </c>
      <c r="I68" s="67"/>
      <c r="J68" s="68">
        <v>6002</v>
      </c>
      <c r="K68" s="65">
        <v>0</v>
      </c>
      <c r="L68" s="281" t="str">
        <f>VLOOKUP($J68,[16]Nod!$A$3:$E$987,4,FALSE)</f>
        <v>PAN115</v>
      </c>
      <c r="M68" s="281">
        <f>VLOOKUP($J68,[16]Nod!$A$3:$E$987,5,FALSE)</f>
        <v>7</v>
      </c>
    </row>
    <row r="69" spans="1:13" ht="15" customHeight="1">
      <c r="A69" s="301" t="s">
        <v>325</v>
      </c>
      <c r="B69" s="3"/>
      <c r="C69" s="40">
        <v>6179</v>
      </c>
      <c r="D69" s="331">
        <v>9.69</v>
      </c>
      <c r="E69" s="302">
        <v>0</v>
      </c>
      <c r="F69" s="31" t="str">
        <f>IFERROR(VLOOKUP($C69,[16]Nod!$A$3:$E$988,4,FALSE)," ")</f>
        <v>GUA230</v>
      </c>
      <c r="G69" s="31">
        <f>IFERROR(VLOOKUP($C69,[16]Nod!$A$3:$E$988,5,FALSE)," ")</f>
        <v>2</v>
      </c>
      <c r="H69" s="350" t="s">
        <v>44</v>
      </c>
      <c r="I69" s="67"/>
      <c r="J69" s="68">
        <v>6002</v>
      </c>
      <c r="K69" s="65">
        <v>1.3520000000000001</v>
      </c>
      <c r="L69" s="281" t="str">
        <f>VLOOKUP($J69,[16]Nod!$A$3:$E$987,4,FALSE)</f>
        <v>PAN115</v>
      </c>
      <c r="M69" s="281">
        <f>VLOOKUP($J69,[16]Nod!$A$3:$E$987,5,FALSE)</f>
        <v>7</v>
      </c>
    </row>
    <row r="70" spans="1:13" ht="15" customHeight="1">
      <c r="A70" s="301" t="s">
        <v>324</v>
      </c>
      <c r="B70" s="3"/>
      <c r="C70" s="40">
        <v>6179</v>
      </c>
      <c r="D70" s="331">
        <v>8.1</v>
      </c>
      <c r="E70" s="302">
        <v>0</v>
      </c>
      <c r="F70" s="31" t="str">
        <f>IFERROR(VLOOKUP($C70,[16]Nod!$A$3:$E$988,4,FALSE)," ")</f>
        <v>GUA230</v>
      </c>
      <c r="G70" s="31">
        <f>IFERROR(VLOOKUP($C70,[16]Nod!$A$3:$E$988,5,FALSE)," ")</f>
        <v>2</v>
      </c>
      <c r="H70" s="303" t="s">
        <v>35</v>
      </c>
      <c r="I70" s="304"/>
      <c r="J70" s="306"/>
      <c r="K70" s="306"/>
      <c r="L70" s="281"/>
      <c r="M70" s="281"/>
    </row>
    <row r="71" spans="1:13" ht="15" customHeight="1">
      <c r="A71" s="301" t="s">
        <v>323</v>
      </c>
      <c r="B71" s="3"/>
      <c r="C71" s="40">
        <v>6179</v>
      </c>
      <c r="D71" s="331">
        <v>9.99</v>
      </c>
      <c r="E71" s="302">
        <v>0</v>
      </c>
      <c r="F71" s="31" t="str">
        <f>IFERROR(VLOOKUP($C71,[16]Nod!$A$3:$E$988,4,FALSE)," ")</f>
        <v>GUA230</v>
      </c>
      <c r="G71" s="31">
        <f>IFERROR(VLOOKUP($C71,[16]Nod!$A$3:$E$988,5,FALSE)," ")</f>
        <v>2</v>
      </c>
      <c r="H71" s="307">
        <v>8</v>
      </c>
      <c r="I71" s="299"/>
      <c r="J71" s="328"/>
      <c r="K71" s="300">
        <f>SUM(K72:K74)</f>
        <v>1.35</v>
      </c>
      <c r="L71" s="281"/>
      <c r="M71" s="281"/>
    </row>
    <row r="72" spans="1:13" ht="15" customHeight="1">
      <c r="A72" s="301" t="s">
        <v>322</v>
      </c>
      <c r="B72" s="3"/>
      <c r="C72" s="40">
        <v>6179</v>
      </c>
      <c r="D72" s="331">
        <v>7.5</v>
      </c>
      <c r="E72" s="302">
        <v>0</v>
      </c>
      <c r="F72" s="31" t="str">
        <f>IFERROR(VLOOKUP($C72,[16]Nod!$A$3:$E$988,4,FALSE)," ")</f>
        <v>GUA230</v>
      </c>
      <c r="G72" s="31">
        <f>IFERROR(VLOOKUP($C72,[16]Nod!$A$3:$E$988,5,FALSE)," ")</f>
        <v>2</v>
      </c>
      <c r="H72" s="296" t="s">
        <v>60</v>
      </c>
      <c r="I72" s="67"/>
      <c r="J72" s="68"/>
      <c r="K72" s="68"/>
      <c r="L72" s="281"/>
      <c r="M72" s="281"/>
    </row>
    <row r="73" spans="1:13" ht="15" customHeight="1">
      <c r="A73" s="301" t="s">
        <v>321</v>
      </c>
      <c r="B73" s="3"/>
      <c r="C73" s="40">
        <v>6179</v>
      </c>
      <c r="D73" s="331">
        <v>2.5</v>
      </c>
      <c r="E73" s="302">
        <v>0</v>
      </c>
      <c r="F73" s="31" t="str">
        <f>IFERROR(VLOOKUP($C73,[16]Nod!$A$3:$E$988,4,FALSE)," ")</f>
        <v>GUA230</v>
      </c>
      <c r="G73" s="31">
        <f>IFERROR(VLOOKUP($C73,[16]Nod!$A$3:$E$988,5,FALSE)," ")</f>
        <v>2</v>
      </c>
      <c r="H73" s="349" t="s">
        <v>82</v>
      </c>
      <c r="I73" s="67"/>
      <c r="J73" s="68">
        <v>6100</v>
      </c>
      <c r="K73" s="348">
        <v>1.35</v>
      </c>
      <c r="L73" s="281" t="str">
        <f>VLOOKUP($J73,[16]Nod!$A$3:$E$987,4,FALSE)</f>
        <v>BAY230</v>
      </c>
      <c r="M73" s="281">
        <f>VLOOKUP($J73,[16]Nod!$A$3:$E$987,5,FALSE)</f>
        <v>8</v>
      </c>
    </row>
    <row r="74" spans="1:13" ht="15" customHeight="1">
      <c r="A74" s="314" t="s">
        <v>320</v>
      </c>
      <c r="B74" s="3"/>
      <c r="C74" s="40">
        <v>6179</v>
      </c>
      <c r="D74" s="331">
        <v>9.98</v>
      </c>
      <c r="E74" s="302">
        <v>0</v>
      </c>
      <c r="F74" s="31" t="str">
        <f>IFERROR(VLOOKUP($C74,[16]Nod!$A$3:$E$988,4,FALSE)," ")</f>
        <v>GUA230</v>
      </c>
      <c r="G74" s="31">
        <f>IFERROR(VLOOKUP($C74,[16]Nod!$A$3:$E$988,5,FALSE)," ")</f>
        <v>2</v>
      </c>
      <c r="H74" s="303" t="s">
        <v>35</v>
      </c>
      <c r="I74" s="304"/>
      <c r="J74" s="306"/>
      <c r="K74" s="306"/>
      <c r="L74" s="281"/>
      <c r="M74" s="281"/>
    </row>
    <row r="75" spans="1:13" ht="15" customHeight="1">
      <c r="A75" s="347" t="s">
        <v>319</v>
      </c>
      <c r="B75" s="3"/>
      <c r="C75" s="40">
        <v>6179</v>
      </c>
      <c r="D75" s="331">
        <v>9.99</v>
      </c>
      <c r="E75" s="302">
        <v>0</v>
      </c>
      <c r="F75" s="31" t="str">
        <f>IFERROR(VLOOKUP($C75,[16]Nod!$A$3:$E$988,4,FALSE)," ")</f>
        <v>GUA230</v>
      </c>
      <c r="G75" s="31">
        <f>IFERROR(VLOOKUP($C75,[16]Nod!$A$3:$E$988,5,FALSE)," ")</f>
        <v>2</v>
      </c>
      <c r="H75" s="307">
        <v>9</v>
      </c>
      <c r="I75" s="299"/>
      <c r="J75" s="327"/>
      <c r="K75" s="300">
        <f>SUM(K76:K81)</f>
        <v>142.87444388279732</v>
      </c>
      <c r="L75" s="281"/>
      <c r="M75" s="281"/>
    </row>
    <row r="76" spans="1:13" ht="15" customHeight="1">
      <c r="A76" s="347" t="s">
        <v>318</v>
      </c>
      <c r="B76" s="3"/>
      <c r="C76" s="40">
        <v>6179</v>
      </c>
      <c r="D76" s="331">
        <v>9.99</v>
      </c>
      <c r="E76" s="302">
        <v>0</v>
      </c>
      <c r="F76" s="31" t="str">
        <f>IFERROR(VLOOKUP($C76,[16]Nod!$A$3:$E$988,4,FALSE)," ")</f>
        <v>GUA230</v>
      </c>
      <c r="G76" s="31">
        <f>IFERROR(VLOOKUP($C76,[16]Nod!$A$3:$E$988,5,FALSE)," ")</f>
        <v>2</v>
      </c>
      <c r="H76" s="296" t="s">
        <v>60</v>
      </c>
      <c r="I76" s="67"/>
      <c r="J76" s="68"/>
      <c r="K76" s="68"/>
      <c r="L76" s="281"/>
      <c r="M76" s="281"/>
    </row>
    <row r="77" spans="1:13" ht="15" customHeight="1">
      <c r="A77" s="347" t="s">
        <v>317</v>
      </c>
      <c r="B77" s="3"/>
      <c r="C77" s="40">
        <v>6179</v>
      </c>
      <c r="D77" s="331">
        <v>9.99</v>
      </c>
      <c r="E77" s="302">
        <v>0</v>
      </c>
      <c r="F77" s="31" t="str">
        <f>IFERROR(VLOOKUP($C77,[16]Nod!$A$3:$E$988,4,FALSE)," ")</f>
        <v>GUA230</v>
      </c>
      <c r="G77" s="31">
        <f>IFERROR(VLOOKUP($C77,[16]Nod!$A$3:$E$988,5,FALSE)," ")</f>
        <v>2</v>
      </c>
      <c r="H77" s="69" t="s">
        <v>85</v>
      </c>
      <c r="I77" s="67"/>
      <c r="J77" s="68">
        <v>6059</v>
      </c>
      <c r="K77" s="65">
        <v>134.93244388279732</v>
      </c>
      <c r="L77" s="281" t="str">
        <f>VLOOKUP($J77,[16]Nod!$A$3:$E$987,4,FALSE)</f>
        <v>LM1115</v>
      </c>
      <c r="M77" s="281">
        <f>VLOOKUP($J77,[16]Nod!$A$3:$E$987,5,FALSE)</f>
        <v>9</v>
      </c>
    </row>
    <row r="78" spans="1:13" ht="15" customHeight="1">
      <c r="A78" s="314" t="s">
        <v>316</v>
      </c>
      <c r="B78" s="3"/>
      <c r="C78" s="40">
        <v>6179</v>
      </c>
      <c r="D78" s="331">
        <v>80</v>
      </c>
      <c r="E78" s="302">
        <v>0</v>
      </c>
      <c r="F78" s="31" t="str">
        <f>IFERROR(VLOOKUP($C78,[16]Nod!$A$3:$E$988,4,FALSE)," ")</f>
        <v>GUA230</v>
      </c>
      <c r="G78" s="31">
        <f>IFERROR(VLOOKUP($C78,[16]Nod!$A$3:$E$988,5,FALSE)," ")</f>
        <v>2</v>
      </c>
      <c r="H78" s="296" t="s">
        <v>42</v>
      </c>
      <c r="I78" s="67"/>
      <c r="J78" s="68"/>
      <c r="K78" s="68"/>
      <c r="L78" s="281"/>
      <c r="M78" s="281"/>
    </row>
    <row r="79" spans="1:13" ht="15" customHeight="1">
      <c r="A79" s="314" t="s">
        <v>315</v>
      </c>
      <c r="B79" s="3"/>
      <c r="C79" s="40">
        <v>6179</v>
      </c>
      <c r="D79" s="331">
        <v>10</v>
      </c>
      <c r="E79" s="302">
        <v>0</v>
      </c>
      <c r="F79" s="31" t="str">
        <f>IFERROR(VLOOKUP($C79,[16]Nod!$A$3:$E$988,4,FALSE)," ")</f>
        <v>GUA230</v>
      </c>
      <c r="G79" s="31">
        <f>IFERROR(VLOOKUP($C79,[16]Nod!$A$3:$E$988,5,FALSE)," ")</f>
        <v>2</v>
      </c>
      <c r="H79" s="69" t="s">
        <v>88</v>
      </c>
      <c r="I79" s="67"/>
      <c r="J79" s="68">
        <v>6170</v>
      </c>
      <c r="K79" s="65">
        <v>7.25</v>
      </c>
      <c r="L79" s="281" t="str">
        <f>VLOOKUP($J79,[16]Nod!$A$3:$E$987,4,FALSE)</f>
        <v>CPA115</v>
      </c>
      <c r="M79" s="281">
        <f>VLOOKUP($J79,[16]Nod!$A$3:$E$987,5,FALSE)</f>
        <v>9</v>
      </c>
    </row>
    <row r="80" spans="1:13" ht="15" customHeight="1">
      <c r="A80" s="314" t="s">
        <v>314</v>
      </c>
      <c r="B80" s="3"/>
      <c r="C80" s="40">
        <v>6179</v>
      </c>
      <c r="D80" s="331">
        <v>4.1500000000000004</v>
      </c>
      <c r="E80" s="302">
        <v>0</v>
      </c>
      <c r="F80" s="31" t="str">
        <f>IFERROR(VLOOKUP($C80,[16]Nod!$A$3:$E$988,4,FALSE)," ")</f>
        <v>GUA230</v>
      </c>
      <c r="G80" s="31">
        <f>IFERROR(VLOOKUP($C80,[16]Nod!$A$3:$E$988,5,FALSE)," ")</f>
        <v>2</v>
      </c>
      <c r="H80" s="69" t="s">
        <v>44</v>
      </c>
      <c r="I80" s="67"/>
      <c r="J80" s="68">
        <v>6059</v>
      </c>
      <c r="K80" s="65">
        <v>0.69199999999999995</v>
      </c>
      <c r="L80" s="281" t="str">
        <f>VLOOKUP($J80,[16]Nod!$A$3:$E$987,4,FALSE)</f>
        <v>LM1115</v>
      </c>
      <c r="M80" s="281">
        <f>VLOOKUP($J80,[16]Nod!$A$3:$E$987,5,FALSE)</f>
        <v>9</v>
      </c>
    </row>
    <row r="81" spans="1:13" ht="15" customHeight="1">
      <c r="A81" s="314" t="s">
        <v>313</v>
      </c>
      <c r="B81" s="3"/>
      <c r="C81" s="40">
        <v>6179</v>
      </c>
      <c r="D81" s="331">
        <v>20</v>
      </c>
      <c r="E81" s="302">
        <v>0</v>
      </c>
      <c r="F81" s="31" t="str">
        <f>IFERROR(VLOOKUP($C81,[16]Nod!$A$3:$E$988,4,FALSE)," ")</f>
        <v>GUA230</v>
      </c>
      <c r="G81" s="31">
        <f>IFERROR(VLOOKUP($C81,[16]Nod!$A$3:$E$988,5,FALSE)," ")</f>
        <v>2</v>
      </c>
      <c r="H81" s="303" t="s">
        <v>35</v>
      </c>
      <c r="I81" s="304"/>
      <c r="J81" s="306"/>
      <c r="K81" s="306"/>
      <c r="L81" s="281"/>
      <c r="M81" s="281"/>
    </row>
    <row r="82" spans="1:13" ht="15" customHeight="1">
      <c r="A82" s="314" t="s">
        <v>312</v>
      </c>
      <c r="B82" s="3"/>
      <c r="C82" s="40"/>
      <c r="D82" s="331"/>
      <c r="E82" s="302"/>
      <c r="F82" s="31" t="str">
        <f>IFERROR(VLOOKUP($C82,[16]Nod!$A$3:$E$988,4,FALSE)," ")</f>
        <v xml:space="preserve"> </v>
      </c>
      <c r="G82" s="31" t="str">
        <f>IFERROR(VLOOKUP($C82,[16]Nod!$A$3:$E$988,5,FALSE)," ")</f>
        <v xml:space="preserve"> </v>
      </c>
      <c r="H82" s="309">
        <v>10</v>
      </c>
      <c r="I82" s="310"/>
      <c r="J82" s="326"/>
      <c r="K82" s="300">
        <f>SUM(K83:K85)</f>
        <v>60.815354535977733</v>
      </c>
      <c r="L82" s="281"/>
      <c r="M82" s="281"/>
    </row>
    <row r="83" spans="1:13" ht="15" customHeight="1" thickBot="1">
      <c r="A83" s="53" t="s">
        <v>35</v>
      </c>
      <c r="B83" s="42"/>
      <c r="C83" s="43"/>
      <c r="D83" s="333"/>
      <c r="E83" s="315"/>
      <c r="F83" s="31" t="str">
        <f>IFERROR(VLOOKUP($C83,[16]Nod!$A$3:$E$988,4,FALSE)," ")</f>
        <v xml:space="preserve"> </v>
      </c>
      <c r="G83" s="31" t="str">
        <f>IFERROR(VLOOKUP($C83,[16]Nod!$A$3:$E$988,5,FALSE)," ")</f>
        <v xml:space="preserve"> </v>
      </c>
      <c r="H83" s="296" t="s">
        <v>29</v>
      </c>
      <c r="I83" s="67"/>
      <c r="J83" s="68"/>
      <c r="K83" s="68"/>
      <c r="L83" s="281"/>
      <c r="M83" s="281"/>
    </row>
    <row r="84" spans="1:13" ht="15" customHeight="1">
      <c r="A84" s="33">
        <v>3</v>
      </c>
      <c r="B84" s="34"/>
      <c r="C84" s="35"/>
      <c r="D84" s="332">
        <f>SUM(D85:D93)</f>
        <v>178.73000000000005</v>
      </c>
      <c r="E84" s="317"/>
      <c r="F84" s="31" t="str">
        <f>IFERROR(VLOOKUP($C84,[16]Nod!$A$3:$E$988,4,FALSE)," ")</f>
        <v xml:space="preserve"> </v>
      </c>
      <c r="G84" s="31" t="str">
        <f>IFERROR(VLOOKUP($C84,[16]Nod!$A$3:$E$988,5,FALSE)," ")</f>
        <v xml:space="preserve"> </v>
      </c>
      <c r="H84" s="69" t="s">
        <v>208</v>
      </c>
      <c r="I84" s="67"/>
      <c r="J84" s="68">
        <v>6340</v>
      </c>
      <c r="K84" s="65">
        <v>31.413533096036527</v>
      </c>
      <c r="L84" s="281" t="str">
        <f>VLOOKUP($J84,[16]Nod!$A$3:$E$987,4,FALSE)</f>
        <v>CAN230</v>
      </c>
      <c r="M84" s="281">
        <f>VLOOKUP($J84,[16]Nod!$A$3:$E$987,5,FALSE)</f>
        <v>10</v>
      </c>
    </row>
    <row r="85" spans="1:13" ht="15" customHeight="1">
      <c r="A85" s="301" t="s">
        <v>52</v>
      </c>
      <c r="B85" s="3"/>
      <c r="C85" s="40">
        <v>6087</v>
      </c>
      <c r="D85" s="331">
        <v>47.2</v>
      </c>
      <c r="E85" s="302">
        <v>0</v>
      </c>
      <c r="F85" s="31" t="str">
        <f>IFERROR(VLOOKUP($C85,[16]Nod!$A$3:$E$988,4,FALSE)," ")</f>
        <v>CAL115</v>
      </c>
      <c r="G85" s="31">
        <f>IFERROR(VLOOKUP($C85,[16]Nod!$A$3:$E$988,5,FALSE)," ")</f>
        <v>3</v>
      </c>
      <c r="H85" s="69" t="s">
        <v>99</v>
      </c>
      <c r="I85" s="67"/>
      <c r="J85" s="68">
        <v>6340</v>
      </c>
      <c r="K85" s="65">
        <v>29.401821439941202</v>
      </c>
      <c r="L85" s="281" t="str">
        <f>VLOOKUP($J85,[16]Nod!$A$3:$E$987,4,FALSE)</f>
        <v>CAN230</v>
      </c>
      <c r="M85" s="281">
        <f>VLOOKUP($J85,[16]Nod!$A$3:$E$987,5,FALSE)</f>
        <v>10</v>
      </c>
    </row>
    <row r="86" spans="1:13" ht="15" customHeight="1">
      <c r="A86" s="301" t="s">
        <v>54</v>
      </c>
      <c r="B86" s="3"/>
      <c r="C86" s="40">
        <v>6087</v>
      </c>
      <c r="D86" s="331">
        <v>54.76</v>
      </c>
      <c r="E86" s="302">
        <v>0</v>
      </c>
      <c r="F86" s="31" t="str">
        <f>IFERROR(VLOOKUP($C86,[16]Nod!$A$3:$E$988,4,FALSE)," ")</f>
        <v>CAL115</v>
      </c>
      <c r="G86" s="31">
        <f>IFERROR(VLOOKUP($C86,[16]Nod!$A$3:$E$988,5,FALSE)," ")</f>
        <v>3</v>
      </c>
      <c r="H86" s="303" t="s">
        <v>35</v>
      </c>
      <c r="I86" s="304"/>
      <c r="J86" s="305"/>
      <c r="K86" s="325"/>
      <c r="L86" s="281"/>
      <c r="M86" s="281"/>
    </row>
    <row r="87" spans="1:13" ht="15" customHeight="1">
      <c r="A87" s="301" t="s">
        <v>55</v>
      </c>
      <c r="B87" s="3"/>
      <c r="C87" s="40">
        <v>6087</v>
      </c>
      <c r="D87" s="331">
        <v>18</v>
      </c>
      <c r="E87" s="302">
        <v>0</v>
      </c>
      <c r="F87" s="31" t="str">
        <f>IFERROR(VLOOKUP($C87,[16]Nod!$A$3:$E$988,4,FALSE)," ")</f>
        <v>CAL115</v>
      </c>
      <c r="G87" s="31">
        <f>IFERROR(VLOOKUP($C87,[16]Nod!$A$3:$E$988,5,FALSE)," ")</f>
        <v>3</v>
      </c>
    </row>
    <row r="88" spans="1:13" ht="15" customHeight="1">
      <c r="A88" s="301" t="s">
        <v>56</v>
      </c>
      <c r="B88" s="3"/>
      <c r="C88" s="40">
        <v>6087</v>
      </c>
      <c r="D88" s="331">
        <v>15.5</v>
      </c>
      <c r="E88" s="302">
        <v>0</v>
      </c>
      <c r="F88" s="31" t="str">
        <f>IFERROR(VLOOKUP($C88,[16]Nod!$A$3:$E$988,4,FALSE)," ")</f>
        <v>CAL115</v>
      </c>
      <c r="G88" s="31">
        <f>IFERROR(VLOOKUP($C88,[16]Nod!$A$3:$E$988,5,FALSE)," ")</f>
        <v>3</v>
      </c>
      <c r="L88" s="281"/>
      <c r="M88" s="281"/>
    </row>
    <row r="89" spans="1:13" ht="15" customHeight="1">
      <c r="A89" s="301" t="s">
        <v>59</v>
      </c>
      <c r="B89" s="3"/>
      <c r="C89" s="40">
        <v>6087</v>
      </c>
      <c r="D89" s="331">
        <v>9.73</v>
      </c>
      <c r="E89" s="302">
        <v>0</v>
      </c>
      <c r="F89" s="31" t="str">
        <f>IFERROR(VLOOKUP($C89,[16]Nod!$A$3:$E$988,4,FALSE)," ")</f>
        <v>CAL115</v>
      </c>
      <c r="G89" s="31">
        <f>IFERROR(VLOOKUP($C89,[16]Nod!$A$3:$E$988,5,FALSE)," ")</f>
        <v>3</v>
      </c>
      <c r="L89" s="281"/>
      <c r="M89" s="281"/>
    </row>
    <row r="90" spans="1:13" ht="15" customHeight="1">
      <c r="A90" s="314" t="s">
        <v>58</v>
      </c>
      <c r="B90" s="3"/>
      <c r="C90" s="40">
        <v>6087</v>
      </c>
      <c r="D90" s="331">
        <v>7.8</v>
      </c>
      <c r="E90" s="302">
        <v>0</v>
      </c>
      <c r="F90" s="31" t="str">
        <f>IFERROR(VLOOKUP($C90,[16]Nod!$A$3:$E$988,4,FALSE)," ")</f>
        <v>CAL115</v>
      </c>
      <c r="G90" s="31">
        <f>IFERROR(VLOOKUP($C90,[16]Nod!$A$3:$E$988,5,FALSE)," ")</f>
        <v>3</v>
      </c>
      <c r="L90" s="281"/>
      <c r="M90" s="281"/>
    </row>
    <row r="91" spans="1:13" ht="15" customHeight="1">
      <c r="A91" s="314" t="s">
        <v>311</v>
      </c>
      <c r="B91" s="3"/>
      <c r="C91" s="40">
        <v>6087</v>
      </c>
      <c r="D91" s="338">
        <v>8.58</v>
      </c>
      <c r="E91" s="302">
        <v>0</v>
      </c>
      <c r="F91" s="31" t="str">
        <f>IFERROR(VLOOKUP($C91,[16]Nod!$A$3:$E$988,4,FALSE)," ")</f>
        <v>CAL115</v>
      </c>
      <c r="G91" s="31">
        <f>IFERROR(VLOOKUP($C91,[16]Nod!$A$3:$E$988,5,FALSE)," ")</f>
        <v>3</v>
      </c>
      <c r="L91" s="281"/>
      <c r="M91" s="281"/>
    </row>
    <row r="92" spans="1:13" ht="15" customHeight="1">
      <c r="A92" s="314" t="s">
        <v>310</v>
      </c>
      <c r="B92" s="3"/>
      <c r="C92" s="40">
        <v>6087</v>
      </c>
      <c r="D92" s="331">
        <v>8.58</v>
      </c>
      <c r="E92" s="302">
        <v>0</v>
      </c>
      <c r="F92" s="31" t="str">
        <f>IFERROR(VLOOKUP($C92,[16]Nod!$A$3:$E$988,4,FALSE)," ")</f>
        <v>CAL115</v>
      </c>
      <c r="G92" s="31">
        <f>IFERROR(VLOOKUP($C92,[16]Nod!$A$3:$E$988,5,FALSE)," ")</f>
        <v>3</v>
      </c>
      <c r="L92" s="281"/>
      <c r="M92" s="281"/>
    </row>
    <row r="93" spans="1:13" ht="15" customHeight="1">
      <c r="A93" s="314" t="s">
        <v>309</v>
      </c>
      <c r="B93" s="3"/>
      <c r="C93" s="40">
        <v>6087</v>
      </c>
      <c r="D93" s="331">
        <v>8.58</v>
      </c>
      <c r="E93" s="302">
        <v>0</v>
      </c>
      <c r="F93" s="31" t="str">
        <f>IFERROR(VLOOKUP($C93,[16]Nod!$A$3:$E$988,4,FALSE)," ")</f>
        <v>CAL115</v>
      </c>
      <c r="G93" s="31">
        <f>IFERROR(VLOOKUP($C93,[16]Nod!$A$3:$E$988,5,FALSE)," ")</f>
        <v>3</v>
      </c>
      <c r="L93" s="281"/>
      <c r="M93" s="281"/>
    </row>
    <row r="94" spans="1:13" ht="15" customHeight="1" thickBot="1">
      <c r="A94" s="49" t="s">
        <v>35</v>
      </c>
      <c r="B94" s="3"/>
      <c r="C94" s="40"/>
      <c r="D94" s="335"/>
      <c r="E94" s="302"/>
      <c r="F94" s="31" t="str">
        <f>IFERROR(VLOOKUP($C94,[16]Nod!$A$3:$E$988,4,FALSE)," ")</f>
        <v xml:space="preserve"> </v>
      </c>
      <c r="G94" s="31" t="str">
        <f>IFERROR(VLOOKUP($C94,[16]Nod!$A$3:$E$988,5,FALSE)," ")</f>
        <v xml:space="preserve"> </v>
      </c>
      <c r="L94" s="281"/>
      <c r="M94" s="281"/>
    </row>
    <row r="95" spans="1:13" ht="15" customHeight="1">
      <c r="A95" s="47">
        <v>4</v>
      </c>
      <c r="B95" s="44"/>
      <c r="C95" s="45"/>
      <c r="D95" s="332">
        <f>SUM(D96:D140)</f>
        <v>654.92099999999982</v>
      </c>
      <c r="E95" s="297"/>
      <c r="F95" s="31" t="str">
        <f>IFERROR(VLOOKUP($C95,[16]Nod!$A$3:$E$988,4,FALSE)," ")</f>
        <v xml:space="preserve"> </v>
      </c>
      <c r="G95" s="31" t="str">
        <f>IFERROR(VLOOKUP($C95,[16]Nod!$A$3:$E$988,5,FALSE)," ")</f>
        <v xml:space="preserve"> </v>
      </c>
      <c r="L95" s="281"/>
      <c r="M95" s="281"/>
    </row>
    <row r="96" spans="1:13" ht="15" customHeight="1">
      <c r="A96" s="301" t="s">
        <v>62</v>
      </c>
      <c r="B96" s="3"/>
      <c r="C96" s="40">
        <v>6380</v>
      </c>
      <c r="D96" s="331">
        <v>10</v>
      </c>
      <c r="E96" s="302">
        <v>0</v>
      </c>
      <c r="F96" s="31" t="str">
        <f>IFERROR(VLOOKUP($C96,[16]Nod!$A$3:$E$988,4,FALSE)," ")</f>
        <v>BOQIII230</v>
      </c>
      <c r="G96" s="31">
        <f>IFERROR(VLOOKUP($C96,[16]Nod!$A$3:$E$988,5,FALSE)," ")</f>
        <v>4</v>
      </c>
      <c r="L96" s="281"/>
      <c r="M96" s="281"/>
    </row>
    <row r="97" spans="1:13" ht="15" customHeight="1">
      <c r="A97" s="301" t="s">
        <v>64</v>
      </c>
      <c r="B97" s="3"/>
      <c r="C97" s="40">
        <v>6380</v>
      </c>
      <c r="D97" s="331">
        <v>5.8</v>
      </c>
      <c r="E97" s="302">
        <v>0</v>
      </c>
      <c r="F97" s="31" t="str">
        <f>IFERROR(VLOOKUP($C97,[16]Nod!$A$3:$E$988,4,FALSE)," ")</f>
        <v>BOQIII230</v>
      </c>
      <c r="G97" s="31">
        <f>IFERROR(VLOOKUP($C97,[16]Nod!$A$3:$E$988,5,FALSE)," ")</f>
        <v>4</v>
      </c>
      <c r="L97" s="281"/>
      <c r="M97" s="281"/>
    </row>
    <row r="98" spans="1:13" ht="15" customHeight="1">
      <c r="A98" s="301" t="s">
        <v>66</v>
      </c>
      <c r="B98" s="3"/>
      <c r="C98" s="40">
        <v>6013</v>
      </c>
      <c r="D98" s="331">
        <v>6</v>
      </c>
      <c r="E98" s="302">
        <v>0</v>
      </c>
      <c r="F98" s="31" t="str">
        <f>IFERROR(VLOOKUP($C98,[16]Nod!$A$3:$E$988,4,FALSE)," ")</f>
        <v>MDN34</v>
      </c>
      <c r="G98" s="31">
        <f>IFERROR(VLOOKUP($C98,[16]Nod!$A$3:$E$988,5,FALSE)," ")</f>
        <v>4</v>
      </c>
      <c r="L98" s="281"/>
      <c r="M98" s="281"/>
    </row>
    <row r="99" spans="1:13" ht="15" customHeight="1">
      <c r="A99" s="320" t="s">
        <v>206</v>
      </c>
      <c r="B99" s="3"/>
      <c r="C99" s="40">
        <v>6013</v>
      </c>
      <c r="D99" s="331">
        <v>4.75</v>
      </c>
      <c r="E99" s="302">
        <v>0</v>
      </c>
      <c r="F99" s="31" t="str">
        <f>IFERROR(VLOOKUP($C99,[16]Nod!$A$3:$E$988,4,FALSE)," ")</f>
        <v>MDN34</v>
      </c>
      <c r="G99" s="31">
        <f>IFERROR(VLOOKUP($C99,[16]Nod!$A$3:$E$988,5,FALSE)," ")</f>
        <v>4</v>
      </c>
      <c r="L99" s="281"/>
      <c r="M99" s="281"/>
    </row>
    <row r="100" spans="1:13" ht="15" customHeight="1">
      <c r="A100" s="301" t="s">
        <v>187</v>
      </c>
      <c r="B100" s="3"/>
      <c r="C100" s="40">
        <v>6380</v>
      </c>
      <c r="D100" s="331">
        <v>20.91</v>
      </c>
      <c r="E100" s="302">
        <v>0</v>
      </c>
      <c r="F100" s="31" t="str">
        <f>IFERROR(VLOOKUP($C100,[16]Nod!$A$3:$E$988,4,FALSE)," ")</f>
        <v>BOQIII230</v>
      </c>
      <c r="G100" s="31">
        <f>IFERROR(VLOOKUP($C100,[16]Nod!$A$3:$E$988,5,FALSE)," ")</f>
        <v>4</v>
      </c>
      <c r="L100" s="281"/>
      <c r="M100" s="281"/>
    </row>
    <row r="101" spans="1:13" ht="15" customHeight="1">
      <c r="A101" s="301" t="s">
        <v>308</v>
      </c>
      <c r="B101" s="3"/>
      <c r="C101" s="40">
        <v>6380</v>
      </c>
      <c r="D101" s="331">
        <v>13.18</v>
      </c>
      <c r="E101" s="302">
        <v>0</v>
      </c>
      <c r="F101" s="31" t="str">
        <f>IFERROR(VLOOKUP($C101,[16]Nod!$A$3:$E$988,4,FALSE)," ")</f>
        <v>BOQIII230</v>
      </c>
      <c r="G101" s="31">
        <f>IFERROR(VLOOKUP($C101,[16]Nod!$A$3:$E$988,5,FALSE)," ")</f>
        <v>4</v>
      </c>
      <c r="L101" s="281"/>
      <c r="M101" s="281"/>
    </row>
    <row r="102" spans="1:13" ht="15" customHeight="1">
      <c r="A102" s="301" t="s">
        <v>67</v>
      </c>
      <c r="B102" s="3"/>
      <c r="C102" s="40">
        <v>6380</v>
      </c>
      <c r="D102" s="331">
        <v>14</v>
      </c>
      <c r="E102" s="302">
        <v>0</v>
      </c>
      <c r="F102" s="31" t="str">
        <f>IFERROR(VLOOKUP($C102,[16]Nod!$A$3:$E$988,4,FALSE)," ")</f>
        <v>BOQIII230</v>
      </c>
      <c r="G102" s="31">
        <f>IFERROR(VLOOKUP($C102,[16]Nod!$A$3:$E$988,5,FALSE)," ")</f>
        <v>4</v>
      </c>
      <c r="L102" s="281"/>
      <c r="M102" s="281"/>
    </row>
    <row r="103" spans="1:13" ht="15" customHeight="1">
      <c r="A103" s="301" t="s">
        <v>207</v>
      </c>
      <c r="B103" s="3"/>
      <c r="C103" s="54">
        <v>6013</v>
      </c>
      <c r="D103" s="331">
        <v>2.5</v>
      </c>
      <c r="E103" s="302">
        <v>0</v>
      </c>
      <c r="F103" s="31" t="str">
        <f>IFERROR(VLOOKUP($C103,[16]Nod!$A$3:$E$988,4,FALSE)," ")</f>
        <v>MDN34</v>
      </c>
      <c r="G103" s="31">
        <f>IFERROR(VLOOKUP($C103,[16]Nod!$A$3:$E$988,5,FALSE)," ")</f>
        <v>4</v>
      </c>
      <c r="L103" s="281"/>
      <c r="M103" s="281"/>
    </row>
    <row r="104" spans="1:13" ht="15" customHeight="1">
      <c r="A104" s="301" t="s">
        <v>209</v>
      </c>
      <c r="B104" s="3"/>
      <c r="C104" s="54">
        <v>6013</v>
      </c>
      <c r="D104" s="331">
        <v>3.12</v>
      </c>
      <c r="E104" s="302">
        <v>0</v>
      </c>
      <c r="F104" s="31" t="str">
        <f>IFERROR(VLOOKUP($C104,[16]Nod!$A$3:$E$988,4,FALSE)," ")</f>
        <v>MDN34</v>
      </c>
      <c r="G104" s="31">
        <f>IFERROR(VLOOKUP($C104,[16]Nod!$A$3:$E$988,5,FALSE)," ")</f>
        <v>4</v>
      </c>
      <c r="L104" s="281"/>
      <c r="M104" s="281"/>
    </row>
    <row r="105" spans="1:13" ht="15" customHeight="1">
      <c r="A105" s="301" t="s">
        <v>70</v>
      </c>
      <c r="B105" s="3"/>
      <c r="C105" s="40">
        <v>6380</v>
      </c>
      <c r="D105" s="331">
        <v>10</v>
      </c>
      <c r="E105" s="302">
        <v>0</v>
      </c>
      <c r="F105" s="31" t="str">
        <f>IFERROR(VLOOKUP($C105,[16]Nod!$A$3:$E$988,4,FALSE)," ")</f>
        <v>BOQIII230</v>
      </c>
      <c r="G105" s="31">
        <f>IFERROR(VLOOKUP($C105,[16]Nod!$A$3:$E$988,5,FALSE)," ")</f>
        <v>4</v>
      </c>
      <c r="L105" s="281"/>
      <c r="M105" s="281"/>
    </row>
    <row r="106" spans="1:13" ht="15" customHeight="1">
      <c r="A106" s="301" t="s">
        <v>71</v>
      </c>
      <c r="B106" s="3"/>
      <c r="C106" s="40">
        <v>6380</v>
      </c>
      <c r="D106" s="331">
        <v>10</v>
      </c>
      <c r="E106" s="302">
        <v>0</v>
      </c>
      <c r="F106" s="31" t="str">
        <f>IFERROR(VLOOKUP($C106,[16]Nod!$A$3:$E$988,4,FALSE)," ")</f>
        <v>BOQIII230</v>
      </c>
      <c r="G106" s="31">
        <f>IFERROR(VLOOKUP($C106,[16]Nod!$A$3:$E$988,5,FALSE)," ")</f>
        <v>4</v>
      </c>
      <c r="L106" s="281"/>
      <c r="M106" s="281"/>
    </row>
    <row r="107" spans="1:13" ht="15" customHeight="1">
      <c r="A107" s="301" t="s">
        <v>73</v>
      </c>
      <c r="B107" s="3"/>
      <c r="C107" s="40">
        <v>6013</v>
      </c>
      <c r="D107" s="331">
        <v>8.1199999999999992</v>
      </c>
      <c r="E107" s="302">
        <v>0</v>
      </c>
      <c r="F107" s="31" t="str">
        <f>IFERROR(VLOOKUP($C107,[16]Nod!$A$3:$E$988,4,FALSE)," ")</f>
        <v>MDN34</v>
      </c>
      <c r="G107" s="31">
        <f>IFERROR(VLOOKUP($C107,[16]Nod!$A$3:$E$988,5,FALSE)," ")</f>
        <v>4</v>
      </c>
      <c r="L107" s="281"/>
      <c r="M107" s="281"/>
    </row>
    <row r="108" spans="1:13" ht="15" customHeight="1">
      <c r="A108" s="301" t="s">
        <v>75</v>
      </c>
      <c r="B108" s="3"/>
      <c r="C108" s="40">
        <v>6182</v>
      </c>
      <c r="D108" s="331">
        <v>51.65</v>
      </c>
      <c r="E108" s="302">
        <v>0</v>
      </c>
      <c r="F108" s="31" t="str">
        <f>IFERROR(VLOOKUP($C108,[16]Nod!$A$3:$E$988,4,FALSE)," ")</f>
        <v>VEL230</v>
      </c>
      <c r="G108" s="31">
        <f>IFERROR(VLOOKUP($C108,[16]Nod!$A$3:$E$988,5,FALSE)," ")</f>
        <v>4</v>
      </c>
      <c r="K108" s="295"/>
      <c r="L108" s="281"/>
      <c r="M108" s="281"/>
    </row>
    <row r="109" spans="1:13" ht="15" customHeight="1">
      <c r="A109" s="301" t="s">
        <v>77</v>
      </c>
      <c r="B109" s="3"/>
      <c r="C109" s="40">
        <v>6182</v>
      </c>
      <c r="D109" s="331">
        <v>32.6</v>
      </c>
      <c r="E109" s="302">
        <v>0</v>
      </c>
      <c r="F109" s="31" t="str">
        <f>IFERROR(VLOOKUP($C109,[16]Nod!$A$3:$E$988,4,FALSE)," ")</f>
        <v>VEL230</v>
      </c>
      <c r="G109" s="31">
        <f>IFERROR(VLOOKUP($C109,[16]Nod!$A$3:$E$988,5,FALSE)," ")</f>
        <v>4</v>
      </c>
      <c r="K109" s="295"/>
      <c r="L109" s="281"/>
      <c r="M109" s="281"/>
    </row>
    <row r="110" spans="1:13" ht="15" customHeight="1">
      <c r="A110" s="301" t="s">
        <v>79</v>
      </c>
      <c r="B110" s="3"/>
      <c r="C110" s="40">
        <v>6380</v>
      </c>
      <c r="D110" s="331">
        <v>5.12</v>
      </c>
      <c r="E110" s="302">
        <v>0</v>
      </c>
      <c r="F110" s="31" t="str">
        <f>IFERROR(VLOOKUP($C110,[16]Nod!$A$3:$E$988,4,FALSE)," ")</f>
        <v>BOQIII230</v>
      </c>
      <c r="G110" s="31">
        <f>IFERROR(VLOOKUP($C110,[16]Nod!$A$3:$E$988,5,FALSE)," ")</f>
        <v>4</v>
      </c>
      <c r="K110" s="295"/>
      <c r="L110" s="281"/>
      <c r="M110" s="281"/>
    </row>
    <row r="111" spans="1:13" ht="15" customHeight="1">
      <c r="A111" s="301" t="s">
        <v>196</v>
      </c>
      <c r="B111" s="3"/>
      <c r="C111" s="40">
        <v>6380</v>
      </c>
      <c r="D111" s="331">
        <v>5.86</v>
      </c>
      <c r="E111" s="302">
        <v>0</v>
      </c>
      <c r="F111" s="31" t="str">
        <f>IFERROR(VLOOKUP($C111,[16]Nod!$A$3:$E$988,4,FALSE)," ")</f>
        <v>BOQIII230</v>
      </c>
      <c r="G111" s="31">
        <f>IFERROR(VLOOKUP($C111,[16]Nod!$A$3:$E$988,5,FALSE)," ")</f>
        <v>4</v>
      </c>
      <c r="K111" s="295"/>
      <c r="L111" s="281"/>
      <c r="M111" s="281"/>
    </row>
    <row r="112" spans="1:13" ht="15" customHeight="1">
      <c r="A112" s="301" t="s">
        <v>80</v>
      </c>
      <c r="B112" s="3"/>
      <c r="C112" s="40">
        <v>6182</v>
      </c>
      <c r="D112" s="331">
        <v>72.2</v>
      </c>
      <c r="E112" s="302">
        <v>0</v>
      </c>
      <c r="F112" s="31" t="str">
        <f>IFERROR(VLOOKUP($C112,[16]Nod!$A$3:$E$988,4,FALSE)," ")</f>
        <v>VEL230</v>
      </c>
      <c r="G112" s="31">
        <f>IFERROR(VLOOKUP($C112,[16]Nod!$A$3:$E$988,5,FALSE)," ")</f>
        <v>4</v>
      </c>
      <c r="K112" s="295"/>
      <c r="L112" s="281"/>
      <c r="M112" s="281"/>
    </row>
    <row r="113" spans="1:13" ht="15" customHeight="1">
      <c r="A113" s="301" t="s">
        <v>81</v>
      </c>
      <c r="B113" s="22"/>
      <c r="C113" s="55">
        <v>6380</v>
      </c>
      <c r="D113" s="331">
        <v>6.3</v>
      </c>
      <c r="E113" s="318">
        <v>0</v>
      </c>
      <c r="F113" s="31" t="str">
        <f>IFERROR(VLOOKUP($C113,[16]Nod!$A$3:$E$988,4,FALSE)," ")</f>
        <v>BOQIII230</v>
      </c>
      <c r="G113" s="31">
        <f>IFERROR(VLOOKUP($C113,[16]Nod!$A$3:$E$988,5,FALSE)," ")</f>
        <v>4</v>
      </c>
      <c r="K113" s="295"/>
      <c r="L113" s="281"/>
      <c r="M113" s="281"/>
    </row>
    <row r="114" spans="1:13" ht="15" customHeight="1">
      <c r="A114" s="301" t="s">
        <v>197</v>
      </c>
      <c r="B114" s="22"/>
      <c r="C114" s="55">
        <v>6013</v>
      </c>
      <c r="D114" s="331">
        <v>8.86</v>
      </c>
      <c r="E114" s="318">
        <v>0</v>
      </c>
      <c r="F114" s="31" t="str">
        <f>IFERROR(VLOOKUP($C114,[16]Nod!$A$3:$E$988,4,FALSE)," ")</f>
        <v>MDN34</v>
      </c>
      <c r="G114" s="31">
        <f>IFERROR(VLOOKUP($C114,[16]Nod!$A$3:$E$988,5,FALSE)," ")</f>
        <v>4</v>
      </c>
      <c r="K114" s="295"/>
      <c r="L114" s="281"/>
      <c r="M114" s="281"/>
    </row>
    <row r="115" spans="1:13" ht="15" customHeight="1">
      <c r="A115" s="301" t="s">
        <v>198</v>
      </c>
      <c r="B115" s="3"/>
      <c r="C115" s="54">
        <v>6013</v>
      </c>
      <c r="D115" s="331">
        <v>9</v>
      </c>
      <c r="E115" s="302">
        <v>0</v>
      </c>
      <c r="F115" s="31" t="str">
        <f>IFERROR(VLOOKUP($C115,[16]Nod!$A$3:$E$988,4,FALSE)," ")</f>
        <v>MDN34</v>
      </c>
      <c r="G115" s="31">
        <f>IFERROR(VLOOKUP($C115,[16]Nod!$A$3:$E$988,5,FALSE)," ")</f>
        <v>4</v>
      </c>
      <c r="K115" s="295"/>
      <c r="L115" s="281"/>
      <c r="M115" s="281"/>
    </row>
    <row r="116" spans="1:13" ht="15" customHeight="1">
      <c r="A116" s="301" t="s">
        <v>83</v>
      </c>
      <c r="B116" s="3"/>
      <c r="C116" s="54">
        <v>6520</v>
      </c>
      <c r="D116" s="331">
        <v>19.8</v>
      </c>
      <c r="E116" s="302">
        <v>0</v>
      </c>
      <c r="F116" s="31" t="str">
        <f>IFERROR(VLOOKUP($C116,[16]Nod!$A$3:$E$988,4,FALSE)," ")</f>
        <v>SBA230</v>
      </c>
      <c r="G116" s="31">
        <f>IFERROR(VLOOKUP($C116,[16]Nod!$A$3:$E$988,5,FALSE)," ")</f>
        <v>4</v>
      </c>
      <c r="K116" s="295"/>
      <c r="L116" s="281"/>
      <c r="M116" s="281"/>
    </row>
    <row r="117" spans="1:13" ht="15" customHeight="1">
      <c r="A117" s="301" t="s">
        <v>84</v>
      </c>
      <c r="B117" s="3"/>
      <c r="C117" s="54">
        <v>6550</v>
      </c>
      <c r="D117" s="331">
        <v>28.56</v>
      </c>
      <c r="E117" s="302">
        <v>0</v>
      </c>
      <c r="F117" s="31" t="str">
        <f>IFERROR(VLOOKUP($C117,[16]Nod!$A$3:$E$988,4,FALSE)," ")</f>
        <v>BEV230</v>
      </c>
      <c r="G117" s="31">
        <f>IFERROR(VLOOKUP($C117,[16]Nod!$A$3:$E$988,5,FALSE)," ")</f>
        <v>4</v>
      </c>
      <c r="K117" s="295"/>
      <c r="L117" s="281"/>
      <c r="M117" s="281"/>
    </row>
    <row r="118" spans="1:13" ht="15" customHeight="1">
      <c r="A118" s="301" t="s">
        <v>210</v>
      </c>
      <c r="B118" s="3"/>
      <c r="C118" s="40">
        <v>6380</v>
      </c>
      <c r="D118" s="331">
        <v>2.02</v>
      </c>
      <c r="E118" s="302">
        <v>0</v>
      </c>
      <c r="F118" s="31" t="str">
        <f>IFERROR(VLOOKUP($C118,[16]Nod!$A$3:$E$988,4,FALSE)," ")</f>
        <v>BOQIII230</v>
      </c>
      <c r="G118" s="31">
        <f>IFERROR(VLOOKUP($C118,[16]Nod!$A$3:$E$988,5,FALSE)," ")</f>
        <v>4</v>
      </c>
      <c r="K118" s="295"/>
      <c r="L118" s="281"/>
      <c r="M118" s="281"/>
    </row>
    <row r="119" spans="1:13" ht="15" customHeight="1">
      <c r="A119" s="301" t="s">
        <v>86</v>
      </c>
      <c r="B119" s="3"/>
      <c r="C119" s="40">
        <v>6380</v>
      </c>
      <c r="D119" s="331">
        <v>7.62</v>
      </c>
      <c r="E119" s="302">
        <v>0</v>
      </c>
      <c r="F119" s="31" t="str">
        <f>IFERROR(VLOOKUP($C119,[16]Nod!$A$3:$E$988,4,FALSE)," ")</f>
        <v>BOQIII230</v>
      </c>
      <c r="G119" s="31">
        <f>IFERROR(VLOOKUP($C119,[16]Nod!$A$3:$E$988,5,FALSE)," ")</f>
        <v>4</v>
      </c>
      <c r="K119" s="295"/>
      <c r="L119" s="281"/>
      <c r="M119" s="281"/>
    </row>
    <row r="120" spans="1:13" ht="15" customHeight="1">
      <c r="A120" s="301" t="s">
        <v>199</v>
      </c>
      <c r="B120" s="3"/>
      <c r="C120" s="40">
        <v>6380</v>
      </c>
      <c r="D120" s="331">
        <v>10</v>
      </c>
      <c r="E120" s="302">
        <v>0</v>
      </c>
      <c r="F120" s="31" t="str">
        <f>IFERROR(VLOOKUP($C120,[16]Nod!$A$3:$E$988,4,FALSE)," ")</f>
        <v>BOQIII230</v>
      </c>
      <c r="G120" s="31">
        <f>IFERROR(VLOOKUP($C120,[16]Nod!$A$3:$E$988,5,FALSE)," ")</f>
        <v>4</v>
      </c>
      <c r="K120" s="295"/>
      <c r="L120" s="281"/>
      <c r="M120" s="281"/>
    </row>
    <row r="121" spans="1:13" ht="15" customHeight="1">
      <c r="A121" s="301" t="s">
        <v>200</v>
      </c>
      <c r="B121" s="3"/>
      <c r="C121" s="40">
        <v>6380</v>
      </c>
      <c r="D121" s="331">
        <v>10</v>
      </c>
      <c r="E121" s="302">
        <v>0</v>
      </c>
      <c r="F121" s="31" t="str">
        <f>IFERROR(VLOOKUP($C121,[16]Nod!$A$3:$E$988,4,FALSE)," ")</f>
        <v>BOQIII230</v>
      </c>
      <c r="G121" s="31">
        <f>IFERROR(VLOOKUP($C121,[16]Nod!$A$3:$E$988,5,FALSE)," ")</f>
        <v>4</v>
      </c>
      <c r="K121" s="295"/>
      <c r="L121" s="281"/>
      <c r="M121" s="281"/>
    </row>
    <row r="122" spans="1:13" ht="15" customHeight="1">
      <c r="A122" s="301" t="s">
        <v>201</v>
      </c>
      <c r="B122" s="3"/>
      <c r="C122" s="55">
        <v>6013</v>
      </c>
      <c r="D122" s="331">
        <v>10</v>
      </c>
      <c r="E122" s="302">
        <v>0</v>
      </c>
      <c r="F122" s="31" t="str">
        <f>IFERROR(VLOOKUP($C122,[16]Nod!$A$3:$E$988,4,FALSE)," ")</f>
        <v>MDN34</v>
      </c>
      <c r="G122" s="31">
        <f>IFERROR(VLOOKUP($C122,[16]Nod!$A$3:$E$988,5,FALSE)," ")</f>
        <v>4</v>
      </c>
      <c r="K122" s="295"/>
      <c r="L122" s="281"/>
      <c r="M122" s="281"/>
    </row>
    <row r="123" spans="1:13" ht="15" customHeight="1">
      <c r="A123" s="301" t="s">
        <v>202</v>
      </c>
      <c r="B123" s="3"/>
      <c r="C123" s="55">
        <v>6013</v>
      </c>
      <c r="D123" s="331">
        <v>10</v>
      </c>
      <c r="E123" s="302">
        <v>0</v>
      </c>
      <c r="F123" s="31" t="str">
        <f>IFERROR(VLOOKUP($C123,[16]Nod!$A$3:$E$988,4,FALSE)," ")</f>
        <v>MDN34</v>
      </c>
      <c r="G123" s="31">
        <f>IFERROR(VLOOKUP($C123,[16]Nod!$A$3:$E$988,5,FALSE)," ")</f>
        <v>4</v>
      </c>
      <c r="K123" s="295"/>
      <c r="L123" s="281"/>
      <c r="M123" s="281"/>
    </row>
    <row r="124" spans="1:13" ht="15" customHeight="1">
      <c r="A124" s="301" t="s">
        <v>203</v>
      </c>
      <c r="B124" s="3"/>
      <c r="C124" s="55">
        <v>6013</v>
      </c>
      <c r="D124" s="331">
        <v>9.9600000000000009</v>
      </c>
      <c r="E124" s="302">
        <v>0</v>
      </c>
      <c r="F124" s="31" t="str">
        <f>IFERROR(VLOOKUP($C124,[16]Nod!$A$3:$E$988,4,FALSE)," ")</f>
        <v>MDN34</v>
      </c>
      <c r="G124" s="31">
        <f>IFERROR(VLOOKUP($C124,[16]Nod!$A$3:$E$988,5,FALSE)," ")</f>
        <v>4</v>
      </c>
      <c r="K124" s="295"/>
      <c r="L124" s="281"/>
      <c r="M124" s="281"/>
    </row>
    <row r="125" spans="1:13" ht="15" customHeight="1">
      <c r="A125" s="301" t="s">
        <v>204</v>
      </c>
      <c r="B125" s="3"/>
      <c r="C125" s="55">
        <v>6013</v>
      </c>
      <c r="D125" s="331">
        <v>9.9600000000000009</v>
      </c>
      <c r="E125" s="302">
        <v>0</v>
      </c>
      <c r="F125" s="31" t="str">
        <f>IFERROR(VLOOKUP($C125,[16]Nod!$A$3:$E$988,4,FALSE)," ")</f>
        <v>MDN34</v>
      </c>
      <c r="G125" s="31">
        <f>IFERROR(VLOOKUP($C125,[16]Nod!$A$3:$E$988,5,FALSE)," ")</f>
        <v>4</v>
      </c>
      <c r="K125" s="295"/>
      <c r="L125" s="281"/>
      <c r="M125" s="281"/>
    </row>
    <row r="126" spans="1:13" ht="15" customHeight="1">
      <c r="A126" s="301" t="s">
        <v>87</v>
      </c>
      <c r="B126" s="3"/>
      <c r="C126" s="40">
        <v>6182</v>
      </c>
      <c r="D126" s="331">
        <v>0.74099999999999999</v>
      </c>
      <c r="E126" s="302">
        <v>0</v>
      </c>
      <c r="F126" s="31" t="str">
        <f>IFERROR(VLOOKUP($C126,[16]Nod!$A$3:$E$988,4,FALSE)," ")</f>
        <v>VEL230</v>
      </c>
      <c r="G126" s="31">
        <f>IFERROR(VLOOKUP($C126,[16]Nod!$A$3:$E$988,5,FALSE)," ")</f>
        <v>4</v>
      </c>
      <c r="K126" s="295"/>
      <c r="L126" s="281"/>
      <c r="M126" s="281"/>
    </row>
    <row r="127" spans="1:13" ht="15" customHeight="1">
      <c r="A127" s="301" t="s">
        <v>211</v>
      </c>
      <c r="B127" s="3"/>
      <c r="C127" s="40">
        <v>6182</v>
      </c>
      <c r="D127" s="331">
        <v>4.75</v>
      </c>
      <c r="E127" s="302">
        <v>0</v>
      </c>
      <c r="F127" s="31" t="str">
        <f>IFERROR(VLOOKUP($C127,[16]Nod!$A$3:$E$988,4,FALSE)," ")</f>
        <v>VEL230</v>
      </c>
      <c r="G127" s="31">
        <f>IFERROR(VLOOKUP($C127,[16]Nod!$A$3:$E$988,5,FALSE)," ")</f>
        <v>4</v>
      </c>
      <c r="K127" s="295"/>
      <c r="L127" s="281"/>
      <c r="M127" s="281"/>
    </row>
    <row r="128" spans="1:13" ht="15" customHeight="1">
      <c r="A128" s="301" t="s">
        <v>307</v>
      </c>
      <c r="B128" s="3"/>
      <c r="C128" s="40">
        <v>6182</v>
      </c>
      <c r="D128" s="331">
        <v>31.8</v>
      </c>
      <c r="E128" s="302">
        <v>0</v>
      </c>
      <c r="F128" s="31" t="str">
        <f>IFERROR(VLOOKUP($C128,[16]Nod!$A$3:$E$988,4,FALSE)," ")</f>
        <v>VEL230</v>
      </c>
      <c r="G128" s="31">
        <f>IFERROR(VLOOKUP($C128,[16]Nod!$A$3:$E$988,5,FALSE)," ")</f>
        <v>4</v>
      </c>
      <c r="K128" s="295"/>
      <c r="L128" s="281"/>
      <c r="M128" s="281"/>
    </row>
    <row r="129" spans="1:13" ht="15" customHeight="1">
      <c r="A129" s="301" t="s">
        <v>212</v>
      </c>
      <c r="C129" s="40">
        <v>6380</v>
      </c>
      <c r="D129" s="331">
        <v>0.99</v>
      </c>
      <c r="E129" s="302">
        <v>0</v>
      </c>
      <c r="F129" s="31" t="str">
        <f>IFERROR(VLOOKUP($C129,[16]Nod!$A$3:$E$988,4,FALSE)," ")</f>
        <v>BOQIII230</v>
      </c>
      <c r="G129" s="31">
        <f>IFERROR(VLOOKUP($C129,[16]Nod!$A$3:$E$988,5,FALSE)," ")</f>
        <v>4</v>
      </c>
      <c r="K129" s="295"/>
      <c r="L129" s="281"/>
      <c r="M129" s="281"/>
    </row>
    <row r="130" spans="1:13" ht="15" customHeight="1">
      <c r="A130" s="301" t="s">
        <v>306</v>
      </c>
      <c r="C130" s="40">
        <v>6380</v>
      </c>
      <c r="D130" s="331">
        <v>5</v>
      </c>
      <c r="E130" s="302">
        <v>0</v>
      </c>
      <c r="F130" s="31" t="str">
        <f>IFERROR(VLOOKUP($C130,[16]Nod!$A$3:$E$988,4,FALSE)," ")</f>
        <v>BOQIII230</v>
      </c>
      <c r="G130" s="31">
        <f>IFERROR(VLOOKUP($C130,[16]Nod!$A$3:$E$988,5,FALSE)," ")</f>
        <v>4</v>
      </c>
      <c r="K130" s="295"/>
      <c r="L130" s="281"/>
      <c r="M130" s="281"/>
    </row>
    <row r="131" spans="1:13" ht="15" customHeight="1">
      <c r="A131" s="301" t="s">
        <v>205</v>
      </c>
      <c r="C131" s="40">
        <v>6380</v>
      </c>
      <c r="D131" s="331">
        <v>9.9</v>
      </c>
      <c r="E131" s="302">
        <v>0</v>
      </c>
      <c r="F131" s="31" t="str">
        <f>IFERROR(VLOOKUP($C131,[16]Nod!$A$3:$E$988,4,FALSE)," ")</f>
        <v>BOQIII230</v>
      </c>
      <c r="G131" s="31">
        <f>IFERROR(VLOOKUP($C131,[16]Nod!$A$3:$E$988,5,FALSE)," ")</f>
        <v>4</v>
      </c>
      <c r="K131" s="295"/>
      <c r="L131" s="281"/>
      <c r="M131" s="281"/>
    </row>
    <row r="132" spans="1:13" ht="15" customHeight="1">
      <c r="A132" s="301" t="s">
        <v>195</v>
      </c>
      <c r="C132" s="40">
        <v>6013</v>
      </c>
      <c r="D132" s="331">
        <v>70</v>
      </c>
      <c r="E132" s="302">
        <v>0</v>
      </c>
      <c r="F132" s="31" t="str">
        <f>IFERROR(VLOOKUP($C132,[16]Nod!$A$3:$E$988,4,FALSE)," ")</f>
        <v>MDN34</v>
      </c>
      <c r="G132" s="31">
        <f>IFERROR(VLOOKUP($C132,[16]Nod!$A$3:$E$988,5,FALSE)," ")</f>
        <v>4</v>
      </c>
      <c r="K132" s="295"/>
      <c r="L132" s="281"/>
      <c r="M132" s="281"/>
    </row>
    <row r="133" spans="1:13" ht="15" customHeight="1">
      <c r="A133" s="301" t="s">
        <v>89</v>
      </c>
      <c r="C133" s="40">
        <v>6013</v>
      </c>
      <c r="D133" s="331">
        <v>4.1500000000000004</v>
      </c>
      <c r="E133" s="302">
        <v>0</v>
      </c>
      <c r="F133" s="31" t="str">
        <f>IFERROR(VLOOKUP($C133,[16]Nod!$A$3:$E$988,4,FALSE)," ")</f>
        <v>MDN34</v>
      </c>
      <c r="G133" s="31">
        <f>IFERROR(VLOOKUP($C133,[16]Nod!$A$3:$E$988,5,FALSE)," ")</f>
        <v>4</v>
      </c>
      <c r="K133" s="295"/>
      <c r="L133" s="281"/>
      <c r="M133" s="281"/>
    </row>
    <row r="134" spans="1:13" ht="15" customHeight="1">
      <c r="A134" s="314" t="s">
        <v>305</v>
      </c>
      <c r="C134" s="40">
        <v>6013</v>
      </c>
      <c r="D134" s="331">
        <v>5</v>
      </c>
      <c r="E134" s="302">
        <v>0</v>
      </c>
      <c r="F134" s="31" t="str">
        <f>IFERROR(VLOOKUP($C134,[16]Nod!$A$3:$E$988,4,FALSE)," ")</f>
        <v>MDN34</v>
      </c>
      <c r="G134" s="31">
        <f>IFERROR(VLOOKUP($C134,[16]Nod!$A$3:$E$988,5,FALSE)," ")</f>
        <v>4</v>
      </c>
      <c r="K134" s="295"/>
      <c r="L134" s="281"/>
      <c r="M134" s="281"/>
    </row>
    <row r="135" spans="1:13" ht="15" customHeight="1">
      <c r="A135" s="314" t="s">
        <v>304</v>
      </c>
      <c r="C135" s="40">
        <v>6013</v>
      </c>
      <c r="D135" s="331">
        <v>5</v>
      </c>
      <c r="E135" s="302">
        <v>0</v>
      </c>
      <c r="F135" s="31" t="str">
        <f>IFERROR(VLOOKUP($C135,[16]Nod!$A$3:$E$988,4,FALSE)," ")</f>
        <v>MDN34</v>
      </c>
      <c r="G135" s="31">
        <f>IFERROR(VLOOKUP($C135,[16]Nod!$A$3:$E$988,5,FALSE)," ")</f>
        <v>4</v>
      </c>
      <c r="K135" s="295"/>
      <c r="L135" s="281"/>
      <c r="M135" s="281"/>
    </row>
    <row r="136" spans="1:13" ht="15" customHeight="1">
      <c r="A136" s="314" t="s">
        <v>303</v>
      </c>
      <c r="C136" s="40">
        <v>6013</v>
      </c>
      <c r="D136" s="331">
        <v>9.9</v>
      </c>
      <c r="E136" s="302">
        <v>0</v>
      </c>
      <c r="F136" s="31" t="str">
        <f>IFERROR(VLOOKUP($C136,[16]Nod!$A$3:$E$988,4,FALSE)," ")</f>
        <v>MDN34</v>
      </c>
      <c r="G136" s="31">
        <f>IFERROR(VLOOKUP($C136,[16]Nod!$A$3:$E$988,5,FALSE)," ")</f>
        <v>4</v>
      </c>
      <c r="K136" s="295"/>
      <c r="L136" s="281"/>
      <c r="M136" s="281"/>
    </row>
    <row r="137" spans="1:13" ht="15" customHeight="1">
      <c r="A137" s="314" t="s">
        <v>302</v>
      </c>
      <c r="C137" s="40">
        <v>6013</v>
      </c>
      <c r="D137" s="331">
        <v>9.9</v>
      </c>
      <c r="E137" s="302">
        <v>0</v>
      </c>
      <c r="F137" s="31" t="str">
        <f>IFERROR(VLOOKUP($C137,[16]Nod!$A$3:$E$988,4,FALSE)," ")</f>
        <v>MDN34</v>
      </c>
      <c r="G137" s="31">
        <f>IFERROR(VLOOKUP($C137,[16]Nod!$A$3:$E$988,5,FALSE)," ")</f>
        <v>4</v>
      </c>
      <c r="K137" s="295"/>
      <c r="L137" s="281"/>
      <c r="M137" s="281"/>
    </row>
    <row r="138" spans="1:13" ht="15" customHeight="1">
      <c r="A138" s="314" t="s">
        <v>301</v>
      </c>
      <c r="C138" s="40">
        <v>6013</v>
      </c>
      <c r="D138" s="331">
        <v>9.9</v>
      </c>
      <c r="E138" s="302">
        <v>0</v>
      </c>
      <c r="F138" s="31" t="str">
        <f>IFERROR(VLOOKUP($C138,[16]Nod!$A$3:$E$988,4,FALSE)," ")</f>
        <v>MDN34</v>
      </c>
      <c r="G138" s="31">
        <f>IFERROR(VLOOKUP($C138,[16]Nod!$A$3:$E$988,5,FALSE)," ")</f>
        <v>4</v>
      </c>
      <c r="K138" s="295"/>
      <c r="L138" s="281"/>
      <c r="M138" s="281"/>
    </row>
    <row r="139" spans="1:13" ht="15" customHeight="1">
      <c r="A139" s="301" t="s">
        <v>300</v>
      </c>
      <c r="C139" s="40">
        <v>6013</v>
      </c>
      <c r="D139" s="331">
        <v>10</v>
      </c>
      <c r="E139" s="302">
        <v>0</v>
      </c>
      <c r="F139" s="31" t="str">
        <f>IFERROR(VLOOKUP($C139,[16]Nod!$A$3:$E$988,4,FALSE)," ")</f>
        <v>MDN34</v>
      </c>
      <c r="G139" s="31">
        <f>IFERROR(VLOOKUP($C139,[16]Nod!$A$3:$E$988,5,FALSE)," ")</f>
        <v>4</v>
      </c>
      <c r="K139" s="295"/>
      <c r="L139" s="281"/>
      <c r="M139" s="281"/>
    </row>
    <row r="140" spans="1:13" ht="15" customHeight="1">
      <c r="A140" s="301" t="s">
        <v>299</v>
      </c>
      <c r="C140" s="40">
        <v>6013</v>
      </c>
      <c r="D140" s="331">
        <v>60</v>
      </c>
      <c r="E140" s="302">
        <v>0</v>
      </c>
      <c r="F140" s="31" t="str">
        <f>IFERROR(VLOOKUP($C140,[16]Nod!$A$3:$E$988,4,FALSE)," ")</f>
        <v>MDN34</v>
      </c>
      <c r="G140" s="31">
        <f>IFERROR(VLOOKUP($C140,[16]Nod!$A$3:$E$988,5,FALSE)," ")</f>
        <v>4</v>
      </c>
      <c r="K140" s="295"/>
      <c r="L140" s="281"/>
      <c r="M140" s="281"/>
    </row>
    <row r="141" spans="1:13" ht="15" customHeight="1" thickBot="1">
      <c r="A141" s="53" t="s">
        <v>35</v>
      </c>
      <c r="B141" s="42"/>
      <c r="C141" s="43"/>
      <c r="D141" s="333"/>
      <c r="E141" s="315"/>
      <c r="F141" s="31" t="str">
        <f>IFERROR(VLOOKUP($C141,[16]Nod!$A$3:$E$988,4,FALSE)," ")</f>
        <v xml:space="preserve"> </v>
      </c>
      <c r="G141" s="31" t="str">
        <f>IFERROR(VLOOKUP($C141,[16]Nod!$A$3:$E$988,5,FALSE)," ")</f>
        <v xml:space="preserve"> </v>
      </c>
      <c r="K141" s="295"/>
      <c r="L141" s="281"/>
      <c r="M141" s="281"/>
    </row>
    <row r="142" spans="1:13" ht="15" customHeight="1">
      <c r="A142" s="47">
        <v>5</v>
      </c>
      <c r="B142" s="44"/>
      <c r="C142" s="45"/>
      <c r="D142" s="332">
        <f>SUM(D143:D201)</f>
        <v>1646.0099999999998</v>
      </c>
      <c r="E142" s="297"/>
      <c r="F142" s="31" t="str">
        <f>IFERROR(VLOOKUP($C142,[16]Nod!$A$3:$E$988,4,FALSE)," ")</f>
        <v xml:space="preserve"> </v>
      </c>
      <c r="G142" s="31" t="str">
        <f>IFERROR(VLOOKUP($C142,[16]Nod!$A$3:$E$988,5,FALSE)," ")</f>
        <v xml:space="preserve"> </v>
      </c>
      <c r="K142" s="295"/>
      <c r="L142" s="281"/>
      <c r="M142" s="281"/>
    </row>
    <row r="143" spans="1:13" ht="15" customHeight="1">
      <c r="A143" s="301" t="s">
        <v>213</v>
      </c>
      <c r="C143" s="39">
        <v>6460</v>
      </c>
      <c r="D143" s="331">
        <v>6.66</v>
      </c>
      <c r="E143" s="302">
        <v>0</v>
      </c>
      <c r="F143" s="31" t="str">
        <f>IFERROR(VLOOKUP($C143,[16]Nod!$A$3:$E$988,4,FALSE)," ")</f>
        <v>ECO230</v>
      </c>
      <c r="G143" s="31">
        <f>IFERROR(VLOOKUP($C143,[16]Nod!$A$3:$E$988,5,FALSE)," ")</f>
        <v>5</v>
      </c>
      <c r="K143" s="295"/>
      <c r="L143" s="281"/>
      <c r="M143" s="281"/>
    </row>
    <row r="144" spans="1:13" ht="15" customHeight="1">
      <c r="A144" s="301" t="s">
        <v>90</v>
      </c>
      <c r="C144" s="39">
        <v>6460</v>
      </c>
      <c r="D144" s="331">
        <v>7</v>
      </c>
      <c r="E144" s="323">
        <v>0</v>
      </c>
      <c r="F144" s="31" t="str">
        <f>IFERROR(VLOOKUP($C144,[16]Nod!$A$3:$E$988,4,FALSE)," ")</f>
        <v>ECO230</v>
      </c>
      <c r="G144" s="31">
        <f>IFERROR(VLOOKUP($C144,[16]Nod!$A$3:$E$988,5,FALSE)," ")</f>
        <v>5</v>
      </c>
      <c r="K144" s="295"/>
      <c r="L144" s="281"/>
      <c r="M144" s="281"/>
    </row>
    <row r="145" spans="1:13" ht="15" customHeight="1">
      <c r="A145" s="301" t="s">
        <v>219</v>
      </c>
      <c r="C145" s="39">
        <v>6460</v>
      </c>
      <c r="D145" s="331">
        <v>9.99</v>
      </c>
      <c r="E145" s="302">
        <v>0</v>
      </c>
      <c r="F145" s="31" t="str">
        <f>IFERROR(VLOOKUP($C145,[16]Nod!$A$3:$E$988,4,FALSE)," ")</f>
        <v>ECO230</v>
      </c>
      <c r="G145" s="31">
        <f>IFERROR(VLOOKUP($C145,[16]Nod!$A$3:$E$988,5,FALSE)," ")</f>
        <v>5</v>
      </c>
      <c r="K145" s="295"/>
      <c r="L145" s="281"/>
      <c r="M145" s="281"/>
    </row>
    <row r="146" spans="1:13" ht="15" customHeight="1">
      <c r="A146" s="301" t="s">
        <v>220</v>
      </c>
      <c r="C146" s="39">
        <v>6460</v>
      </c>
      <c r="D146" s="342">
        <v>9.99</v>
      </c>
      <c r="E146" s="302">
        <v>0</v>
      </c>
      <c r="F146" s="31" t="str">
        <f>IFERROR(VLOOKUP($C146,[16]Nod!$A$3:$E$988,4,FALSE)," ")</f>
        <v>ECO230</v>
      </c>
      <c r="G146" s="31">
        <f>IFERROR(VLOOKUP($C146,[16]Nod!$A$3:$E$988,5,FALSE)," ")</f>
        <v>5</v>
      </c>
      <c r="K146" s="295"/>
      <c r="L146" s="281"/>
      <c r="M146" s="281"/>
    </row>
    <row r="147" spans="1:13" ht="15" customHeight="1">
      <c r="A147" s="301" t="s">
        <v>221</v>
      </c>
      <c r="C147" s="39">
        <v>6460</v>
      </c>
      <c r="D147" s="341">
        <v>4.8</v>
      </c>
      <c r="E147" s="302">
        <v>0</v>
      </c>
      <c r="F147" s="31" t="str">
        <f>IFERROR(VLOOKUP($C147,[16]Nod!$A$3:$E$988,4,FALSE)," ")</f>
        <v>ECO230</v>
      </c>
      <c r="G147" s="31">
        <f>IFERROR(VLOOKUP($C147,[16]Nod!$A$3:$E$988,5,FALSE)," ")</f>
        <v>5</v>
      </c>
      <c r="K147" s="295"/>
      <c r="L147" s="281"/>
      <c r="M147" s="281"/>
    </row>
    <row r="148" spans="1:13" ht="15" customHeight="1">
      <c r="A148" s="301" t="s">
        <v>222</v>
      </c>
      <c r="C148" s="39">
        <v>6460</v>
      </c>
      <c r="D148" s="341">
        <v>0.96</v>
      </c>
      <c r="E148" s="302">
        <v>0</v>
      </c>
      <c r="F148" s="31" t="str">
        <f>IFERROR(VLOOKUP($C148,[16]Nod!$A$3:$E$988,4,FALSE)," ")</f>
        <v>ECO230</v>
      </c>
      <c r="G148" s="31">
        <f>IFERROR(VLOOKUP($C148,[16]Nod!$A$3:$E$988,5,FALSE)," ")</f>
        <v>5</v>
      </c>
      <c r="K148" s="295"/>
      <c r="L148" s="281"/>
      <c r="M148" s="281"/>
    </row>
    <row r="149" spans="1:13" ht="15" customHeight="1">
      <c r="A149" s="301" t="s">
        <v>238</v>
      </c>
      <c r="C149" s="39">
        <v>6460</v>
      </c>
      <c r="D149" s="331">
        <v>0.48</v>
      </c>
      <c r="E149" s="302">
        <v>0</v>
      </c>
      <c r="F149" s="31" t="str">
        <f>IFERROR(VLOOKUP($C149,[16]Nod!$A$3:$E$988,4,FALSE)," ")</f>
        <v>ECO230</v>
      </c>
      <c r="G149" s="31">
        <f>IFERROR(VLOOKUP($C149,[16]Nod!$A$3:$E$988,5,FALSE)," ")</f>
        <v>5</v>
      </c>
      <c r="K149" s="295"/>
      <c r="L149" s="281"/>
      <c r="M149" s="281"/>
    </row>
    <row r="150" spans="1:13" ht="15" customHeight="1">
      <c r="A150" s="301" t="s">
        <v>298</v>
      </c>
      <c r="C150" s="39">
        <v>6460</v>
      </c>
      <c r="D150" s="339">
        <v>8.5</v>
      </c>
      <c r="E150" s="302">
        <v>0</v>
      </c>
      <c r="F150" s="31" t="str">
        <f>IFERROR(VLOOKUP($C150,[16]Nod!$A$3:$E$988,4,FALSE)," ")</f>
        <v>ECO230</v>
      </c>
      <c r="G150" s="31">
        <f>IFERROR(VLOOKUP($C150,[16]Nod!$A$3:$E$988,5,FALSE)," ")</f>
        <v>5</v>
      </c>
      <c r="K150" s="295"/>
      <c r="L150" s="281"/>
      <c r="M150" s="281"/>
    </row>
    <row r="151" spans="1:13" ht="15" customHeight="1">
      <c r="A151" s="301" t="s">
        <v>223</v>
      </c>
      <c r="C151" s="39">
        <v>6460</v>
      </c>
      <c r="D151" s="339">
        <v>8.5</v>
      </c>
      <c r="E151" s="302">
        <v>0</v>
      </c>
      <c r="F151" s="31" t="str">
        <f>IFERROR(VLOOKUP($C151,[16]Nod!$A$3:$E$988,4,FALSE)," ")</f>
        <v>ECO230</v>
      </c>
      <c r="G151" s="31">
        <f>IFERROR(VLOOKUP($C151,[16]Nod!$A$3:$E$988,5,FALSE)," ")</f>
        <v>5</v>
      </c>
      <c r="K151" s="295"/>
      <c r="L151" s="281"/>
      <c r="M151" s="281"/>
    </row>
    <row r="152" spans="1:13" ht="15" customHeight="1">
      <c r="A152" s="301" t="s">
        <v>297</v>
      </c>
      <c r="C152" s="39">
        <v>6460</v>
      </c>
      <c r="D152" s="331">
        <v>9.52</v>
      </c>
      <c r="E152" s="302">
        <v>0</v>
      </c>
      <c r="F152" s="31" t="str">
        <f>IFERROR(VLOOKUP($C152,[16]Nod!$A$3:$E$988,4,FALSE)," ")</f>
        <v>ECO230</v>
      </c>
      <c r="G152" s="31">
        <f>IFERROR(VLOOKUP($C152,[16]Nod!$A$3:$E$988,5,FALSE)," ")</f>
        <v>5</v>
      </c>
      <c r="K152" s="295"/>
      <c r="L152" s="281"/>
      <c r="M152" s="281"/>
    </row>
    <row r="153" spans="1:13" ht="15" customHeight="1">
      <c r="A153" s="301" t="s">
        <v>224</v>
      </c>
      <c r="C153" s="39">
        <v>6460</v>
      </c>
      <c r="D153" s="331">
        <v>10.78</v>
      </c>
      <c r="E153" s="302">
        <v>0</v>
      </c>
      <c r="F153" s="31" t="str">
        <f>IFERROR(VLOOKUP($C153,[16]Nod!$A$3:$E$988,4,FALSE)," ")</f>
        <v>ECO230</v>
      </c>
      <c r="G153" s="31">
        <f>IFERROR(VLOOKUP($C153,[16]Nod!$A$3:$E$988,5,FALSE)," ")</f>
        <v>5</v>
      </c>
      <c r="K153" s="295"/>
      <c r="L153" s="281"/>
      <c r="M153" s="281"/>
    </row>
    <row r="154" spans="1:13" ht="15" customHeight="1">
      <c r="A154" s="301" t="s">
        <v>225</v>
      </c>
      <c r="C154" s="39">
        <v>6460</v>
      </c>
      <c r="D154" s="331">
        <v>8.5</v>
      </c>
      <c r="E154" s="302">
        <v>0</v>
      </c>
      <c r="F154" s="31" t="str">
        <f>IFERROR(VLOOKUP($C154,[16]Nod!$A$3:$E$988,4,FALSE)," ")</f>
        <v>ECO230</v>
      </c>
      <c r="G154" s="31">
        <f>IFERROR(VLOOKUP($C154,[16]Nod!$A$3:$E$988,5,FALSE)," ")</f>
        <v>5</v>
      </c>
      <c r="K154" s="295"/>
      <c r="L154" s="281"/>
      <c r="M154" s="281"/>
    </row>
    <row r="155" spans="1:13" ht="15" customHeight="1">
      <c r="A155" s="301" t="s">
        <v>226</v>
      </c>
      <c r="C155" s="39">
        <v>6460</v>
      </c>
      <c r="D155" s="331">
        <v>10</v>
      </c>
      <c r="E155" s="302">
        <v>0</v>
      </c>
      <c r="F155" s="31" t="str">
        <f>IFERROR(VLOOKUP($C155,[16]Nod!$A$3:$E$988,4,FALSE)," ")</f>
        <v>ECO230</v>
      </c>
      <c r="G155" s="31">
        <f>IFERROR(VLOOKUP($C155,[16]Nod!$A$3:$E$988,5,FALSE)," ")</f>
        <v>5</v>
      </c>
      <c r="K155" s="295"/>
      <c r="L155" s="281"/>
      <c r="M155" s="281"/>
    </row>
    <row r="156" spans="1:13" ht="15" customHeight="1">
      <c r="A156" s="301" t="s">
        <v>227</v>
      </c>
      <c r="C156" s="39">
        <v>6460</v>
      </c>
      <c r="D156" s="331">
        <v>10</v>
      </c>
      <c r="E156" s="302">
        <v>0</v>
      </c>
      <c r="F156" s="31" t="str">
        <f>IFERROR(VLOOKUP($C156,[16]Nod!$A$3:$E$988,4,FALSE)," ")</f>
        <v>ECO230</v>
      </c>
      <c r="G156" s="31">
        <f>IFERROR(VLOOKUP($C156,[16]Nod!$A$3:$E$988,5,FALSE)," ")</f>
        <v>5</v>
      </c>
      <c r="K156" s="295"/>
      <c r="L156" s="281"/>
      <c r="M156" s="281"/>
    </row>
    <row r="157" spans="1:13" ht="15" customHeight="1">
      <c r="A157" s="301" t="s">
        <v>214</v>
      </c>
      <c r="C157" s="39">
        <v>6460</v>
      </c>
      <c r="D157" s="331">
        <v>17.5</v>
      </c>
      <c r="E157" s="302">
        <v>0</v>
      </c>
      <c r="F157" s="31" t="str">
        <f>IFERROR(VLOOKUP($C157,[16]Nod!$A$3:$E$988,4,FALSE)," ")</f>
        <v>ECO230</v>
      </c>
      <c r="G157" s="31">
        <f>IFERROR(VLOOKUP($C157,[16]Nod!$A$3:$E$988,5,FALSE)," ")</f>
        <v>5</v>
      </c>
      <c r="K157" s="295"/>
      <c r="L157" s="281"/>
      <c r="M157" s="281"/>
    </row>
    <row r="158" spans="1:13" ht="15" customHeight="1">
      <c r="A158" s="301" t="s">
        <v>215</v>
      </c>
      <c r="C158" s="39">
        <v>6460</v>
      </c>
      <c r="D158" s="331">
        <v>52.5</v>
      </c>
      <c r="E158" s="302">
        <v>0</v>
      </c>
      <c r="F158" s="31" t="str">
        <f>IFERROR(VLOOKUP($C158,[16]Nod!$A$3:$E$988,4,FALSE)," ")</f>
        <v>ECO230</v>
      </c>
      <c r="G158" s="31">
        <f>IFERROR(VLOOKUP($C158,[16]Nod!$A$3:$E$988,5,FALSE)," ")</f>
        <v>5</v>
      </c>
      <c r="K158" s="295"/>
      <c r="L158" s="281"/>
      <c r="M158" s="281"/>
    </row>
    <row r="159" spans="1:13" ht="15" customHeight="1">
      <c r="A159" s="301" t="s">
        <v>296</v>
      </c>
      <c r="C159" s="39">
        <v>6460</v>
      </c>
      <c r="D159" s="331">
        <v>55</v>
      </c>
      <c r="E159" s="302">
        <v>0</v>
      </c>
      <c r="F159" s="31" t="str">
        <f>IFERROR(VLOOKUP($C159,[16]Nod!$A$3:$E$988,4,FALSE)," ")</f>
        <v>ECO230</v>
      </c>
      <c r="G159" s="31">
        <f>IFERROR(VLOOKUP($C159,[16]Nod!$A$3:$E$988,5,FALSE)," ")</f>
        <v>5</v>
      </c>
      <c r="K159" s="295"/>
      <c r="L159" s="281"/>
      <c r="M159" s="281"/>
    </row>
    <row r="160" spans="1:13" ht="15" customHeight="1">
      <c r="A160" s="301" t="s">
        <v>295</v>
      </c>
      <c r="C160" s="39">
        <v>6460</v>
      </c>
      <c r="D160" s="331">
        <v>62.5</v>
      </c>
      <c r="E160" s="302">
        <v>0</v>
      </c>
      <c r="F160" s="31" t="str">
        <f>IFERROR(VLOOKUP($C160,[16]Nod!$A$3:$E$988,4,FALSE)," ")</f>
        <v>ECO230</v>
      </c>
      <c r="G160" s="31">
        <f>IFERROR(VLOOKUP($C160,[16]Nod!$A$3:$E$988,5,FALSE)," ")</f>
        <v>5</v>
      </c>
      <c r="K160" s="295"/>
      <c r="L160" s="281"/>
      <c r="M160" s="281"/>
    </row>
    <row r="161" spans="1:13" ht="15" customHeight="1">
      <c r="A161" s="301" t="s">
        <v>216</v>
      </c>
      <c r="C161" s="39">
        <v>6460</v>
      </c>
      <c r="D161" s="331">
        <v>32.5</v>
      </c>
      <c r="E161" s="302">
        <v>0</v>
      </c>
      <c r="F161" s="31" t="str">
        <f>IFERROR(VLOOKUP($C161,[16]Nod!$A$3:$E$988,4,FALSE)," ")</f>
        <v>ECO230</v>
      </c>
      <c r="G161" s="31">
        <f>IFERROR(VLOOKUP($C161,[16]Nod!$A$3:$E$988,5,FALSE)," ")</f>
        <v>5</v>
      </c>
      <c r="K161" s="295"/>
      <c r="L161" s="281"/>
      <c r="M161" s="281"/>
    </row>
    <row r="162" spans="1:13" ht="15" customHeight="1">
      <c r="A162" s="301" t="s">
        <v>217</v>
      </c>
      <c r="C162" s="39">
        <v>6460</v>
      </c>
      <c r="D162" s="331">
        <v>50</v>
      </c>
      <c r="E162" s="302">
        <v>0</v>
      </c>
      <c r="F162" s="31" t="str">
        <f>IFERROR(VLOOKUP($C162,[16]Nod!$A$3:$E$988,4,FALSE)," ")</f>
        <v>ECO230</v>
      </c>
      <c r="G162" s="31">
        <f>IFERROR(VLOOKUP($C162,[16]Nod!$A$3:$E$988,5,FALSE)," ")</f>
        <v>5</v>
      </c>
      <c r="K162" s="295"/>
      <c r="L162" s="281"/>
      <c r="M162" s="281"/>
    </row>
    <row r="163" spans="1:13" ht="15" customHeight="1">
      <c r="A163" s="301" t="s">
        <v>294</v>
      </c>
      <c r="C163" s="39">
        <v>6460</v>
      </c>
      <c r="D163" s="331">
        <v>66</v>
      </c>
      <c r="E163" s="302">
        <v>0</v>
      </c>
      <c r="F163" s="31" t="str">
        <f>IFERROR(VLOOKUP($C163,[16]Nod!$A$3:$E$988,4,FALSE)," ")</f>
        <v>ECO230</v>
      </c>
      <c r="G163" s="31">
        <f>IFERROR(VLOOKUP($C163,[16]Nod!$A$3:$E$988,5,FALSE)," ")</f>
        <v>5</v>
      </c>
      <c r="L163" s="281"/>
      <c r="M163" s="281"/>
    </row>
    <row r="164" spans="1:13" ht="15" customHeight="1">
      <c r="A164" s="301" t="s">
        <v>228</v>
      </c>
      <c r="C164" s="58">
        <v>6460</v>
      </c>
      <c r="D164" s="331">
        <v>16</v>
      </c>
      <c r="E164" s="302">
        <v>0</v>
      </c>
      <c r="F164" s="31" t="str">
        <f>IFERROR(VLOOKUP($C164,[16]Nod!$A$3:$E$988,4,FALSE)," ")</f>
        <v>ECO230</v>
      </c>
      <c r="G164" s="31">
        <f>IFERROR(VLOOKUP($C164,[16]Nod!$A$3:$E$988,5,FALSE)," ")</f>
        <v>5</v>
      </c>
      <c r="L164" s="281"/>
      <c r="M164" s="281"/>
    </row>
    <row r="165" spans="1:13" ht="15" customHeight="1">
      <c r="A165" s="320" t="s">
        <v>239</v>
      </c>
      <c r="C165" s="56">
        <v>6008</v>
      </c>
      <c r="D165" s="331">
        <v>5.66</v>
      </c>
      <c r="E165" s="302">
        <v>0</v>
      </c>
      <c r="F165" s="31" t="str">
        <f>IFERROR(VLOOKUP($C165,[16]Nod!$A$3:$E$988,4,FALSE)," ")</f>
        <v>LSA230</v>
      </c>
      <c r="G165" s="31">
        <f>IFERROR(VLOOKUP($C165,[16]Nod!$A$3:$E$988,5,FALSE)," ")</f>
        <v>5</v>
      </c>
      <c r="L165" s="281"/>
      <c r="M165" s="281"/>
    </row>
    <row r="166" spans="1:13" ht="15" customHeight="1">
      <c r="A166" s="301" t="s">
        <v>229</v>
      </c>
      <c r="C166" s="56">
        <v>6008</v>
      </c>
      <c r="D166" s="331">
        <v>9.9</v>
      </c>
      <c r="E166" s="302">
        <v>0</v>
      </c>
      <c r="F166" s="31" t="str">
        <f>IFERROR(VLOOKUP($C166,[16]Nod!$A$3:$E$988,4,FALSE)," ")</f>
        <v>LSA230</v>
      </c>
      <c r="G166" s="31">
        <f>IFERROR(VLOOKUP($C166,[16]Nod!$A$3:$E$988,5,FALSE)," ")</f>
        <v>5</v>
      </c>
      <c r="L166" s="281"/>
      <c r="M166" s="281"/>
    </row>
    <row r="167" spans="1:13" ht="15" customHeight="1">
      <c r="A167" s="301" t="s">
        <v>240</v>
      </c>
      <c r="C167" s="56">
        <v>6008</v>
      </c>
      <c r="D167" s="331">
        <v>5</v>
      </c>
      <c r="E167" s="302">
        <v>0</v>
      </c>
      <c r="F167" s="31" t="str">
        <f>IFERROR(VLOOKUP($C167,[16]Nod!$A$3:$E$988,4,FALSE)," ")</f>
        <v>LSA230</v>
      </c>
      <c r="G167" s="31">
        <f>IFERROR(VLOOKUP($C167,[16]Nod!$A$3:$E$988,5,FALSE)," ")</f>
        <v>5</v>
      </c>
      <c r="L167" s="281"/>
      <c r="M167" s="281"/>
    </row>
    <row r="168" spans="1:13" ht="15" customHeight="1">
      <c r="A168" s="301" t="s">
        <v>218</v>
      </c>
      <c r="C168" s="56">
        <v>6008</v>
      </c>
      <c r="D168" s="331">
        <v>120</v>
      </c>
      <c r="E168" s="48">
        <v>0</v>
      </c>
      <c r="F168" s="31" t="str">
        <f>IFERROR(VLOOKUP($C168,[16]Nod!$A$3:$E$988,4,FALSE)," ")</f>
        <v>LSA230</v>
      </c>
      <c r="G168" s="31">
        <f>IFERROR(VLOOKUP($C168,[16]Nod!$A$3:$E$988,5,FALSE)," ")</f>
        <v>5</v>
      </c>
      <c r="L168" s="281"/>
      <c r="M168" s="281"/>
    </row>
    <row r="169" spans="1:13" ht="15" customHeight="1">
      <c r="A169" s="301" t="s">
        <v>230</v>
      </c>
      <c r="C169" s="56">
        <v>6008</v>
      </c>
      <c r="D169" s="339">
        <v>9.9700000000000006</v>
      </c>
      <c r="E169" s="48">
        <v>0</v>
      </c>
      <c r="F169" s="31" t="str">
        <f>IFERROR(VLOOKUP($C169,[16]Nod!$A$3:$E$988,4,FALSE)," ")</f>
        <v>LSA230</v>
      </c>
      <c r="G169" s="31">
        <f>IFERROR(VLOOKUP($C169,[16]Nod!$A$3:$E$988,5,FALSE)," ")</f>
        <v>5</v>
      </c>
      <c r="L169" s="281"/>
      <c r="M169" s="281"/>
    </row>
    <row r="170" spans="1:13" ht="15" customHeight="1">
      <c r="A170" s="301" t="s">
        <v>231</v>
      </c>
      <c r="C170" s="56">
        <v>6008</v>
      </c>
      <c r="D170" s="339">
        <v>9.9700000000000006</v>
      </c>
      <c r="E170" s="48">
        <v>0</v>
      </c>
      <c r="F170" s="31" t="str">
        <f>IFERROR(VLOOKUP($C170,[16]Nod!$A$3:$E$988,4,FALSE)," ")</f>
        <v>LSA230</v>
      </c>
      <c r="G170" s="31">
        <f>IFERROR(VLOOKUP($C170,[16]Nod!$A$3:$E$988,5,FALSE)," ")</f>
        <v>5</v>
      </c>
      <c r="L170" s="281"/>
      <c r="M170" s="281"/>
    </row>
    <row r="171" spans="1:13" ht="15" customHeight="1">
      <c r="A171" s="301" t="s">
        <v>292</v>
      </c>
      <c r="C171" s="56">
        <v>6008</v>
      </c>
      <c r="D171" s="331">
        <v>9.8800000000000008</v>
      </c>
      <c r="E171" s="48">
        <v>0</v>
      </c>
      <c r="F171" s="31" t="str">
        <f>IFERROR(VLOOKUP($C171,[16]Nod!$A$3:$E$988,4,FALSE)," ")</f>
        <v>LSA230</v>
      </c>
      <c r="G171" s="31">
        <f>IFERROR(VLOOKUP($C171,[16]Nod!$A$3:$E$988,5,FALSE)," ")</f>
        <v>5</v>
      </c>
      <c r="L171" s="281"/>
      <c r="M171" s="281"/>
    </row>
    <row r="172" spans="1:13" ht="15" customHeight="1">
      <c r="A172" s="301" t="s">
        <v>241</v>
      </c>
      <c r="B172" s="59"/>
      <c r="C172" s="56">
        <v>6008</v>
      </c>
      <c r="D172" s="331">
        <v>3.24</v>
      </c>
      <c r="E172" s="48">
        <v>0</v>
      </c>
      <c r="F172" s="31" t="str">
        <f>IFERROR(VLOOKUP($C172,[16]Nod!$A$3:$E$988,4,FALSE)," ")</f>
        <v>LSA230</v>
      </c>
      <c r="G172" s="31">
        <f>IFERROR(VLOOKUP($C172,[16]Nod!$A$3:$E$988,5,FALSE)," ")</f>
        <v>5</v>
      </c>
      <c r="L172" s="281"/>
      <c r="M172" s="281"/>
    </row>
    <row r="173" spans="1:13" ht="15" customHeight="1">
      <c r="A173" s="301" t="s">
        <v>242</v>
      </c>
      <c r="B173" s="59"/>
      <c r="C173" s="56">
        <v>6008</v>
      </c>
      <c r="D173" s="331">
        <v>2.4</v>
      </c>
      <c r="E173" s="48">
        <v>0</v>
      </c>
      <c r="F173" s="31" t="str">
        <f>IFERROR(VLOOKUP($C173,[16]Nod!$A$3:$E$988,4,FALSE)," ")</f>
        <v>LSA230</v>
      </c>
      <c r="G173" s="31">
        <f>IFERROR(VLOOKUP($C173,[16]Nod!$A$3:$E$988,5,FALSE)," ")</f>
        <v>5</v>
      </c>
      <c r="L173" s="281"/>
      <c r="M173" s="281"/>
    </row>
    <row r="174" spans="1:13" ht="15" customHeight="1">
      <c r="A174" s="301" t="s">
        <v>291</v>
      </c>
      <c r="B174" s="59"/>
      <c r="C174" s="56">
        <v>6008</v>
      </c>
      <c r="D174" s="338">
        <v>9.9</v>
      </c>
      <c r="E174" s="48">
        <v>0</v>
      </c>
      <c r="F174" s="31" t="str">
        <f>IFERROR(VLOOKUP($C174,[16]Nod!$A$3:$E$988,4,FALSE)," ")</f>
        <v>LSA230</v>
      </c>
      <c r="G174" s="31">
        <f>IFERROR(VLOOKUP($C174,[16]Nod!$A$3:$E$988,5,FALSE)," ")</f>
        <v>5</v>
      </c>
      <c r="L174" s="281"/>
      <c r="M174" s="281"/>
    </row>
    <row r="175" spans="1:13" ht="15" customHeight="1">
      <c r="A175" s="340" t="s">
        <v>290</v>
      </c>
      <c r="B175" s="59"/>
      <c r="C175" s="56">
        <v>6008</v>
      </c>
      <c r="D175" s="331">
        <v>9.99</v>
      </c>
      <c r="E175" s="48">
        <v>0</v>
      </c>
      <c r="F175" s="31" t="str">
        <f>IFERROR(VLOOKUP($C175,[16]Nod!$A$3:$E$988,4,FALSE)," ")</f>
        <v>LSA230</v>
      </c>
      <c r="G175" s="31">
        <f>IFERROR(VLOOKUP($C175,[16]Nod!$A$3:$E$988,5,FALSE)," ")</f>
        <v>5</v>
      </c>
      <c r="L175" s="281"/>
      <c r="M175" s="281"/>
    </row>
    <row r="176" spans="1:13" ht="15" customHeight="1">
      <c r="A176" s="301" t="s">
        <v>235</v>
      </c>
      <c r="B176" s="59"/>
      <c r="C176" s="56">
        <v>6008</v>
      </c>
      <c r="D176" s="338">
        <v>9.9</v>
      </c>
      <c r="E176" s="48">
        <v>0</v>
      </c>
      <c r="F176" s="31" t="str">
        <f>IFERROR(VLOOKUP($C176,[16]Nod!$A$3:$E$988,4,FALSE)," ")</f>
        <v>LSA230</v>
      </c>
      <c r="G176" s="31">
        <f>IFERROR(VLOOKUP($C176,[16]Nod!$A$3:$E$988,5,FALSE)," ")</f>
        <v>5</v>
      </c>
      <c r="L176" s="281"/>
      <c r="M176" s="281"/>
    </row>
    <row r="177" spans="1:13" ht="15" customHeight="1">
      <c r="A177" s="301" t="s">
        <v>289</v>
      </c>
      <c r="B177" s="59"/>
      <c r="C177" s="56">
        <v>6008</v>
      </c>
      <c r="D177" s="331">
        <v>9.99</v>
      </c>
      <c r="E177" s="48">
        <v>0</v>
      </c>
      <c r="F177" s="31" t="str">
        <f>IFERROR(VLOOKUP($C177,[16]Nod!$A$3:$E$988,4,FALSE)," ")</f>
        <v>LSA230</v>
      </c>
      <c r="G177" s="31">
        <f>IFERROR(VLOOKUP($C177,[16]Nod!$A$3:$E$988,5,FALSE)," ")</f>
        <v>5</v>
      </c>
      <c r="L177" s="281"/>
      <c r="M177" s="281"/>
    </row>
    <row r="178" spans="1:13" ht="15" customHeight="1">
      <c r="A178" s="301" t="s">
        <v>243</v>
      </c>
      <c r="B178" s="59"/>
      <c r="C178" s="56">
        <v>6008</v>
      </c>
      <c r="D178" s="331">
        <v>5</v>
      </c>
      <c r="E178" s="48">
        <v>0</v>
      </c>
      <c r="F178" s="31" t="str">
        <f>IFERROR(VLOOKUP($C178,[16]Nod!$A$3:$E$988,4,FALSE)," ")</f>
        <v>LSA230</v>
      </c>
      <c r="G178" s="31">
        <f>IFERROR(VLOOKUP($C178,[16]Nod!$A$3:$E$988,5,FALSE)," ")</f>
        <v>5</v>
      </c>
      <c r="L178" s="281"/>
      <c r="M178" s="281"/>
    </row>
    <row r="179" spans="1:13" ht="15" customHeight="1">
      <c r="A179" s="301" t="s">
        <v>244</v>
      </c>
      <c r="B179" s="59"/>
      <c r="C179" s="56">
        <v>6008</v>
      </c>
      <c r="D179" s="338">
        <v>5</v>
      </c>
      <c r="E179" s="48">
        <v>0</v>
      </c>
      <c r="F179" s="31" t="str">
        <f>IFERROR(VLOOKUP($C179,[16]Nod!$A$3:$E$988,4,FALSE)," ")</f>
        <v>LSA230</v>
      </c>
      <c r="G179" s="31">
        <f>IFERROR(VLOOKUP($C179,[16]Nod!$A$3:$E$988,5,FALSE)," ")</f>
        <v>5</v>
      </c>
      <c r="L179" s="281"/>
      <c r="M179" s="281"/>
    </row>
    <row r="180" spans="1:13" ht="15" customHeight="1">
      <c r="A180" s="301" t="s">
        <v>288</v>
      </c>
      <c r="B180" s="59"/>
      <c r="C180" s="56">
        <v>6008</v>
      </c>
      <c r="D180" s="331">
        <v>7.5</v>
      </c>
      <c r="E180" s="48">
        <v>0</v>
      </c>
      <c r="F180" s="31" t="str">
        <f>IFERROR(VLOOKUP($C180,[16]Nod!$A$3:$E$988,4,FALSE)," ")</f>
        <v>LSA230</v>
      </c>
      <c r="G180" s="31">
        <f>IFERROR(VLOOKUP($C180,[16]Nod!$A$3:$E$988,5,FALSE)," ")</f>
        <v>5</v>
      </c>
      <c r="L180" s="281"/>
      <c r="M180" s="281"/>
    </row>
    <row r="181" spans="1:13" ht="15" customHeight="1">
      <c r="A181" s="314" t="s">
        <v>287</v>
      </c>
      <c r="B181" s="59"/>
      <c r="C181" s="56">
        <v>6008</v>
      </c>
      <c r="D181" s="331">
        <v>10</v>
      </c>
      <c r="E181" s="48">
        <v>0</v>
      </c>
      <c r="F181" s="31" t="str">
        <f>IFERROR(VLOOKUP($C181,[16]Nod!$A$3:$E$988,4,FALSE)," ")</f>
        <v>LSA230</v>
      </c>
      <c r="G181" s="31">
        <f>IFERROR(VLOOKUP($C181,[16]Nod!$A$3:$E$988,5,FALSE)," ")</f>
        <v>5</v>
      </c>
      <c r="L181" s="281"/>
      <c r="M181" s="281"/>
    </row>
    <row r="182" spans="1:13" ht="15" customHeight="1">
      <c r="A182" s="301" t="s">
        <v>232</v>
      </c>
      <c r="B182" s="59"/>
      <c r="C182" s="56">
        <v>6008</v>
      </c>
      <c r="D182" s="331">
        <v>8.0399999999999991</v>
      </c>
      <c r="E182" s="40">
        <v>0</v>
      </c>
      <c r="F182" s="31" t="str">
        <f>IFERROR(VLOOKUP($C182,[16]Nod!$A$3:$E$988,4,FALSE)," ")</f>
        <v>LSA230</v>
      </c>
      <c r="G182" s="31">
        <f>IFERROR(VLOOKUP($C182,[16]Nod!$A$3:$E$988,5,FALSE)," ")</f>
        <v>5</v>
      </c>
      <c r="L182" s="281"/>
      <c r="M182" s="281"/>
    </row>
    <row r="183" spans="1:13" ht="15" customHeight="1">
      <c r="A183" s="301" t="s">
        <v>233</v>
      </c>
      <c r="B183" s="59"/>
      <c r="C183" s="56">
        <v>6008</v>
      </c>
      <c r="D183" s="331">
        <v>7.56</v>
      </c>
      <c r="E183" s="40">
        <v>0</v>
      </c>
      <c r="F183" s="31" t="str">
        <f>IFERROR(VLOOKUP($C183,[16]Nod!$A$3:$E$988,4,FALSE)," ")</f>
        <v>LSA230</v>
      </c>
      <c r="G183" s="31">
        <f>IFERROR(VLOOKUP($C183,[16]Nod!$A$3:$E$988,5,FALSE)," ")</f>
        <v>5</v>
      </c>
      <c r="L183" s="281"/>
      <c r="M183" s="281"/>
    </row>
    <row r="184" spans="1:13" ht="15" customHeight="1">
      <c r="A184" s="301" t="s">
        <v>234</v>
      </c>
      <c r="B184" s="59"/>
      <c r="C184" s="56">
        <v>6008</v>
      </c>
      <c r="D184" s="331">
        <v>9.9499999999999993</v>
      </c>
      <c r="E184" s="40">
        <v>0</v>
      </c>
      <c r="F184" s="31" t="str">
        <f>IFERROR(VLOOKUP($C184,[16]Nod!$A$3:$E$988,4,FALSE)," ")</f>
        <v>LSA230</v>
      </c>
      <c r="G184" s="31">
        <f>IFERROR(VLOOKUP($C184,[16]Nod!$A$3:$E$988,5,FALSE)," ")</f>
        <v>5</v>
      </c>
      <c r="L184" s="281"/>
      <c r="M184" s="281"/>
    </row>
    <row r="185" spans="1:13" ht="15" customHeight="1">
      <c r="A185" s="301" t="s">
        <v>286</v>
      </c>
      <c r="B185" s="59"/>
      <c r="C185" s="56">
        <v>6008</v>
      </c>
      <c r="D185" s="331">
        <v>5.0999999999999996</v>
      </c>
      <c r="E185" s="40">
        <v>0</v>
      </c>
      <c r="F185" s="31" t="str">
        <f>IFERROR(VLOOKUP($C185,[16]Nod!$A$3:$E$988,4,FALSE)," ")</f>
        <v>LSA230</v>
      </c>
      <c r="G185" s="31">
        <f>IFERROR(VLOOKUP($C185,[16]Nod!$A$3:$E$988,5,FALSE)," ")</f>
        <v>5</v>
      </c>
      <c r="L185" s="281"/>
      <c r="M185" s="281"/>
    </row>
    <row r="186" spans="1:13" ht="15" customHeight="1">
      <c r="A186" s="301" t="s">
        <v>285</v>
      </c>
      <c r="B186" s="59"/>
      <c r="C186" s="56">
        <v>6008</v>
      </c>
      <c r="D186" s="331">
        <v>9.99</v>
      </c>
      <c r="E186" s="40">
        <v>0</v>
      </c>
      <c r="F186" s="31" t="str">
        <f>IFERROR(VLOOKUP($C186,[16]Nod!$A$3:$E$988,4,FALSE)," ")</f>
        <v>LSA230</v>
      </c>
      <c r="G186" s="31">
        <f>IFERROR(VLOOKUP($C186,[16]Nod!$A$3:$E$988,5,FALSE)," ")</f>
        <v>5</v>
      </c>
      <c r="L186" s="281"/>
      <c r="M186" s="281"/>
    </row>
    <row r="187" spans="1:13" ht="15" customHeight="1">
      <c r="A187" s="301" t="s">
        <v>236</v>
      </c>
      <c r="C187" s="56">
        <v>6008</v>
      </c>
      <c r="D187" s="331">
        <v>9.9</v>
      </c>
      <c r="E187" s="39">
        <v>0</v>
      </c>
      <c r="F187" s="31" t="str">
        <f>IFERROR(VLOOKUP($C187,[16]Nod!$A$3:$E$988,4,FALSE)," ")</f>
        <v>LSA230</v>
      </c>
      <c r="G187" s="31">
        <f>IFERROR(VLOOKUP($C187,[16]Nod!$A$3:$E$988,5,FALSE)," ")</f>
        <v>5</v>
      </c>
      <c r="L187" s="281"/>
      <c r="M187" s="281"/>
    </row>
    <row r="188" spans="1:13" ht="15" customHeight="1">
      <c r="A188" s="301" t="s">
        <v>237</v>
      </c>
      <c r="C188" s="56">
        <v>6008</v>
      </c>
      <c r="D188" s="331">
        <v>10</v>
      </c>
      <c r="E188" s="39">
        <v>0</v>
      </c>
      <c r="F188" s="31" t="str">
        <f>IFERROR(VLOOKUP($C188,[16]Nod!$A$3:$E$988,4,FALSE)," ")</f>
        <v>LSA230</v>
      </c>
      <c r="G188" s="31">
        <f>IFERROR(VLOOKUP($C188,[16]Nod!$A$3:$E$988,5,FALSE)," ")</f>
        <v>5</v>
      </c>
      <c r="L188" s="281"/>
      <c r="M188" s="281"/>
    </row>
    <row r="189" spans="1:13" ht="15" customHeight="1">
      <c r="A189" s="314" t="s">
        <v>284</v>
      </c>
      <c r="C189" s="56">
        <v>6008</v>
      </c>
      <c r="D189" s="331">
        <v>9.99</v>
      </c>
      <c r="E189" s="39">
        <v>0</v>
      </c>
      <c r="F189" s="31" t="str">
        <f>IFERROR(VLOOKUP($C189,[16]Nod!$A$3:$E$988,4,FALSE)," ")</f>
        <v>LSA230</v>
      </c>
      <c r="G189" s="31">
        <f>IFERROR(VLOOKUP($C189,[16]Nod!$A$3:$E$988,5,FALSE)," ")</f>
        <v>5</v>
      </c>
      <c r="L189" s="281"/>
      <c r="M189" s="281"/>
    </row>
    <row r="190" spans="1:13" ht="15" customHeight="1">
      <c r="A190" s="314" t="s">
        <v>283</v>
      </c>
      <c r="C190" s="56">
        <v>6008</v>
      </c>
      <c r="D190" s="331">
        <v>7.3</v>
      </c>
      <c r="E190" s="39">
        <v>0</v>
      </c>
      <c r="F190" s="31" t="str">
        <f>IFERROR(VLOOKUP($C190,[16]Nod!$A$3:$E$988,4,FALSE)," ")</f>
        <v>LSA230</v>
      </c>
      <c r="G190" s="31">
        <f>IFERROR(VLOOKUP($C190,[16]Nod!$A$3:$E$988,5,FALSE)," ")</f>
        <v>5</v>
      </c>
      <c r="L190" s="281"/>
      <c r="M190" s="281"/>
    </row>
    <row r="191" spans="1:13" ht="15" customHeight="1">
      <c r="A191" s="314" t="s">
        <v>282</v>
      </c>
      <c r="C191" s="56">
        <v>6008</v>
      </c>
      <c r="D191" s="331">
        <v>19.8</v>
      </c>
      <c r="E191" s="39">
        <v>0</v>
      </c>
      <c r="F191" s="31" t="str">
        <f>IFERROR(VLOOKUP($C191,[16]Nod!$A$3:$E$988,4,FALSE)," ")</f>
        <v>LSA230</v>
      </c>
      <c r="G191" s="31">
        <f>IFERROR(VLOOKUP($C191,[16]Nod!$A$3:$E$988,5,FALSE)," ")</f>
        <v>5</v>
      </c>
      <c r="L191" s="281"/>
      <c r="M191" s="281"/>
    </row>
    <row r="192" spans="1:13" ht="15" customHeight="1">
      <c r="A192" s="314" t="s">
        <v>281</v>
      </c>
      <c r="C192" s="56">
        <v>6008</v>
      </c>
      <c r="D192" s="331">
        <v>125</v>
      </c>
      <c r="E192" s="39">
        <v>0</v>
      </c>
      <c r="F192" s="31" t="str">
        <f>IFERROR(VLOOKUP($C192,[16]Nod!$A$3:$E$988,4,FALSE)," ")</f>
        <v>LSA230</v>
      </c>
      <c r="G192" s="31">
        <f>IFERROR(VLOOKUP($C192,[16]Nod!$A$3:$E$988,5,FALSE)," ")</f>
        <v>5</v>
      </c>
      <c r="L192" s="281"/>
      <c r="M192" s="281"/>
    </row>
    <row r="193" spans="1:13" ht="15" customHeight="1">
      <c r="A193" s="314" t="s">
        <v>280</v>
      </c>
      <c r="C193" s="56">
        <v>6008</v>
      </c>
      <c r="D193" s="331">
        <v>68.400000000000006</v>
      </c>
      <c r="E193" s="39">
        <v>0</v>
      </c>
      <c r="F193" s="31" t="str">
        <f>IFERROR(VLOOKUP($C193,[16]Nod!$A$3:$E$988,4,FALSE)," ")</f>
        <v>LSA230</v>
      </c>
      <c r="G193" s="31">
        <f>IFERROR(VLOOKUP($C193,[16]Nod!$A$3:$E$988,5,FALSE)," ")</f>
        <v>5</v>
      </c>
      <c r="L193" s="281"/>
      <c r="M193" s="281"/>
    </row>
    <row r="194" spans="1:13" ht="15" customHeight="1">
      <c r="A194" s="314" t="s">
        <v>279</v>
      </c>
      <c r="C194" s="56">
        <v>6008</v>
      </c>
      <c r="D194" s="331">
        <v>63</v>
      </c>
      <c r="E194" s="39">
        <v>0</v>
      </c>
      <c r="F194" s="31" t="str">
        <f>IFERROR(VLOOKUP($C194,[16]Nod!$A$3:$E$988,4,FALSE)," ")</f>
        <v>LSA230</v>
      </c>
      <c r="G194" s="31">
        <f>IFERROR(VLOOKUP($C194,[16]Nod!$A$3:$E$988,5,FALSE)," ")</f>
        <v>5</v>
      </c>
      <c r="L194" s="281"/>
      <c r="M194" s="281"/>
    </row>
    <row r="195" spans="1:13" ht="15" customHeight="1">
      <c r="A195" s="314" t="s">
        <v>278</v>
      </c>
      <c r="C195" s="56">
        <v>6008</v>
      </c>
      <c r="D195" s="331">
        <v>44</v>
      </c>
      <c r="E195" s="39">
        <v>0</v>
      </c>
      <c r="F195" s="31" t="str">
        <f>IFERROR(VLOOKUP($C195,[16]Nod!$A$3:$E$988,4,FALSE)," ")</f>
        <v>LSA230</v>
      </c>
      <c r="G195" s="31">
        <f>IFERROR(VLOOKUP($C195,[16]Nod!$A$3:$E$988,5,FALSE)," ")</f>
        <v>5</v>
      </c>
      <c r="L195" s="281"/>
      <c r="M195" s="281"/>
    </row>
    <row r="196" spans="1:13" ht="15" customHeight="1">
      <c r="A196" s="314" t="s">
        <v>277</v>
      </c>
      <c r="C196" s="56">
        <v>6008</v>
      </c>
      <c r="D196" s="331">
        <v>138</v>
      </c>
      <c r="E196" s="39">
        <v>0</v>
      </c>
      <c r="F196" s="31" t="str">
        <f>IFERROR(VLOOKUP($C196,[16]Nod!$A$3:$E$988,4,FALSE)," ")</f>
        <v>LSA230</v>
      </c>
      <c r="G196" s="31">
        <f>IFERROR(VLOOKUP($C196,[16]Nod!$A$3:$E$988,5,FALSE)," ")</f>
        <v>5</v>
      </c>
      <c r="L196" s="281"/>
      <c r="M196" s="281"/>
    </row>
    <row r="197" spans="1:13" ht="15" customHeight="1">
      <c r="A197" s="314" t="s">
        <v>276</v>
      </c>
      <c r="C197" s="56">
        <v>6008</v>
      </c>
      <c r="D197" s="331">
        <v>90</v>
      </c>
      <c r="E197" s="39">
        <v>0</v>
      </c>
      <c r="F197" s="31" t="str">
        <f>IFERROR(VLOOKUP($C197,[16]Nod!$A$3:$E$988,4,FALSE)," ")</f>
        <v>LSA230</v>
      </c>
      <c r="G197" s="31">
        <f>IFERROR(VLOOKUP($C197,[16]Nod!$A$3:$E$988,5,FALSE)," ")</f>
        <v>5</v>
      </c>
      <c r="L197" s="281"/>
      <c r="M197" s="281"/>
    </row>
    <row r="198" spans="1:13" ht="15" customHeight="1">
      <c r="A198" s="314" t="s">
        <v>275</v>
      </c>
      <c r="C198" s="56">
        <v>6008</v>
      </c>
      <c r="D198" s="331">
        <v>150</v>
      </c>
      <c r="E198" s="39">
        <v>0</v>
      </c>
      <c r="F198" s="31" t="str">
        <f>IFERROR(VLOOKUP($C198,[16]Nod!$A$3:$E$988,4,FALSE)," ")</f>
        <v>LSA230</v>
      </c>
      <c r="G198" s="31">
        <f>IFERROR(VLOOKUP($C198,[16]Nod!$A$3:$E$988,5,FALSE)," ")</f>
        <v>5</v>
      </c>
      <c r="L198" s="281"/>
      <c r="M198" s="281"/>
    </row>
    <row r="199" spans="1:13" ht="15" customHeight="1">
      <c r="A199" s="314" t="s">
        <v>274</v>
      </c>
      <c r="C199" s="56">
        <v>6008</v>
      </c>
      <c r="D199" s="331">
        <v>22</v>
      </c>
      <c r="E199" s="39">
        <v>0</v>
      </c>
      <c r="F199" s="31" t="str">
        <f>IFERROR(VLOOKUP($C199,[16]Nod!$A$3:$E$988,4,FALSE)," ")</f>
        <v>LSA230</v>
      </c>
      <c r="G199" s="31">
        <f>IFERROR(VLOOKUP($C199,[16]Nod!$A$3:$E$988,5,FALSE)," ")</f>
        <v>5</v>
      </c>
      <c r="L199" s="281"/>
      <c r="M199" s="281"/>
    </row>
    <row r="200" spans="1:13" ht="15" customHeight="1">
      <c r="A200" s="314" t="s">
        <v>273</v>
      </c>
      <c r="C200" s="56">
        <v>6008</v>
      </c>
      <c r="D200" s="331">
        <v>22</v>
      </c>
      <c r="E200" s="39">
        <v>0</v>
      </c>
      <c r="F200" s="31" t="str">
        <f>IFERROR(VLOOKUP($C200,[16]Nod!$A$3:$E$988,4,FALSE)," ")</f>
        <v>LSA230</v>
      </c>
      <c r="G200" s="31">
        <f>IFERROR(VLOOKUP($C200,[16]Nod!$A$3:$E$988,5,FALSE)," ")</f>
        <v>5</v>
      </c>
      <c r="L200" s="281"/>
      <c r="M200" s="281"/>
    </row>
    <row r="201" spans="1:13" ht="15" customHeight="1">
      <c r="A201" s="314" t="s">
        <v>272</v>
      </c>
      <c r="C201" s="56">
        <v>6008</v>
      </c>
      <c r="D201" s="331">
        <v>125</v>
      </c>
      <c r="E201" s="39">
        <v>5</v>
      </c>
      <c r="F201" s="31" t="str">
        <f>IFERROR(VLOOKUP($C201,[16]Nod!$A$3:$E$988,4,FALSE)," ")</f>
        <v>LSA230</v>
      </c>
      <c r="G201" s="31">
        <f>IFERROR(VLOOKUP($C201,[16]Nod!$A$3:$E$988,5,FALSE)," ")</f>
        <v>5</v>
      </c>
      <c r="L201" s="281"/>
      <c r="M201" s="281"/>
    </row>
    <row r="202" spans="1:13" ht="15" customHeight="1" thickBot="1">
      <c r="A202" s="41" t="s">
        <v>35</v>
      </c>
      <c r="B202" s="59"/>
      <c r="C202" s="39"/>
      <c r="D202" s="333"/>
      <c r="E202" s="40"/>
      <c r="F202" s="31" t="str">
        <f>IFERROR(VLOOKUP($C202,[16]Nod!$A$3:$E$988,4,FALSE)," ")</f>
        <v xml:space="preserve"> </v>
      </c>
      <c r="G202" s="31" t="str">
        <f>IFERROR(VLOOKUP($C202,[16]Nod!$A$3:$E$988,5,FALSE)," ")</f>
        <v xml:space="preserve"> </v>
      </c>
      <c r="L202" s="281"/>
      <c r="M202" s="281"/>
    </row>
    <row r="203" spans="1:13" ht="15" customHeight="1">
      <c r="A203" s="47">
        <v>6</v>
      </c>
      <c r="B203" s="44"/>
      <c r="C203" s="45"/>
      <c r="D203" s="332">
        <f>SUM(D204:D222)</f>
        <v>321.21000000000004</v>
      </c>
      <c r="E203" s="297"/>
      <c r="F203" s="31" t="str">
        <f>IFERROR(VLOOKUP($C203,[16]Nod!$A$3:$E$988,4,FALSE)," ")</f>
        <v xml:space="preserve"> </v>
      </c>
      <c r="G203" s="31" t="str">
        <f>IFERROR(VLOOKUP($C203,[16]Nod!$A$3:$E$988,5,FALSE)," ")</f>
        <v xml:space="preserve"> </v>
      </c>
      <c r="L203" s="281"/>
      <c r="M203" s="281"/>
    </row>
    <row r="204" spans="1:13" ht="15" customHeight="1">
      <c r="A204" s="301" t="s">
        <v>91</v>
      </c>
      <c r="B204" s="3"/>
      <c r="C204" s="40">
        <v>6005</v>
      </c>
      <c r="D204" s="339">
        <v>147</v>
      </c>
      <c r="E204" s="302">
        <v>0</v>
      </c>
      <c r="F204" s="31" t="str">
        <f>IFERROR(VLOOKUP($C204,[16]Nod!$A$3:$E$988,4,FALSE)," ")</f>
        <v>CHO230</v>
      </c>
      <c r="G204" s="31">
        <f>IFERROR(VLOOKUP($C204,[16]Nod!$A$3:$E$988,5,FALSE)," ")</f>
        <v>6</v>
      </c>
      <c r="L204" s="281"/>
      <c r="M204" s="281"/>
    </row>
    <row r="205" spans="1:13" ht="15" customHeight="1">
      <c r="A205" s="301" t="s">
        <v>245</v>
      </c>
      <c r="B205" s="3"/>
      <c r="C205" s="54">
        <v>6005</v>
      </c>
      <c r="D205" s="331">
        <v>4.3</v>
      </c>
      <c r="E205" s="302">
        <v>0</v>
      </c>
      <c r="F205" s="31" t="str">
        <f>IFERROR(VLOOKUP($C205,[16]Nod!$A$3:$E$988,4,FALSE)," ")</f>
        <v>CHO230</v>
      </c>
      <c r="G205" s="31">
        <f>IFERROR(VLOOKUP($C205,[16]Nod!$A$3:$E$988,5,FALSE)," ")</f>
        <v>6</v>
      </c>
      <c r="L205" s="281"/>
      <c r="M205" s="281"/>
    </row>
    <row r="206" spans="1:13" ht="15" customHeight="1">
      <c r="A206" s="301" t="s">
        <v>271</v>
      </c>
      <c r="B206" s="3"/>
      <c r="C206" s="54">
        <v>6005</v>
      </c>
      <c r="D206" s="331">
        <v>0.96</v>
      </c>
      <c r="E206" s="302">
        <v>0</v>
      </c>
      <c r="F206" s="31" t="str">
        <f>IFERROR(VLOOKUP($C206,[16]Nod!$A$3:$E$988,4,FALSE)," ")</f>
        <v>CHO230</v>
      </c>
      <c r="G206" s="31">
        <f>IFERROR(VLOOKUP($C206,[16]Nod!$A$3:$E$988,5,FALSE)," ")</f>
        <v>6</v>
      </c>
      <c r="L206" s="281"/>
      <c r="M206" s="281"/>
    </row>
    <row r="207" spans="1:13" ht="15" customHeight="1">
      <c r="A207" s="301" t="s">
        <v>270</v>
      </c>
      <c r="B207" s="3"/>
      <c r="C207" s="54">
        <v>6005</v>
      </c>
      <c r="D207" s="331">
        <v>3</v>
      </c>
      <c r="E207" s="302">
        <v>0</v>
      </c>
      <c r="F207" s="31" t="str">
        <f>IFERROR(VLOOKUP($C207,[16]Nod!$A$3:$E$988,4,FALSE)," ")</f>
        <v>CHO230</v>
      </c>
      <c r="G207" s="31">
        <f>IFERROR(VLOOKUP($C207,[16]Nod!$A$3:$E$988,5,FALSE)," ")</f>
        <v>6</v>
      </c>
      <c r="L207" s="281"/>
      <c r="M207" s="281"/>
    </row>
    <row r="208" spans="1:13" ht="15" customHeight="1">
      <c r="A208" s="301" t="s">
        <v>269</v>
      </c>
      <c r="B208" s="3"/>
      <c r="C208" s="54">
        <v>6005</v>
      </c>
      <c r="D208" s="331">
        <v>0.5</v>
      </c>
      <c r="E208" s="302">
        <v>0</v>
      </c>
      <c r="F208" s="31" t="str">
        <f>IFERROR(VLOOKUP($C208,[16]Nod!$A$3:$E$988,4,FALSE)," ")</f>
        <v>CHO230</v>
      </c>
      <c r="G208" s="31">
        <f>IFERROR(VLOOKUP($C208,[16]Nod!$A$3:$E$988,5,FALSE)," ")</f>
        <v>6</v>
      </c>
      <c r="L208" s="281"/>
      <c r="M208" s="281"/>
    </row>
    <row r="209" spans="1:13" ht="15" customHeight="1">
      <c r="A209" s="301" t="s">
        <v>268</v>
      </c>
      <c r="B209" s="3"/>
      <c r="C209" s="54">
        <v>6005</v>
      </c>
      <c r="D209" s="338">
        <v>5</v>
      </c>
      <c r="E209" s="302">
        <v>0</v>
      </c>
      <c r="F209" s="31" t="str">
        <f>IFERROR(VLOOKUP($C209,[16]Nod!$A$3:$E$988,4,FALSE)," ")</f>
        <v>CHO230</v>
      </c>
      <c r="G209" s="31">
        <f>IFERROR(VLOOKUP($C209,[16]Nod!$A$3:$E$988,5,FALSE)," ")</f>
        <v>6</v>
      </c>
      <c r="L209" s="281"/>
      <c r="M209" s="281"/>
    </row>
    <row r="210" spans="1:13" ht="15" customHeight="1">
      <c r="A210" s="301" t="s">
        <v>267</v>
      </c>
      <c r="B210" s="3"/>
      <c r="C210" s="54">
        <v>6005</v>
      </c>
      <c r="D210" s="338">
        <v>20</v>
      </c>
      <c r="E210" s="302">
        <v>0</v>
      </c>
      <c r="F210" s="31" t="str">
        <f>IFERROR(VLOOKUP($C210,[16]Nod!$A$3:$E$988,4,FALSE)," ")</f>
        <v>CHO230</v>
      </c>
      <c r="G210" s="31">
        <f>IFERROR(VLOOKUP($C210,[16]Nod!$A$3:$E$988,5,FALSE)," ")</f>
        <v>6</v>
      </c>
      <c r="L210" s="281"/>
      <c r="M210" s="281"/>
    </row>
    <row r="211" spans="1:13" ht="15" customHeight="1">
      <c r="A211" s="301" t="s">
        <v>266</v>
      </c>
      <c r="B211" s="3"/>
      <c r="C211" s="54">
        <v>6005</v>
      </c>
      <c r="D211" s="331">
        <v>5</v>
      </c>
      <c r="E211" s="302">
        <v>0</v>
      </c>
      <c r="F211" s="31" t="str">
        <f>IFERROR(VLOOKUP($C211,[16]Nod!$A$3:$E$988,4,FALSE)," ")</f>
        <v>CHO230</v>
      </c>
      <c r="G211" s="31">
        <f>IFERROR(VLOOKUP($C211,[16]Nod!$A$3:$E$988,5,FALSE)," ")</f>
        <v>6</v>
      </c>
      <c r="L211" s="281"/>
      <c r="M211" s="281"/>
    </row>
    <row r="212" spans="1:13" ht="15" customHeight="1">
      <c r="A212" s="314" t="s">
        <v>265</v>
      </c>
      <c r="B212" s="3"/>
      <c r="C212" s="54">
        <v>6005</v>
      </c>
      <c r="D212" s="331">
        <v>9.9</v>
      </c>
      <c r="E212" s="39">
        <v>0</v>
      </c>
      <c r="F212" s="31" t="str">
        <f>IFERROR(VLOOKUP($C212,[16]Nod!$A$3:$E$988,4,FALSE)," ")</f>
        <v>CHO230</v>
      </c>
      <c r="G212" s="31">
        <f>IFERROR(VLOOKUP($C212,[16]Nod!$A$3:$E$988,5,FALSE)," ")</f>
        <v>6</v>
      </c>
      <c r="L212" s="281"/>
      <c r="M212" s="281"/>
    </row>
    <row r="213" spans="1:13" ht="15" customHeight="1">
      <c r="A213" s="314" t="s">
        <v>264</v>
      </c>
      <c r="B213" s="3"/>
      <c r="C213" s="54">
        <v>6005</v>
      </c>
      <c r="D213" s="331">
        <v>3</v>
      </c>
      <c r="E213" s="39">
        <v>0</v>
      </c>
      <c r="F213" s="31" t="str">
        <f>IFERROR(VLOOKUP($C213,[16]Nod!$A$3:$E$988,4,FALSE)," ")</f>
        <v>CHO230</v>
      </c>
      <c r="G213" s="31">
        <f>IFERROR(VLOOKUP($C213,[16]Nod!$A$3:$E$988,5,FALSE)," ")</f>
        <v>6</v>
      </c>
      <c r="L213" s="281"/>
      <c r="M213" s="281"/>
    </row>
    <row r="214" spans="1:13" ht="15" customHeight="1">
      <c r="A214" s="314" t="s">
        <v>263</v>
      </c>
      <c r="B214" s="3"/>
      <c r="C214" s="54">
        <v>6005</v>
      </c>
      <c r="D214" s="331">
        <v>9.9</v>
      </c>
      <c r="E214" s="39">
        <v>0</v>
      </c>
      <c r="F214" s="31" t="str">
        <f>IFERROR(VLOOKUP($C214,[16]Nod!$A$3:$E$988,4,FALSE)," ")</f>
        <v>CHO230</v>
      </c>
      <c r="G214" s="31">
        <f>IFERROR(VLOOKUP($C214,[16]Nod!$A$3:$E$988,5,FALSE)," ")</f>
        <v>6</v>
      </c>
      <c r="L214" s="281"/>
      <c r="M214" s="281"/>
    </row>
    <row r="215" spans="1:13" ht="15" customHeight="1">
      <c r="A215" s="314" t="s">
        <v>262</v>
      </c>
      <c r="B215" s="3"/>
      <c r="C215" s="54">
        <v>6005</v>
      </c>
      <c r="D215" s="331">
        <v>4.95</v>
      </c>
      <c r="E215" s="39">
        <v>0</v>
      </c>
      <c r="F215" s="31" t="str">
        <f>IFERROR(VLOOKUP($C215,[16]Nod!$A$3:$E$988,4,FALSE)," ")</f>
        <v>CHO230</v>
      </c>
      <c r="G215" s="31">
        <f>IFERROR(VLOOKUP($C215,[16]Nod!$A$3:$E$988,5,FALSE)," ")</f>
        <v>6</v>
      </c>
      <c r="L215" s="281"/>
      <c r="M215" s="281"/>
    </row>
    <row r="216" spans="1:13" ht="15" customHeight="1">
      <c r="A216" s="314" t="s">
        <v>261</v>
      </c>
      <c r="B216" s="3"/>
      <c r="C216" s="54">
        <v>6005</v>
      </c>
      <c r="D216" s="331">
        <v>8</v>
      </c>
      <c r="E216" s="39">
        <v>0</v>
      </c>
      <c r="F216" s="31" t="str">
        <f>IFERROR(VLOOKUP($C216,[16]Nod!$A$3:$E$988,4,FALSE)," ")</f>
        <v>CHO230</v>
      </c>
      <c r="G216" s="31">
        <f>IFERROR(VLOOKUP($C216,[16]Nod!$A$3:$E$988,5,FALSE)," ")</f>
        <v>6</v>
      </c>
      <c r="L216" s="281"/>
      <c r="M216" s="281"/>
    </row>
    <row r="217" spans="1:13" ht="15" customHeight="1">
      <c r="A217" s="314" t="s">
        <v>260</v>
      </c>
      <c r="B217" s="3"/>
      <c r="C217" s="54">
        <v>6005</v>
      </c>
      <c r="D217" s="331">
        <v>9.9</v>
      </c>
      <c r="E217" s="39">
        <v>0</v>
      </c>
      <c r="F217" s="31" t="str">
        <f>IFERROR(VLOOKUP($C217,[16]Nod!$A$3:$E$988,4,FALSE)," ")</f>
        <v>CHO230</v>
      </c>
      <c r="G217" s="31">
        <f>IFERROR(VLOOKUP($C217,[16]Nod!$A$3:$E$988,5,FALSE)," ")</f>
        <v>6</v>
      </c>
      <c r="L217" s="281"/>
      <c r="M217" s="281"/>
    </row>
    <row r="218" spans="1:13" ht="15" customHeight="1">
      <c r="A218" s="314" t="s">
        <v>259</v>
      </c>
      <c r="B218" s="3"/>
      <c r="C218" s="54">
        <v>6005</v>
      </c>
      <c r="D218" s="331">
        <v>19.899999999999999</v>
      </c>
      <c r="E218" s="39">
        <v>0</v>
      </c>
      <c r="F218" s="31" t="str">
        <f>IFERROR(VLOOKUP($C218,[16]Nod!$A$3:$E$988,4,FALSE)," ")</f>
        <v>CHO230</v>
      </c>
      <c r="G218" s="31">
        <f>IFERROR(VLOOKUP($C218,[16]Nod!$A$3:$E$988,5,FALSE)," ")</f>
        <v>6</v>
      </c>
      <c r="L218" s="281"/>
      <c r="M218" s="281"/>
    </row>
    <row r="219" spans="1:13" ht="15" customHeight="1">
      <c r="A219" s="314" t="s">
        <v>258</v>
      </c>
      <c r="B219" s="3"/>
      <c r="C219" s="54">
        <v>6005</v>
      </c>
      <c r="D219" s="331">
        <v>19.899999999999999</v>
      </c>
      <c r="E219" s="39">
        <v>0</v>
      </c>
      <c r="F219" s="31" t="str">
        <f>IFERROR(VLOOKUP($C219,[16]Nod!$A$3:$E$988,4,FALSE)," ")</f>
        <v>CHO230</v>
      </c>
      <c r="G219" s="31">
        <f>IFERROR(VLOOKUP($C219,[16]Nod!$A$3:$E$988,5,FALSE)," ")</f>
        <v>6</v>
      </c>
    </row>
    <row r="220" spans="1:13" ht="15" customHeight="1">
      <c r="A220" s="314" t="s">
        <v>257</v>
      </c>
      <c r="B220" s="3"/>
      <c r="C220" s="54">
        <v>6005</v>
      </c>
      <c r="D220" s="331">
        <v>10</v>
      </c>
      <c r="E220" s="39">
        <v>0</v>
      </c>
      <c r="F220" s="31" t="str">
        <f>IFERROR(VLOOKUP($C220,[16]Nod!$A$3:$E$988,4,FALSE)," ")</f>
        <v>CHO230</v>
      </c>
      <c r="G220" s="31">
        <f>IFERROR(VLOOKUP($C220,[16]Nod!$A$3:$E$988,5,FALSE)," ")</f>
        <v>6</v>
      </c>
    </row>
    <row r="221" spans="1:13" ht="15" customHeight="1">
      <c r="A221" s="314" t="s">
        <v>256</v>
      </c>
      <c r="B221" s="3"/>
      <c r="C221" s="54">
        <v>6005</v>
      </c>
      <c r="D221" s="331">
        <v>10</v>
      </c>
      <c r="E221" s="39">
        <v>0</v>
      </c>
      <c r="F221" s="31" t="str">
        <f>IFERROR(VLOOKUP($C221,[16]Nod!$A$3:$E$988,4,FALSE)," ")</f>
        <v>CHO230</v>
      </c>
      <c r="G221" s="31">
        <f>IFERROR(VLOOKUP($C221,[16]Nod!$A$3:$E$988,5,FALSE)," ")</f>
        <v>6</v>
      </c>
    </row>
    <row r="222" spans="1:13" ht="15" customHeight="1">
      <c r="A222" s="314" t="s">
        <v>255</v>
      </c>
      <c r="B222" s="3"/>
      <c r="C222" s="54">
        <v>6005</v>
      </c>
      <c r="D222" s="331">
        <v>30</v>
      </c>
      <c r="E222" s="39">
        <v>0</v>
      </c>
      <c r="F222" s="31" t="str">
        <f>IFERROR(VLOOKUP($C222,[16]Nod!$A$3:$E$988,4,FALSE)," ")</f>
        <v>CHO230</v>
      </c>
      <c r="G222" s="31">
        <f>IFERROR(VLOOKUP($C222,[16]Nod!$A$3:$E$988,5,FALSE)," ")</f>
        <v>6</v>
      </c>
    </row>
    <row r="223" spans="1:13" ht="15" customHeight="1" thickBot="1">
      <c r="A223" s="41" t="s">
        <v>35</v>
      </c>
      <c r="B223" s="3"/>
      <c r="C223" s="40"/>
      <c r="D223" s="337"/>
      <c r="E223" s="302"/>
      <c r="F223" s="31" t="str">
        <f>IFERROR(VLOOKUP($C223,[16]Nod!$A$3:$E$988,4,FALSE)," ")</f>
        <v xml:space="preserve"> </v>
      </c>
      <c r="G223" s="31" t="str">
        <f>IFERROR(VLOOKUP($C223,[16]Nod!$A$3:$E$988,5,FALSE)," ")</f>
        <v xml:space="preserve"> </v>
      </c>
    </row>
    <row r="224" spans="1:13" ht="15" customHeight="1">
      <c r="A224" s="47">
        <v>7</v>
      </c>
      <c r="B224" s="44"/>
      <c r="C224" s="45"/>
      <c r="D224" s="332">
        <f>SUM(D225:D229)</f>
        <v>154.33000000000001</v>
      </c>
      <c r="E224" s="297"/>
      <c r="F224" s="31" t="str">
        <f>IFERROR(VLOOKUP($C224,[16]Nod!$A$3:$E$988,4,FALSE)," ")</f>
        <v xml:space="preserve"> </v>
      </c>
      <c r="G224" s="31" t="str">
        <f>IFERROR(VLOOKUP($C224,[16]Nod!$A$3:$E$988,5,FALSE)," ")</f>
        <v xml:space="preserve"> </v>
      </c>
    </row>
    <row r="225" spans="1:7" ht="15" customHeight="1">
      <c r="A225" s="301" t="s">
        <v>246</v>
      </c>
      <c r="B225" s="3"/>
      <c r="C225" s="40">
        <v>6018</v>
      </c>
      <c r="D225" s="331">
        <v>97.7</v>
      </c>
      <c r="E225" s="302">
        <v>0</v>
      </c>
      <c r="F225" s="31" t="str">
        <f>IFERROR(VLOOKUP($C225,[16]Nod!$A$3:$E$988,4,FALSE)," ")</f>
        <v>CAC115</v>
      </c>
      <c r="G225" s="31">
        <f>IFERROR(VLOOKUP($C225,[16]Nod!$A$3:$E$988,5,FALSE)," ")</f>
        <v>7</v>
      </c>
    </row>
    <row r="226" spans="1:7" ht="15" customHeight="1">
      <c r="A226" s="301" t="s">
        <v>92</v>
      </c>
      <c r="B226" s="3"/>
      <c r="C226" s="40">
        <v>6171</v>
      </c>
      <c r="D226" s="331">
        <v>53.53</v>
      </c>
      <c r="E226" s="302">
        <v>0</v>
      </c>
      <c r="F226" s="31" t="str">
        <f>IFERROR(VLOOKUP($C226,[16]Nod!$A$3:$E$988,4,FALSE)," ")</f>
        <v>PAC230</v>
      </c>
      <c r="G226" s="31">
        <f>IFERROR(VLOOKUP($C226,[16]Nod!$A$3:$E$988,5,FALSE)," ")</f>
        <v>7</v>
      </c>
    </row>
    <row r="227" spans="1:7" ht="15" customHeight="1">
      <c r="A227" s="301" t="s">
        <v>254</v>
      </c>
      <c r="B227" s="3"/>
      <c r="C227" s="40">
        <v>6002</v>
      </c>
      <c r="D227" s="331">
        <v>0.1</v>
      </c>
      <c r="E227" s="302">
        <v>0</v>
      </c>
      <c r="F227" s="31" t="str">
        <f>IFERROR(VLOOKUP($C227,[16]Nod!$A$3:$E$988,4,FALSE)," ")</f>
        <v>PAN115</v>
      </c>
      <c r="G227" s="31">
        <f>IFERROR(VLOOKUP($C227,[16]Nod!$A$3:$E$988,5,FALSE)," ")</f>
        <v>7</v>
      </c>
    </row>
    <row r="228" spans="1:7" ht="15" customHeight="1">
      <c r="A228" s="301" t="s">
        <v>247</v>
      </c>
      <c r="B228" s="3"/>
      <c r="C228" s="40">
        <v>6018</v>
      </c>
      <c r="D228" s="331">
        <v>3</v>
      </c>
      <c r="E228" s="302">
        <v>0</v>
      </c>
      <c r="F228" s="31" t="str">
        <f>IFERROR(VLOOKUP($C228,[16]Nod!$A$3:$E$988,4,FALSE)," ")</f>
        <v>CAC115</v>
      </c>
      <c r="G228" s="31">
        <f>IFERROR(VLOOKUP($C228,[16]Nod!$A$3:$E$988,5,FALSE)," ")</f>
        <v>7</v>
      </c>
    </row>
    <row r="229" spans="1:7" ht="15" customHeight="1">
      <c r="A229" s="336" t="s">
        <v>253</v>
      </c>
      <c r="B229" s="3"/>
      <c r="C229" s="40"/>
      <c r="D229" s="331"/>
      <c r="E229" s="40"/>
      <c r="F229" s="31" t="str">
        <f>IFERROR(VLOOKUP($C229,[16]Nod!$A$3:$E$988,4,FALSE)," ")</f>
        <v xml:space="preserve"> </v>
      </c>
      <c r="G229" s="31" t="str">
        <f>IFERROR(VLOOKUP($C229,[16]Nod!$A$3:$E$988,5,FALSE)," ")</f>
        <v xml:space="preserve"> </v>
      </c>
    </row>
    <row r="230" spans="1:7" ht="15" customHeight="1" thickBot="1">
      <c r="A230" s="41" t="s">
        <v>35</v>
      </c>
      <c r="B230" s="3"/>
      <c r="C230" s="40"/>
      <c r="D230" s="335"/>
      <c r="E230" s="302"/>
      <c r="F230" s="31" t="str">
        <f>IFERROR(VLOOKUP($C230,[16]Nod!$A$3:$E$988,4,FALSE)," ")</f>
        <v xml:space="preserve"> </v>
      </c>
    </row>
    <row r="231" spans="1:7" ht="15" customHeight="1">
      <c r="A231" s="36">
        <v>8</v>
      </c>
      <c r="B231" s="61"/>
      <c r="C231" s="35"/>
      <c r="D231" s="332">
        <f>SUM(D232)</f>
        <v>260</v>
      </c>
      <c r="E231" s="297"/>
      <c r="F231" s="31" t="str">
        <f>IFERROR(VLOOKUP($C231,[16]Nod!$A$3:$E$988,4,FALSE)," ")</f>
        <v xml:space="preserve"> </v>
      </c>
      <c r="G231" s="31" t="str">
        <f>IFERROR(VLOOKUP($C231,[16]Nod!$A$3:$E$988,5,FALSE)," ")</f>
        <v xml:space="preserve"> </v>
      </c>
    </row>
    <row r="232" spans="1:7" ht="15" customHeight="1">
      <c r="A232" s="51" t="s">
        <v>93</v>
      </c>
      <c r="B232" s="3"/>
      <c r="C232" s="40">
        <v>6100</v>
      </c>
      <c r="D232" s="331">
        <v>260</v>
      </c>
      <c r="E232" s="302">
        <v>0</v>
      </c>
      <c r="F232" s="31" t="str">
        <f>IFERROR(VLOOKUP($C232,[16]Nod!$A$3:$E$988,4,FALSE)," ")</f>
        <v>BAY230</v>
      </c>
      <c r="G232" s="31">
        <f>IFERROR(VLOOKUP($C232,[16]Nod!$A$3:$E$988,5,FALSE)," ")</f>
        <v>8</v>
      </c>
    </row>
    <row r="233" spans="1:7" ht="15" customHeight="1" thickBot="1">
      <c r="A233" s="41" t="s">
        <v>35</v>
      </c>
      <c r="B233" s="42"/>
      <c r="C233" s="43"/>
      <c r="D233" s="334"/>
      <c r="E233" s="315"/>
      <c r="F233" s="31" t="str">
        <f>IFERROR(VLOOKUP($C233,[16]Nod!$A$3:$E$988,4,FALSE)," ")</f>
        <v xml:space="preserve"> </v>
      </c>
      <c r="G233" s="31" t="str">
        <f>IFERROR(VLOOKUP($C233,[16]Nod!$A$3:$E$988,5,FALSE)," ")</f>
        <v xml:space="preserve"> </v>
      </c>
    </row>
    <row r="234" spans="1:7" ht="15" customHeight="1">
      <c r="A234" s="47">
        <v>9</v>
      </c>
      <c r="B234" s="62"/>
      <c r="C234" s="63"/>
      <c r="D234" s="332">
        <f>SUM(D235:D244)</f>
        <v>1565.45</v>
      </c>
      <c r="E234" s="317"/>
      <c r="F234" s="31" t="str">
        <f>IFERROR(VLOOKUP($C234,[16]Nod!$A$3:$E$988,4,FALSE)," ")</f>
        <v xml:space="preserve"> </v>
      </c>
      <c r="G234" s="31" t="str">
        <f>IFERROR(VLOOKUP($C234,[16]Nod!$A$3:$E$988,5,FALSE)," ")</f>
        <v xml:space="preserve"> </v>
      </c>
    </row>
    <row r="235" spans="1:7" ht="15" customHeight="1">
      <c r="A235" s="301" t="s">
        <v>94</v>
      </c>
      <c r="B235" s="3"/>
      <c r="C235" s="40">
        <v>6059</v>
      </c>
      <c r="D235" s="331">
        <v>68</v>
      </c>
      <c r="E235" s="302">
        <v>0</v>
      </c>
      <c r="F235" s="31" t="str">
        <f>IFERROR(VLOOKUP($C235,[16]Nod!$A$3:$E$988,4,FALSE)," ")</f>
        <v>LM1115</v>
      </c>
      <c r="G235" s="31">
        <f>IFERROR(VLOOKUP($C235,[16]Nod!$A$3:$E$988,5,FALSE)," ")</f>
        <v>9</v>
      </c>
    </row>
    <row r="236" spans="1:7" ht="15" customHeight="1">
      <c r="A236" s="301" t="s">
        <v>95</v>
      </c>
      <c r="B236" s="3"/>
      <c r="C236" s="40">
        <v>6059</v>
      </c>
      <c r="D236" s="331">
        <v>87.2</v>
      </c>
      <c r="E236" s="302">
        <v>0</v>
      </c>
      <c r="F236" s="31" t="str">
        <f>IFERROR(VLOOKUP($C236,[16]Nod!$A$3:$E$988,4,FALSE)," ")</f>
        <v>LM1115</v>
      </c>
      <c r="G236" s="31">
        <f>IFERROR(VLOOKUP($C236,[16]Nod!$A$3:$E$988,5,FALSE)," ")</f>
        <v>9</v>
      </c>
    </row>
    <row r="237" spans="1:7" ht="15" customHeight="1">
      <c r="A237" s="301" t="s">
        <v>96</v>
      </c>
      <c r="B237" s="3"/>
      <c r="C237" s="40">
        <v>6059</v>
      </c>
      <c r="D237" s="331">
        <v>150</v>
      </c>
      <c r="E237" s="302">
        <v>0</v>
      </c>
      <c r="F237" s="31" t="str">
        <f>IFERROR(VLOOKUP($C237,[16]Nod!$A$3:$E$988,4,FALSE)," ")</f>
        <v>LM1115</v>
      </c>
      <c r="G237" s="31">
        <f>IFERROR(VLOOKUP($C237,[16]Nod!$A$3:$E$988,5,FALSE)," ")</f>
        <v>9</v>
      </c>
    </row>
    <row r="238" spans="1:7" ht="15" customHeight="1">
      <c r="A238" s="301" t="s">
        <v>97</v>
      </c>
      <c r="B238" s="3"/>
      <c r="C238" s="40">
        <v>6173</v>
      </c>
      <c r="D238" s="331">
        <v>381</v>
      </c>
      <c r="E238" s="302">
        <v>0</v>
      </c>
      <c r="F238" s="31" t="str">
        <f>IFERROR(VLOOKUP($C238,[16]Nod!$A$3:$E$988,4,FALSE)," ")</f>
        <v>STR115</v>
      </c>
      <c r="G238" s="31">
        <f>IFERROR(VLOOKUP($C238,[16]Nod!$A$3:$E$988,5,FALSE)," ")</f>
        <v>9</v>
      </c>
    </row>
    <row r="239" spans="1:7" ht="15" customHeight="1">
      <c r="A239" s="301" t="s">
        <v>98</v>
      </c>
      <c r="B239" s="3"/>
      <c r="C239" s="40">
        <v>6173</v>
      </c>
      <c r="D239" s="331">
        <v>5.05</v>
      </c>
      <c r="E239" s="302">
        <v>0</v>
      </c>
      <c r="F239" s="31" t="str">
        <f>IFERROR(VLOOKUP($C239,[16]Nod!$A$3:$E$988,4,FALSE)," ")</f>
        <v>STR115</v>
      </c>
      <c r="G239" s="31">
        <f>IFERROR(VLOOKUP($C239,[16]Nod!$A$3:$E$988,5,FALSE)," ")</f>
        <v>9</v>
      </c>
    </row>
    <row r="240" spans="1:7" ht="15" customHeight="1">
      <c r="A240" s="301" t="s">
        <v>248</v>
      </c>
      <c r="B240" s="3"/>
      <c r="C240" s="40">
        <v>6059</v>
      </c>
      <c r="D240" s="331">
        <v>49.2</v>
      </c>
      <c r="E240" s="302">
        <v>0</v>
      </c>
      <c r="F240" s="31" t="str">
        <f>IFERROR(VLOOKUP($C240,[16]Nod!$A$3:$E$988,4,FALSE)," ")</f>
        <v>LM1115</v>
      </c>
      <c r="G240" s="31">
        <f>IFERROR(VLOOKUP($C240,[16]Nod!$A$3:$E$988,5,FALSE)," ")</f>
        <v>9</v>
      </c>
    </row>
    <row r="241" spans="1:7" ht="15" customHeight="1">
      <c r="A241" s="301" t="s">
        <v>249</v>
      </c>
      <c r="B241" s="3"/>
      <c r="C241" s="40">
        <v>6173</v>
      </c>
      <c r="D241" s="331">
        <v>670</v>
      </c>
      <c r="E241" s="302">
        <v>0</v>
      </c>
      <c r="F241" s="31" t="str">
        <f>IFERROR(VLOOKUP($C241,[16]Nod!$A$3:$E$988,4,FALSE)," ")</f>
        <v>STR115</v>
      </c>
      <c r="G241" s="31">
        <f>IFERROR(VLOOKUP($C241,[16]Nod!$A$3:$E$988,5,FALSE)," ")</f>
        <v>9</v>
      </c>
    </row>
    <row r="242" spans="1:7" ht="15" customHeight="1">
      <c r="A242" s="314" t="s">
        <v>252</v>
      </c>
      <c r="C242" s="40">
        <v>6173</v>
      </c>
      <c r="D242" s="331">
        <v>34</v>
      </c>
      <c r="E242" s="39">
        <v>0</v>
      </c>
      <c r="F242" s="31" t="str">
        <f>IFERROR(VLOOKUP($C242,[16]Nod!$A$3:$E$988,4,FALSE)," ")</f>
        <v>STR115</v>
      </c>
      <c r="G242" s="31">
        <f>IFERROR(VLOOKUP($C242,[16]Nod!$A$3:$E$988,5,FALSE)," ")</f>
        <v>9</v>
      </c>
    </row>
    <row r="243" spans="1:7" ht="15" customHeight="1">
      <c r="A243" s="314" t="s">
        <v>251</v>
      </c>
      <c r="C243" s="40">
        <v>6173</v>
      </c>
      <c r="D243" s="331">
        <v>34</v>
      </c>
      <c r="E243" s="39">
        <v>0</v>
      </c>
      <c r="F243" s="31" t="str">
        <f>IFERROR(VLOOKUP($C243,[16]Nod!$A$3:$E$988,4,FALSE)," ")</f>
        <v>STR115</v>
      </c>
      <c r="G243" s="31">
        <f>IFERROR(VLOOKUP($C243,[16]Nod!$A$3:$E$988,5,FALSE)," ")</f>
        <v>9</v>
      </c>
    </row>
    <row r="244" spans="1:7" ht="15" customHeight="1">
      <c r="A244" s="314" t="s">
        <v>250</v>
      </c>
      <c r="C244" s="40">
        <v>6173</v>
      </c>
      <c r="D244" s="331">
        <v>87</v>
      </c>
      <c r="E244" s="39">
        <v>0</v>
      </c>
      <c r="F244" s="31" t="str">
        <f>IFERROR(VLOOKUP($C244,[16]Nod!$A$3:$E$988,4,FALSE)," ")</f>
        <v>STR115</v>
      </c>
      <c r="G244" s="31">
        <f>IFERROR(VLOOKUP($C244,[16]Nod!$A$3:$E$988,5,FALSE)," ")</f>
        <v>9</v>
      </c>
    </row>
    <row r="245" spans="1:7" ht="15" customHeight="1" thickBot="1">
      <c r="A245" s="41" t="s">
        <v>35</v>
      </c>
      <c r="B245" s="3"/>
      <c r="C245" s="40"/>
      <c r="D245" s="333"/>
      <c r="E245" s="302"/>
      <c r="F245" s="31" t="str">
        <f>IFERROR(VLOOKUP($C245,[16]Nod!$A$3:$E$988,4,FALSE)," ")</f>
        <v xml:space="preserve"> </v>
      </c>
      <c r="G245" s="31" t="str">
        <f>IFERROR(VLOOKUP($C245,[16]Nod!$A$3:$E$988,5,FALSE)," ")</f>
        <v xml:space="preserve"> </v>
      </c>
    </row>
    <row r="246" spans="1:7" ht="15" customHeight="1">
      <c r="A246" s="47">
        <v>10</v>
      </c>
      <c r="B246" s="62"/>
      <c r="C246" s="64"/>
      <c r="D246" s="332">
        <f>SUM(D247:D248)</f>
        <v>252.17</v>
      </c>
      <c r="E246" s="297"/>
      <c r="F246" s="31" t="str">
        <f>IFERROR(VLOOKUP($C246,[16]Nod!$A$3:$E$988,4,FALSE)," ")</f>
        <v xml:space="preserve"> </v>
      </c>
      <c r="G246" s="31" t="str">
        <f>IFERROR(VLOOKUP($C246,[16]Nod!$A$3:$E$988,5,FALSE)," ")</f>
        <v xml:space="preserve"> </v>
      </c>
    </row>
    <row r="247" spans="1:7" ht="15" customHeight="1">
      <c r="A247" s="37" t="s">
        <v>99</v>
      </c>
      <c r="B247" s="3"/>
      <c r="C247" s="40">
        <v>6263</v>
      </c>
      <c r="D247" s="331">
        <v>222.17</v>
      </c>
      <c r="E247" s="39">
        <v>0</v>
      </c>
      <c r="F247" s="31" t="str">
        <f>IFERROR(VLOOKUP($C247,[16]Nod!$A$3:$E$988,4,FALSE)," ")</f>
        <v>ESP230</v>
      </c>
      <c r="G247" s="31">
        <f>IFERROR(VLOOKUP($C247,[16]Nod!$A$3:$E$988,5,FALSE)," ")</f>
        <v>10</v>
      </c>
    </row>
    <row r="248" spans="1:7" ht="15" customHeight="1">
      <c r="A248" s="37" t="s">
        <v>100</v>
      </c>
      <c r="B248" s="3"/>
      <c r="C248" s="40">
        <v>6263</v>
      </c>
      <c r="D248" s="331">
        <v>30</v>
      </c>
      <c r="E248" s="39">
        <v>0</v>
      </c>
      <c r="F248" s="31" t="str">
        <f>IFERROR(VLOOKUP($C248,[16]Nod!$A$3:$E$988,4,FALSE)," ")</f>
        <v>ESP230</v>
      </c>
      <c r="G248" s="31">
        <f>IFERROR(VLOOKUP($C248,[16]Nod!$A$3:$E$988,5,FALSE)," ")</f>
        <v>10</v>
      </c>
    </row>
    <row r="249" spans="1:7" ht="15" customHeight="1">
      <c r="A249" s="60" t="s">
        <v>35</v>
      </c>
      <c r="B249" s="42"/>
      <c r="C249" s="43"/>
      <c r="D249" s="330"/>
      <c r="E249" s="315"/>
      <c r="F249" s="3"/>
      <c r="G249" s="3"/>
    </row>
    <row r="253" spans="1:7" ht="15" customHeight="1">
      <c r="F253" s="281"/>
      <c r="G253" s="281"/>
    </row>
    <row r="254" spans="1:7" ht="15" customHeight="1">
      <c r="F254" s="281"/>
      <c r="G254" s="281"/>
    </row>
    <row r="255" spans="1:7" ht="15" customHeight="1">
      <c r="F255" s="281"/>
      <c r="G255" s="281"/>
    </row>
    <row r="256" spans="1:7" ht="15" customHeight="1">
      <c r="F256" s="281"/>
      <c r="G256" s="281"/>
    </row>
    <row r="257" spans="6:7" ht="15" customHeight="1">
      <c r="F257" s="281"/>
      <c r="G257" s="281"/>
    </row>
    <row r="258" spans="6:7" ht="15" customHeight="1">
      <c r="F258" s="281"/>
      <c r="G258" s="281"/>
    </row>
    <row r="259" spans="6:7" ht="15" customHeight="1">
      <c r="F259" s="281"/>
      <c r="G259" s="281"/>
    </row>
    <row r="260" spans="6:7" ht="15" customHeight="1">
      <c r="F260" s="281"/>
      <c r="G260" s="281"/>
    </row>
    <row r="261" spans="6:7" ht="15" customHeight="1">
      <c r="F261" s="281"/>
      <c r="G261" s="281"/>
    </row>
    <row r="262" spans="6:7" ht="15" customHeight="1">
      <c r="F262" s="281"/>
      <c r="G262" s="281"/>
    </row>
    <row r="263" spans="6:7" ht="15" customHeight="1">
      <c r="F263" s="281"/>
      <c r="G263" s="281"/>
    </row>
    <row r="264" spans="6:7" ht="15" customHeight="1">
      <c r="F264" s="281"/>
      <c r="G264" s="281"/>
    </row>
    <row r="265" spans="6:7" ht="15" customHeight="1">
      <c r="F265" s="281"/>
      <c r="G265" s="281"/>
    </row>
    <row r="266" spans="6:7" ht="15" customHeight="1">
      <c r="F266" s="281"/>
      <c r="G266" s="281"/>
    </row>
    <row r="267" spans="6:7" ht="15" customHeight="1">
      <c r="F267" s="281"/>
      <c r="G267" s="281"/>
    </row>
    <row r="268" spans="6:7" ht="15" customHeight="1">
      <c r="F268" s="281"/>
      <c r="G268" s="281"/>
    </row>
    <row r="269" spans="6:7" ht="15" customHeight="1">
      <c r="F269" s="281"/>
      <c r="G269" s="281"/>
    </row>
    <row r="270" spans="6:7" ht="15" customHeight="1">
      <c r="F270" s="281"/>
      <c r="G270" s="281"/>
    </row>
    <row r="271" spans="6:7" ht="15" customHeight="1">
      <c r="F271" s="281"/>
      <c r="G271" s="281"/>
    </row>
    <row r="272" spans="6:7" ht="15" customHeight="1">
      <c r="F272" s="281"/>
      <c r="G272" s="281"/>
    </row>
    <row r="273" spans="6:7" ht="15" customHeight="1">
      <c r="F273" s="281"/>
      <c r="G273" s="281"/>
    </row>
    <row r="274" spans="6:7" ht="15" customHeight="1">
      <c r="F274" s="281"/>
      <c r="G274" s="281"/>
    </row>
    <row r="275" spans="6:7" ht="15" customHeight="1">
      <c r="F275" s="281"/>
      <c r="G275" s="281"/>
    </row>
    <row r="276" spans="6:7" ht="15" customHeight="1">
      <c r="F276" s="281"/>
      <c r="G276" s="281"/>
    </row>
    <row r="277" spans="6:7" ht="15" customHeight="1">
      <c r="F277" s="281"/>
      <c r="G277" s="281"/>
    </row>
    <row r="278" spans="6:7" ht="15" customHeight="1">
      <c r="F278" s="281"/>
      <c r="G278" s="281"/>
    </row>
  </sheetData>
  <mergeCells count="1">
    <mergeCell ref="A9:L9"/>
  </mergeCells>
  <conditionalFormatting sqref="B11:L12">
    <cfRule type="cellIs" dxfId="132" priority="12" operator="equal">
      <formula>0</formula>
    </cfRule>
  </conditionalFormatting>
  <conditionalFormatting sqref="E18:E61">
    <cfRule type="cellIs" dxfId="131" priority="3" operator="equal">
      <formula>0</formula>
    </cfRule>
  </conditionalFormatting>
  <conditionalFormatting sqref="E64:E93 E232:E233 E235:E241">
    <cfRule type="cellIs" dxfId="130" priority="9" operator="equal">
      <formula>0</formula>
    </cfRule>
  </conditionalFormatting>
  <conditionalFormatting sqref="E96:E140">
    <cfRule type="cellIs" dxfId="129" priority="8" operator="equal">
      <formula>0</formula>
    </cfRule>
  </conditionalFormatting>
  <conditionalFormatting sqref="E143:E181">
    <cfRule type="cellIs" dxfId="128" priority="2" operator="equal">
      <formula>0</formula>
    </cfRule>
  </conditionalFormatting>
  <conditionalFormatting sqref="E225:E228">
    <cfRule type="cellIs" dxfId="127" priority="6" operator="equal">
      <formula>0</formula>
    </cfRule>
  </conditionalFormatting>
  <conditionalFormatting sqref="E230">
    <cfRule type="cellIs" dxfId="126" priority="1" operator="equal">
      <formula>0</formula>
    </cfRule>
  </conditionalFormatting>
  <conditionalFormatting sqref="K108:K162 E204:E211 E223">
    <cfRule type="cellIs" dxfId="125" priority="13" operator="equal">
      <formula>0</formula>
    </cfRule>
  </conditionalFormatting>
  <conditionalFormatting sqref="M11:M12">
    <cfRule type="cellIs" dxfId="124" priority="10" stopIfTrue="1" operator="notEqual">
      <formula>L11</formula>
    </cfRule>
  </conditionalFormatting>
  <printOptions horizontalCentered="1"/>
  <pageMargins left="0.39370078740157483" right="0.39370078740157483" top="0.39370078740157483" bottom="0.39370078740157483" header="0.31496062992125984" footer="0.31496062992125984"/>
  <pageSetup paperSize="9" scale="5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4DB96D-0616-447A-A904-61C6D98DD891}">
  <sheetPr>
    <pageSetUpPr fitToPage="1"/>
  </sheetPr>
  <dimension ref="A2:AF37"/>
  <sheetViews>
    <sheetView showGridLines="0" tabSelected="1" zoomScale="70" zoomScaleNormal="70" workbookViewId="0">
      <selection activeCell="I37" sqref="I37"/>
    </sheetView>
  </sheetViews>
  <sheetFormatPr baseColWidth="10" defaultColWidth="11.44140625" defaultRowHeight="15.6"/>
  <cols>
    <col min="1" max="1" width="26.88671875" style="71" customWidth="1"/>
    <col min="2" max="2" width="12.109375" style="71" customWidth="1"/>
    <col min="3" max="3" width="14.109375" style="71" bestFit="1" customWidth="1"/>
    <col min="4" max="4" width="15.33203125" style="71" customWidth="1"/>
    <col min="5" max="7" width="14.109375" style="71" bestFit="1" customWidth="1"/>
    <col min="8" max="8" width="12.88671875" style="71" bestFit="1" customWidth="1"/>
    <col min="9" max="10" width="13.88671875" style="71" bestFit="1" customWidth="1"/>
    <col min="11" max="12" width="14.109375" style="71" bestFit="1" customWidth="1"/>
    <col min="13" max="13" width="15.88671875" style="94" bestFit="1" customWidth="1"/>
    <col min="14" max="15" width="15.88671875" style="71" bestFit="1" customWidth="1"/>
    <col min="16" max="16" width="9" style="71" customWidth="1"/>
    <col min="17" max="17" width="15.109375" style="71" customWidth="1"/>
    <col min="18" max="18" width="11.44140625" style="71"/>
    <col min="19" max="19" width="13.44140625" style="71" customWidth="1"/>
    <col min="20" max="20" width="13.6640625" style="71" customWidth="1"/>
    <col min="21" max="21" width="11.5546875" style="71" bestFit="1" customWidth="1"/>
    <col min="22" max="22" width="11.88671875" style="71" bestFit="1" customWidth="1"/>
    <col min="23" max="24" width="13.44140625" style="71" bestFit="1" customWidth="1"/>
    <col min="25" max="26" width="11.5546875" style="71" bestFit="1" customWidth="1"/>
    <col min="27" max="27" width="11.88671875" style="71" bestFit="1" customWidth="1"/>
    <col min="28" max="28" width="11.5546875" style="71" bestFit="1" customWidth="1"/>
    <col min="29" max="29" width="12.88671875" style="71" bestFit="1" customWidth="1"/>
    <col min="30" max="30" width="15.88671875" style="71" customWidth="1"/>
    <col min="31" max="16384" width="11.44140625" style="71"/>
  </cols>
  <sheetData>
    <row r="2" spans="1:32" ht="25.5" customHeight="1">
      <c r="A2" s="364" t="s">
        <v>367</v>
      </c>
      <c r="B2" s="364"/>
      <c r="C2" s="364"/>
      <c r="D2" s="364"/>
      <c r="E2" s="364"/>
      <c r="F2" s="364"/>
      <c r="G2" s="364"/>
      <c r="H2" s="364"/>
      <c r="I2" s="364"/>
      <c r="J2" s="364"/>
      <c r="K2" s="364"/>
      <c r="L2" s="364"/>
      <c r="M2" s="364"/>
      <c r="N2" s="70"/>
    </row>
    <row r="3" spans="1:32">
      <c r="A3" s="364" t="s">
        <v>105</v>
      </c>
      <c r="B3" s="364"/>
      <c r="C3" s="364"/>
      <c r="D3" s="364"/>
      <c r="E3" s="364"/>
      <c r="F3" s="364"/>
      <c r="G3" s="364"/>
      <c r="H3" s="364"/>
      <c r="I3" s="364"/>
      <c r="J3" s="364"/>
      <c r="K3" s="364"/>
      <c r="L3" s="364"/>
      <c r="M3" s="364"/>
      <c r="N3" s="70"/>
    </row>
    <row r="4" spans="1:32" s="73" customFormat="1" ht="21.75" customHeight="1">
      <c r="A4" s="364" t="s">
        <v>106</v>
      </c>
      <c r="B4" s="364"/>
      <c r="C4" s="364"/>
      <c r="D4" s="364"/>
      <c r="E4" s="364"/>
      <c r="F4" s="364"/>
      <c r="G4" s="364"/>
      <c r="H4" s="364"/>
      <c r="I4" s="364"/>
      <c r="J4" s="364"/>
      <c r="K4" s="364"/>
      <c r="L4" s="364"/>
      <c r="M4" s="364"/>
      <c r="N4" s="72"/>
    </row>
    <row r="5" spans="1:32">
      <c r="A5" s="364" t="s">
        <v>107</v>
      </c>
      <c r="B5" s="364"/>
      <c r="C5" s="364"/>
      <c r="D5" s="364"/>
      <c r="E5" s="364"/>
      <c r="F5" s="364"/>
      <c r="G5" s="364"/>
      <c r="H5" s="364"/>
      <c r="I5" s="364"/>
      <c r="J5" s="364"/>
      <c r="K5" s="364"/>
      <c r="L5" s="364"/>
      <c r="M5" s="364"/>
      <c r="N5" s="70"/>
    </row>
    <row r="6" spans="1:32" ht="21" customHeight="1" thickBot="1">
      <c r="A6" s="74" t="s">
        <v>108</v>
      </c>
      <c r="B6" s="74"/>
      <c r="C6" s="74">
        <v>1</v>
      </c>
      <c r="D6" s="74">
        <v>2</v>
      </c>
      <c r="E6" s="74">
        <v>3</v>
      </c>
      <c r="F6" s="74">
        <v>4</v>
      </c>
      <c r="G6" s="74">
        <v>5</v>
      </c>
      <c r="H6" s="74">
        <v>6</v>
      </c>
      <c r="I6" s="74">
        <v>7</v>
      </c>
      <c r="J6" s="74">
        <v>8</v>
      </c>
      <c r="K6" s="74">
        <v>9</v>
      </c>
      <c r="L6" s="74">
        <v>10</v>
      </c>
      <c r="M6" s="74" t="s">
        <v>20</v>
      </c>
      <c r="N6" s="75"/>
    </row>
    <row r="7" spans="1:32" ht="20.25" customHeight="1" thickTop="1" thickBot="1">
      <c r="A7" s="76" t="s">
        <v>109</v>
      </c>
      <c r="B7" s="77" t="s">
        <v>110</v>
      </c>
      <c r="C7" s="78">
        <f>'CUSPT AÑO 1 '!B54+'CUSPT AÑO 1 '!B57</f>
        <v>5434.1389027850437</v>
      </c>
      <c r="D7" s="78">
        <f>'CUSPT AÑO 1 '!C54+'CUSPT AÑO 1 '!C57</f>
        <v>8407.9663871699013</v>
      </c>
      <c r="E7" s="78">
        <f>'CUSPT AÑO 1 '!D54+'CUSPT AÑO 1 '!D57</f>
        <v>3371.5015414093805</v>
      </c>
      <c r="F7" s="78">
        <f>'CUSPT AÑO 1 '!E54+'CUSPT AÑO 1 '!E57</f>
        <v>10001.377259242072</v>
      </c>
      <c r="G7" s="78">
        <f>'CUSPT AÑO 1 '!F54+'CUSPT AÑO 1 '!F57</f>
        <v>5495.5772663787229</v>
      </c>
      <c r="H7" s="78">
        <f>'CUSPT AÑO 1 '!G54+'CUSPT AÑO 1 '!G57</f>
        <v>1544.1347955839319</v>
      </c>
      <c r="I7" s="78">
        <f>'CUSPT AÑO 1 '!H54+'CUSPT AÑO 1 '!H57</f>
        <v>818.64315503929743</v>
      </c>
      <c r="J7" s="78">
        <f>'CUSPT AÑO 1 '!I54+'CUSPT AÑO 1 '!I57</f>
        <v>1804.4874272921668</v>
      </c>
      <c r="K7" s="78">
        <f>'CUSPT AÑO 1 '!J54+'CUSPT AÑO 1 '!J57</f>
        <v>9335.2051657348329</v>
      </c>
      <c r="L7" s="78">
        <f>'CUSPT AÑO 1 '!K54+'CUSPT AÑO 1 '!K57</f>
        <v>6821.1839381624886</v>
      </c>
      <c r="M7" s="78">
        <f>SUM(C7:L7)</f>
        <v>53034.215838797834</v>
      </c>
      <c r="N7" s="75"/>
      <c r="O7" s="365" t="s">
        <v>365</v>
      </c>
      <c r="P7" s="365"/>
      <c r="Q7" s="365"/>
      <c r="R7" s="365"/>
    </row>
    <row r="8" spans="1:32" ht="18.75" customHeight="1" thickTop="1" thickBot="1">
      <c r="A8" s="76" t="s">
        <v>101</v>
      </c>
      <c r="B8" s="77" t="s">
        <v>110</v>
      </c>
      <c r="C8" s="78">
        <f>'CUSPT AÑO 2'!B54+'CUSPT AÑO 2'!B57</f>
        <v>6621.0869718072545</v>
      </c>
      <c r="D8" s="78">
        <f>'CUSPT AÑO 2'!C54+'CUSPT AÑO 2'!C57</f>
        <v>8637.3536138091622</v>
      </c>
      <c r="E8" s="78">
        <f>'CUSPT AÑO 2'!D54+'CUSPT AÑO 2'!D57</f>
        <v>3527.6454523381385</v>
      </c>
      <c r="F8" s="78">
        <f>'CUSPT AÑO 2'!E54+'CUSPT AÑO 2'!E57</f>
        <v>8848.3099649386313</v>
      </c>
      <c r="G8" s="78">
        <f>'CUSPT AÑO 2'!F54+'CUSPT AÑO 2'!F57</f>
        <v>5159.6107282886442</v>
      </c>
      <c r="H8" s="78">
        <f>'CUSPT AÑO 2'!G54+'CUSPT AÑO 2'!G57</f>
        <v>1628.7037956439065</v>
      </c>
      <c r="I8" s="78">
        <f>'CUSPT AÑO 2'!H54+'CUSPT AÑO 2'!H57</f>
        <v>788.68707469831804</v>
      </c>
      <c r="J8" s="78">
        <f>'CUSPT AÑO 2'!I54+'CUSPT AÑO 2'!I57</f>
        <v>1735.9124759199547</v>
      </c>
      <c r="K8" s="78">
        <f>'CUSPT AÑO 2'!J54+'CUSPT AÑO 2'!J57</f>
        <v>8179.0172363479578</v>
      </c>
      <c r="L8" s="78">
        <f>'CUSPT AÑO 2'!K54+'CUSPT AÑO 2'!K57</f>
        <v>5784.5497635903939</v>
      </c>
      <c r="M8" s="78">
        <f>SUM(C8:L8)</f>
        <v>50910.877077382363</v>
      </c>
      <c r="N8" s="75"/>
      <c r="O8" s="365"/>
      <c r="P8" s="365"/>
      <c r="Q8" s="365"/>
      <c r="R8" s="365"/>
    </row>
    <row r="9" spans="1:32" ht="18.75" customHeight="1" thickTop="1" thickBot="1">
      <c r="A9" s="76" t="s">
        <v>102</v>
      </c>
      <c r="B9" s="77" t="s">
        <v>110</v>
      </c>
      <c r="C9" s="78">
        <f>'CUSPT AÑO 3'!B54+'CUSPT AÑO 3'!B57</f>
        <v>5691.6254971986837</v>
      </c>
      <c r="D9" s="78">
        <f>'CUSPT AÑO 3'!C54+'CUSPT AÑO 3'!C57</f>
        <v>6780.2832791220662</v>
      </c>
      <c r="E9" s="78">
        <f>'CUSPT AÑO 3'!D54+'CUSPT AÑO 3'!D57</f>
        <v>2767.425226704886</v>
      </c>
      <c r="F9" s="78">
        <f>'CUSPT AÑO 3'!E54+'CUSPT AÑO 3'!E57</f>
        <v>8744.5589603633452</v>
      </c>
      <c r="G9" s="78">
        <f>'CUSPT AÑO 3'!F54+'CUSPT AÑO 3'!F57</f>
        <v>7744.632984699263</v>
      </c>
      <c r="H9" s="78">
        <f>'CUSPT AÑO 3'!G54+'CUSPT AÑO 3'!G57</f>
        <v>2215.8345230521795</v>
      </c>
      <c r="I9" s="78">
        <f>'CUSPT AÑO 3'!H54+'CUSPT AÑO 3'!H57</f>
        <v>797.59064032504671</v>
      </c>
      <c r="J9" s="78">
        <f>'CUSPT AÑO 3'!I54+'CUSPT AÑO 3'!I57</f>
        <v>1467.821032648935</v>
      </c>
      <c r="K9" s="78">
        <f>'CUSPT AÑO 3'!J54+'CUSPT AÑO 3'!J57</f>
        <v>8658.1592115947242</v>
      </c>
      <c r="L9" s="78">
        <f>'CUSPT AÑO 3'!K54+'CUSPT AÑO 3'!K57</f>
        <v>4604.0297180587249</v>
      </c>
      <c r="M9" s="78">
        <f>SUM(C9:L9)</f>
        <v>49471.961073767859</v>
      </c>
      <c r="N9" s="75"/>
      <c r="O9" s="365"/>
      <c r="P9" s="365"/>
      <c r="Q9" s="365"/>
      <c r="R9" s="365"/>
    </row>
    <row r="10" spans="1:32" s="73" customFormat="1" ht="16.8" thickTop="1" thickBot="1">
      <c r="A10" s="76" t="s">
        <v>103</v>
      </c>
      <c r="B10" s="77" t="s">
        <v>110</v>
      </c>
      <c r="C10" s="78">
        <f>'CUSPT AÑO 4  '!B54+'CUSPT AÑO 4  '!B57</f>
        <v>5986.0432593650276</v>
      </c>
      <c r="D10" s="78">
        <f>'CUSPT AÑO 4  '!C54+'CUSPT AÑO 4  '!C57</f>
        <v>6100.1768147804396</v>
      </c>
      <c r="E10" s="78">
        <f>'CUSPT AÑO 4  '!D54+'CUSPT AÑO 4  '!D57</f>
        <v>2142.1515044444195</v>
      </c>
      <c r="F10" s="78">
        <f>'CUSPT AÑO 4  '!E54+'CUSPT AÑO 4  '!E57</f>
        <v>8425.0567173493109</v>
      </c>
      <c r="G10" s="78">
        <f>'CUSPT AÑO 4  '!F54+'CUSPT AÑO 4  '!F57</f>
        <v>9019.902862212848</v>
      </c>
      <c r="H10" s="78">
        <f>'CUSPT AÑO 4  '!G54+'CUSPT AÑO 4  '!G57</f>
        <v>2619.1248302153203</v>
      </c>
      <c r="I10" s="78">
        <f>'CUSPT AÑO 4  '!H54+'CUSPT AÑO 4  '!H57</f>
        <v>653.32980645356747</v>
      </c>
      <c r="J10" s="78">
        <f>'CUSPT AÑO 4  '!I54+'CUSPT AÑO 4  '!I57</f>
        <v>1235.1224887885426</v>
      </c>
      <c r="K10" s="78">
        <f>'CUSPT AÑO 4  '!J54+'CUSPT AÑO 4  '!J57</f>
        <v>7193.353814259197</v>
      </c>
      <c r="L10" s="78">
        <f>'CUSPT AÑO 4  '!K54+'CUSPT AÑO 4  '!K57</f>
        <v>4681.2664867451676</v>
      </c>
      <c r="M10" s="78">
        <f>SUM(C10:L10)</f>
        <v>48055.528584613843</v>
      </c>
      <c r="N10" s="72"/>
      <c r="O10" s="365"/>
      <c r="P10" s="365"/>
      <c r="Q10" s="365"/>
      <c r="R10" s="365"/>
    </row>
    <row r="11" spans="1:32" s="73" customFormat="1" ht="16.2" thickTop="1">
      <c r="A11" s="79"/>
      <c r="B11" s="80"/>
      <c r="C11" s="81"/>
      <c r="D11" s="81"/>
      <c r="E11" s="81"/>
      <c r="F11" s="81"/>
      <c r="G11" s="81"/>
      <c r="H11" s="81"/>
      <c r="I11" s="81"/>
      <c r="J11" s="81"/>
      <c r="K11" s="81"/>
      <c r="L11" s="81"/>
      <c r="M11" s="82"/>
      <c r="N11" s="72"/>
      <c r="O11" s="365"/>
      <c r="P11" s="365"/>
      <c r="Q11" s="365"/>
      <c r="R11" s="365"/>
    </row>
    <row r="12" spans="1:32">
      <c r="A12" s="364" t="s">
        <v>111</v>
      </c>
      <c r="B12" s="364"/>
      <c r="C12" s="364"/>
      <c r="D12" s="364"/>
      <c r="E12" s="364"/>
      <c r="F12" s="364"/>
      <c r="G12" s="364"/>
      <c r="H12" s="364"/>
      <c r="I12" s="364"/>
      <c r="J12" s="364"/>
      <c r="K12" s="364"/>
      <c r="L12" s="364"/>
      <c r="M12" s="364"/>
      <c r="N12" s="70"/>
      <c r="O12" s="365"/>
      <c r="P12" s="365"/>
      <c r="Q12" s="365"/>
      <c r="R12" s="365"/>
    </row>
    <row r="13" spans="1:32" ht="16.2" thickBot="1">
      <c r="A13" s="74" t="s">
        <v>108</v>
      </c>
      <c r="B13" s="74"/>
      <c r="C13" s="74">
        <v>1</v>
      </c>
      <c r="D13" s="74">
        <v>2</v>
      </c>
      <c r="E13" s="74">
        <v>3</v>
      </c>
      <c r="F13" s="74">
        <v>4</v>
      </c>
      <c r="G13" s="74">
        <v>5</v>
      </c>
      <c r="H13" s="74">
        <v>6</v>
      </c>
      <c r="I13" s="74">
        <v>7</v>
      </c>
      <c r="J13" s="74">
        <v>8</v>
      </c>
      <c r="K13" s="74">
        <v>9</v>
      </c>
      <c r="L13" s="74">
        <v>10</v>
      </c>
      <c r="M13" s="74" t="s">
        <v>20</v>
      </c>
      <c r="N13" s="75"/>
      <c r="O13" s="365"/>
      <c r="P13" s="365"/>
      <c r="Q13" s="365"/>
      <c r="R13" s="365"/>
    </row>
    <row r="14" spans="1:32" ht="16.8" thickTop="1" thickBot="1">
      <c r="A14" s="76" t="s">
        <v>109</v>
      </c>
      <c r="B14" s="77" t="s">
        <v>112</v>
      </c>
      <c r="C14" s="78">
        <f>'Datos fijos AÑO 1'!D17</f>
        <v>545.61</v>
      </c>
      <c r="D14" s="78">
        <f>'Datos fijos AÑO 1'!D63</f>
        <v>616.73000000000013</v>
      </c>
      <c r="E14" s="78">
        <f>'Datos fijos AÑO 1'!D84</f>
        <v>178.73000000000005</v>
      </c>
      <c r="F14" s="78">
        <f>'Datos fijos AÑO 1'!D95</f>
        <v>594.92099999999982</v>
      </c>
      <c r="G14" s="78">
        <f>'Datos fijos AÑO 1'!D142</f>
        <v>798.6099999999999</v>
      </c>
      <c r="H14" s="78">
        <f>'Datos fijos AÑO 1'!D204</f>
        <v>231.41000000000003</v>
      </c>
      <c r="I14" s="78">
        <f>'Datos fijos AÑO 1'!D225</f>
        <v>154.33000000000001</v>
      </c>
      <c r="J14" s="78">
        <f>'Datos fijos AÑO 1'!D232</f>
        <v>260</v>
      </c>
      <c r="K14" s="78">
        <f>'Datos fijos AÑO 1'!D235</f>
        <v>1565.45</v>
      </c>
      <c r="L14" s="78">
        <f>'Datos fijos AÑO 1'!D247</f>
        <v>252.17</v>
      </c>
      <c r="M14" s="78">
        <f>SUM(C14:L14)</f>
        <v>5197.9609999999993</v>
      </c>
      <c r="N14" s="75"/>
    </row>
    <row r="15" spans="1:32" ht="16.8" thickTop="1" thickBot="1">
      <c r="A15" s="76" t="s">
        <v>101</v>
      </c>
      <c r="B15" s="77" t="s">
        <v>112</v>
      </c>
      <c r="C15" s="78">
        <f>'Datos fijos AÑO 2 '!D17</f>
        <v>792.31</v>
      </c>
      <c r="D15" s="78">
        <f>'Datos fijos AÑO 2 '!D63</f>
        <v>730.88000000000011</v>
      </c>
      <c r="E15" s="78">
        <f>'Datos fijos AÑO 2 '!D84</f>
        <v>178.73000000000005</v>
      </c>
      <c r="F15" s="78">
        <f>'Datos fijos AÑO 2 '!D95</f>
        <v>654.92099999999982</v>
      </c>
      <c r="G15" s="78">
        <f>'Datos fijos AÑO 2 '!D142</f>
        <v>992.00999999999988</v>
      </c>
      <c r="H15" s="78">
        <f>'Datos fijos AÑO 2 '!D204</f>
        <v>321.21000000000004</v>
      </c>
      <c r="I15" s="78">
        <f>'Datos fijos AÑO 2 '!D225</f>
        <v>154.33000000000001</v>
      </c>
      <c r="J15" s="78">
        <f>'Datos fijos AÑO 2 '!D232</f>
        <v>260</v>
      </c>
      <c r="K15" s="78">
        <f>'Datos fijos AÑO 2 '!D235</f>
        <v>1565.45</v>
      </c>
      <c r="L15" s="78">
        <f>'Datos fijos AÑO 2 '!D247</f>
        <v>252.17</v>
      </c>
      <c r="M15" s="78">
        <f>SUM(C15:L15)</f>
        <v>5902.0109999999995</v>
      </c>
      <c r="N15" s="75"/>
      <c r="AF15" s="83"/>
    </row>
    <row r="16" spans="1:32" ht="18.75" customHeight="1" thickTop="1" thickBot="1">
      <c r="A16" s="76" t="s">
        <v>102</v>
      </c>
      <c r="B16" s="77" t="s">
        <v>112</v>
      </c>
      <c r="C16" s="78">
        <f>'Datos fijos AÑO 3'!D17</f>
        <v>792.31</v>
      </c>
      <c r="D16" s="78">
        <f>'Datos fijos AÑO 3'!D63</f>
        <v>730.88000000000011</v>
      </c>
      <c r="E16" s="78">
        <f>'Datos fijos AÑO 3'!D84</f>
        <v>178.73000000000005</v>
      </c>
      <c r="F16" s="78">
        <f>'Datos fijos AÑO 3'!D95</f>
        <v>654.92099999999982</v>
      </c>
      <c r="G16" s="78">
        <f>'Datos fijos AÑO 3'!D142</f>
        <v>1521.0099999999998</v>
      </c>
      <c r="H16" s="78">
        <f>'Datos fijos AÑO 3'!D204</f>
        <v>321.21000000000004</v>
      </c>
      <c r="I16" s="78">
        <f>'Datos fijos AÑO 3'!D225</f>
        <v>154.33000000000001</v>
      </c>
      <c r="J16" s="78">
        <f>'Datos fijos AÑO 3'!D232</f>
        <v>260</v>
      </c>
      <c r="K16" s="78">
        <f>'Datos fijos AÑO 3'!D235</f>
        <v>1565.45</v>
      </c>
      <c r="L16" s="78">
        <f>'Datos fijos AÑO 3'!D247</f>
        <v>252.17</v>
      </c>
      <c r="M16" s="78">
        <f>SUM(C16:L16)</f>
        <v>6431.0109999999995</v>
      </c>
      <c r="N16" s="75"/>
    </row>
    <row r="17" spans="1:22" ht="20.25" customHeight="1" thickTop="1" thickBot="1">
      <c r="A17" s="76" t="s">
        <v>103</v>
      </c>
      <c r="B17" s="77" t="s">
        <v>112</v>
      </c>
      <c r="C17" s="78">
        <f>'Datos fijos AÑO 4'!D17</f>
        <v>812.31</v>
      </c>
      <c r="D17" s="78">
        <f>'Datos fijos AÑO 4'!D63</f>
        <v>730.88000000000011</v>
      </c>
      <c r="E17" s="78">
        <f>'Datos fijos AÑO 4'!D84</f>
        <v>178.73000000000005</v>
      </c>
      <c r="F17" s="78">
        <f>'Datos fijos AÑO 4'!D95</f>
        <v>654.92099999999982</v>
      </c>
      <c r="G17" s="78">
        <f>'Datos fijos AÑO 4'!D142</f>
        <v>1646.0099999999998</v>
      </c>
      <c r="H17" s="78">
        <f>'Datos fijos AÑO 4'!D203</f>
        <v>321.21000000000004</v>
      </c>
      <c r="I17" s="78">
        <f>'Datos fijos AÑO 4'!D224</f>
        <v>154.33000000000001</v>
      </c>
      <c r="J17" s="78">
        <f>'Datos fijos AÑO 4'!D231</f>
        <v>260</v>
      </c>
      <c r="K17" s="78">
        <f>'Datos fijos AÑO 4'!D234</f>
        <v>1565.45</v>
      </c>
      <c r="L17" s="78">
        <f>'Datos fijos AÑO 4'!D246</f>
        <v>252.17</v>
      </c>
      <c r="M17" s="78">
        <f>SUM(C17:L17)</f>
        <v>6576.0109999999995</v>
      </c>
    </row>
    <row r="18" spans="1:22" s="73" customFormat="1" ht="16.2" thickTop="1">
      <c r="A18" s="71"/>
      <c r="B18" s="71"/>
      <c r="C18" s="71"/>
      <c r="D18" s="71"/>
      <c r="E18" s="71"/>
      <c r="F18" s="71"/>
      <c r="G18" s="71"/>
      <c r="H18" s="71"/>
      <c r="I18" s="71"/>
      <c r="J18" s="71"/>
      <c r="K18" s="71"/>
      <c r="L18" s="71"/>
      <c r="M18" s="84"/>
      <c r="N18" s="72"/>
    </row>
    <row r="19" spans="1:22" s="73" customFormat="1" ht="17.25" customHeight="1">
      <c r="A19" s="364" t="s">
        <v>113</v>
      </c>
      <c r="B19" s="364"/>
      <c r="C19" s="364"/>
      <c r="D19" s="364"/>
      <c r="E19" s="364"/>
      <c r="F19" s="364"/>
      <c r="G19" s="364"/>
      <c r="H19" s="364"/>
      <c r="I19" s="364"/>
      <c r="J19" s="364"/>
      <c r="K19" s="364"/>
      <c r="L19" s="364"/>
      <c r="M19" s="85"/>
      <c r="N19" s="72"/>
    </row>
    <row r="20" spans="1:22">
      <c r="A20" s="364" t="s">
        <v>114</v>
      </c>
      <c r="B20" s="364"/>
      <c r="C20" s="364"/>
      <c r="D20" s="364"/>
      <c r="E20" s="364"/>
      <c r="F20" s="364"/>
      <c r="G20" s="364"/>
      <c r="H20" s="364"/>
      <c r="I20" s="364"/>
      <c r="J20" s="364"/>
      <c r="K20" s="364"/>
      <c r="L20" s="364"/>
      <c r="M20" s="86"/>
      <c r="N20" s="70"/>
    </row>
    <row r="21" spans="1:22" ht="22.8" customHeight="1" thickBot="1">
      <c r="A21" s="87" t="s">
        <v>108</v>
      </c>
      <c r="B21" s="368"/>
      <c r="C21" s="368">
        <v>1</v>
      </c>
      <c r="D21" s="368">
        <v>2</v>
      </c>
      <c r="E21" s="368">
        <v>3</v>
      </c>
      <c r="F21" s="368">
        <v>4</v>
      </c>
      <c r="G21" s="368">
        <v>5</v>
      </c>
      <c r="H21" s="368">
        <v>6</v>
      </c>
      <c r="I21" s="368">
        <v>7</v>
      </c>
      <c r="J21" s="368">
        <v>8</v>
      </c>
      <c r="K21" s="368">
        <v>9</v>
      </c>
      <c r="L21" s="369">
        <v>10</v>
      </c>
      <c r="M21" s="86"/>
      <c r="N21" s="88"/>
      <c r="O21" s="86"/>
      <c r="P21" s="86"/>
      <c r="Q21" s="86"/>
      <c r="R21" s="86"/>
      <c r="S21" s="86"/>
      <c r="T21" s="86"/>
      <c r="U21" s="86"/>
      <c r="V21" s="86"/>
    </row>
    <row r="22" spans="1:22" ht="19.2" thickTop="1" thickBot="1">
      <c r="A22" s="370" t="s">
        <v>109</v>
      </c>
      <c r="B22" s="371" t="s">
        <v>110</v>
      </c>
      <c r="C22" s="89">
        <f t="shared" ref="C22:L22" si="0">IF(C14&gt;0,C7/(C14*6),0)</f>
        <v>1.6599582433071987</v>
      </c>
      <c r="D22" s="89">
        <f t="shared" si="0"/>
        <v>2.2721899878309522</v>
      </c>
      <c r="E22" s="89">
        <f t="shared" si="0"/>
        <v>3.1439429506419176</v>
      </c>
      <c r="F22" s="89">
        <f t="shared" si="0"/>
        <v>2.801878249168678</v>
      </c>
      <c r="G22" s="89">
        <f t="shared" si="0"/>
        <v>1.146904677372502</v>
      </c>
      <c r="H22" s="89">
        <f t="shared" si="0"/>
        <v>1.1121204756233034</v>
      </c>
      <c r="I22" s="89">
        <f t="shared" si="0"/>
        <v>0.88408297699658456</v>
      </c>
      <c r="J22" s="89">
        <f t="shared" si="0"/>
        <v>1.1567227098026711</v>
      </c>
      <c r="K22" s="89">
        <f t="shared" si="0"/>
        <v>0.99387877455202789</v>
      </c>
      <c r="L22" s="89">
        <f t="shared" si="0"/>
        <v>4.5083237089810373</v>
      </c>
      <c r="M22" s="86"/>
      <c r="N22" s="88"/>
      <c r="O22" s="86"/>
      <c r="P22" s="86"/>
      <c r="Q22" s="86"/>
      <c r="R22" s="86"/>
      <c r="S22" s="86"/>
      <c r="T22" s="86"/>
      <c r="U22" s="86"/>
      <c r="V22" s="86"/>
    </row>
    <row r="23" spans="1:22" ht="19.2" thickTop="1" thickBot="1">
      <c r="A23" s="370" t="s">
        <v>101</v>
      </c>
      <c r="B23" s="371" t="s">
        <v>110</v>
      </c>
      <c r="C23" s="89">
        <f t="shared" ref="C23:L25" si="1">IF(C15&gt;0,C8/(C15*12),0)</f>
        <v>0.69639061434363392</v>
      </c>
      <c r="D23" s="89">
        <f t="shared" si="1"/>
        <v>0.98481210023181653</v>
      </c>
      <c r="E23" s="89">
        <f t="shared" si="1"/>
        <v>1.6447739851256726</v>
      </c>
      <c r="F23" s="89">
        <f t="shared" si="1"/>
        <v>1.1258749738439997</v>
      </c>
      <c r="G23" s="89">
        <f t="shared" si="1"/>
        <v>0.43343067175806732</v>
      </c>
      <c r="H23" s="89">
        <f t="shared" si="1"/>
        <v>0.42254386944260408</v>
      </c>
      <c r="I23" s="89">
        <f t="shared" si="1"/>
        <v>0.4258661497539461</v>
      </c>
      <c r="J23" s="89">
        <f t="shared" si="1"/>
        <v>0.5563822038204983</v>
      </c>
      <c r="K23" s="89">
        <f t="shared" si="1"/>
        <v>0.43539223207107419</v>
      </c>
      <c r="L23" s="89">
        <f t="shared" si="1"/>
        <v>1.9115906477080256</v>
      </c>
      <c r="M23" s="90"/>
      <c r="N23" s="88"/>
      <c r="O23" s="86"/>
      <c r="P23" s="86"/>
      <c r="Q23" s="86"/>
      <c r="R23" s="86"/>
      <c r="S23" s="86"/>
      <c r="T23" s="86"/>
      <c r="U23" s="86"/>
      <c r="V23" s="86"/>
    </row>
    <row r="24" spans="1:22" ht="19.2" thickTop="1" thickBot="1">
      <c r="A24" s="370" t="s">
        <v>102</v>
      </c>
      <c r="B24" s="371" t="s">
        <v>110</v>
      </c>
      <c r="C24" s="89">
        <f t="shared" si="1"/>
        <v>0.59863200611699585</v>
      </c>
      <c r="D24" s="89">
        <f t="shared" si="1"/>
        <v>0.77307301690223484</v>
      </c>
      <c r="E24" s="89">
        <f t="shared" si="1"/>
        <v>1.2903193022552104</v>
      </c>
      <c r="F24" s="89">
        <f t="shared" si="1"/>
        <v>1.1126735082505304</v>
      </c>
      <c r="G24" s="89">
        <f t="shared" si="1"/>
        <v>0.42431416102344632</v>
      </c>
      <c r="H24" s="89">
        <f t="shared" si="1"/>
        <v>0.57486652632550339</v>
      </c>
      <c r="I24" s="89">
        <f t="shared" si="1"/>
        <v>0.43067379442593073</v>
      </c>
      <c r="J24" s="89">
        <f t="shared" si="1"/>
        <v>0.47045545918235093</v>
      </c>
      <c r="K24" s="89">
        <f t="shared" si="1"/>
        <v>0.46089831526583003</v>
      </c>
      <c r="L24" s="89">
        <f t="shared" si="1"/>
        <v>1.5214702112525693</v>
      </c>
      <c r="M24" s="91"/>
      <c r="N24" s="70"/>
    </row>
    <row r="25" spans="1:22" ht="19.2" thickTop="1" thickBot="1">
      <c r="A25" s="370" t="s">
        <v>103</v>
      </c>
      <c r="B25" s="371" t="s">
        <v>110</v>
      </c>
      <c r="C25" s="89">
        <f t="shared" si="1"/>
        <v>0.61409675897184446</v>
      </c>
      <c r="D25" s="89">
        <f t="shared" si="1"/>
        <v>0.69552877065779595</v>
      </c>
      <c r="E25" s="89">
        <f t="shared" si="1"/>
        <v>0.99878378207557905</v>
      </c>
      <c r="F25" s="89">
        <f t="shared" si="1"/>
        <v>1.0720194646058219</v>
      </c>
      <c r="G25" s="89">
        <f t="shared" si="1"/>
        <v>0.45665492424169407</v>
      </c>
      <c r="H25" s="89">
        <f t="shared" si="1"/>
        <v>0.67949441959448131</v>
      </c>
      <c r="I25" s="89">
        <f t="shared" si="1"/>
        <v>0.3527774932793189</v>
      </c>
      <c r="J25" s="89">
        <f t="shared" si="1"/>
        <v>0.39587259256043034</v>
      </c>
      <c r="K25" s="89">
        <f t="shared" si="1"/>
        <v>0.38292257893146786</v>
      </c>
      <c r="L25" s="89">
        <f>IF(L17&gt;0,L10/(L17*12),0)</f>
        <v>1.5469942521398157</v>
      </c>
      <c r="M25" s="92"/>
    </row>
    <row r="26" spans="1:22" ht="16.2" thickTop="1">
      <c r="A26" s="366" t="s">
        <v>366</v>
      </c>
      <c r="B26" s="366"/>
      <c r="C26" s="366"/>
      <c r="D26" s="366"/>
      <c r="E26" s="366"/>
      <c r="F26" s="366"/>
      <c r="G26" s="366"/>
      <c r="H26" s="366"/>
      <c r="I26" s="366"/>
      <c r="J26" s="366"/>
      <c r="K26" s="366"/>
      <c r="L26" s="366"/>
      <c r="M26" s="93"/>
    </row>
    <row r="31" spans="1:22">
      <c r="D31" s="372"/>
    </row>
    <row r="32" spans="1:22">
      <c r="D32" s="373"/>
    </row>
    <row r="33" spans="4:4">
      <c r="D33" s="373"/>
    </row>
    <row r="34" spans="4:4">
      <c r="D34" s="373"/>
    </row>
    <row r="35" spans="4:4">
      <c r="D35" s="373"/>
    </row>
    <row r="36" spans="4:4">
      <c r="D36" s="373"/>
    </row>
    <row r="37" spans="4:4">
      <c r="D37" s="373"/>
    </row>
  </sheetData>
  <mergeCells count="9">
    <mergeCell ref="A19:L19"/>
    <mergeCell ref="A20:L20"/>
    <mergeCell ref="A26:L26"/>
    <mergeCell ref="A2:M2"/>
    <mergeCell ref="A3:M3"/>
    <mergeCell ref="A4:M4"/>
    <mergeCell ref="A5:M5"/>
    <mergeCell ref="O7:R13"/>
    <mergeCell ref="A12:M1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5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5A6E3A-299E-4AB5-9F2A-E82CE9CE1172}">
  <sheetPr>
    <pageSetUpPr fitToPage="1"/>
  </sheetPr>
  <dimension ref="A1:N72"/>
  <sheetViews>
    <sheetView topLeftCell="A43" zoomScaleNormal="100" workbookViewId="0">
      <selection activeCell="M74" sqref="M74"/>
    </sheetView>
  </sheetViews>
  <sheetFormatPr baseColWidth="10" defaultColWidth="10.6640625" defaultRowHeight="15" customHeight="1"/>
  <cols>
    <col min="1" max="1" width="12.6640625" style="97" customWidth="1"/>
    <col min="2" max="256" width="10.6640625" style="97"/>
    <col min="257" max="257" width="12.6640625" style="97" customWidth="1"/>
    <col min="258" max="512" width="10.6640625" style="97"/>
    <col min="513" max="513" width="12.6640625" style="97" customWidth="1"/>
    <col min="514" max="768" width="10.6640625" style="97"/>
    <col min="769" max="769" width="12.6640625" style="97" customWidth="1"/>
    <col min="770" max="1024" width="10.6640625" style="97"/>
    <col min="1025" max="1025" width="12.6640625" style="97" customWidth="1"/>
    <col min="1026" max="1280" width="10.6640625" style="97"/>
    <col min="1281" max="1281" width="12.6640625" style="97" customWidth="1"/>
    <col min="1282" max="1536" width="10.6640625" style="97"/>
    <col min="1537" max="1537" width="12.6640625" style="97" customWidth="1"/>
    <col min="1538" max="1792" width="10.6640625" style="97"/>
    <col min="1793" max="1793" width="12.6640625" style="97" customWidth="1"/>
    <col min="1794" max="2048" width="10.6640625" style="97"/>
    <col min="2049" max="2049" width="12.6640625" style="97" customWidth="1"/>
    <col min="2050" max="2304" width="10.6640625" style="97"/>
    <col min="2305" max="2305" width="12.6640625" style="97" customWidth="1"/>
    <col min="2306" max="2560" width="10.6640625" style="97"/>
    <col min="2561" max="2561" width="12.6640625" style="97" customWidth="1"/>
    <col min="2562" max="2816" width="10.6640625" style="97"/>
    <col min="2817" max="2817" width="12.6640625" style="97" customWidth="1"/>
    <col min="2818" max="3072" width="10.6640625" style="97"/>
    <col min="3073" max="3073" width="12.6640625" style="97" customWidth="1"/>
    <col min="3074" max="3328" width="10.6640625" style="97"/>
    <col min="3329" max="3329" width="12.6640625" style="97" customWidth="1"/>
    <col min="3330" max="3584" width="10.6640625" style="97"/>
    <col min="3585" max="3585" width="12.6640625" style="97" customWidth="1"/>
    <col min="3586" max="3840" width="10.6640625" style="97"/>
    <col min="3841" max="3841" width="12.6640625" style="97" customWidth="1"/>
    <col min="3842" max="4096" width="10.6640625" style="97"/>
    <col min="4097" max="4097" width="12.6640625" style="97" customWidth="1"/>
    <col min="4098" max="4352" width="10.6640625" style="97"/>
    <col min="4353" max="4353" width="12.6640625" style="97" customWidth="1"/>
    <col min="4354" max="4608" width="10.6640625" style="97"/>
    <col min="4609" max="4609" width="12.6640625" style="97" customWidth="1"/>
    <col min="4610" max="4864" width="10.6640625" style="97"/>
    <col min="4865" max="4865" width="12.6640625" style="97" customWidth="1"/>
    <col min="4866" max="5120" width="10.6640625" style="97"/>
    <col min="5121" max="5121" width="12.6640625" style="97" customWidth="1"/>
    <col min="5122" max="5376" width="10.6640625" style="97"/>
    <col min="5377" max="5377" width="12.6640625" style="97" customWidth="1"/>
    <col min="5378" max="5632" width="10.6640625" style="97"/>
    <col min="5633" max="5633" width="12.6640625" style="97" customWidth="1"/>
    <col min="5634" max="5888" width="10.6640625" style="97"/>
    <col min="5889" max="5889" width="12.6640625" style="97" customWidth="1"/>
    <col min="5890" max="6144" width="10.6640625" style="97"/>
    <col min="6145" max="6145" width="12.6640625" style="97" customWidth="1"/>
    <col min="6146" max="6400" width="10.6640625" style="97"/>
    <col min="6401" max="6401" width="12.6640625" style="97" customWidth="1"/>
    <col min="6402" max="6656" width="10.6640625" style="97"/>
    <col min="6657" max="6657" width="12.6640625" style="97" customWidth="1"/>
    <col min="6658" max="6912" width="10.6640625" style="97"/>
    <col min="6913" max="6913" width="12.6640625" style="97" customWidth="1"/>
    <col min="6914" max="7168" width="10.6640625" style="97"/>
    <col min="7169" max="7169" width="12.6640625" style="97" customWidth="1"/>
    <col min="7170" max="7424" width="10.6640625" style="97"/>
    <col min="7425" max="7425" width="12.6640625" style="97" customWidth="1"/>
    <col min="7426" max="7680" width="10.6640625" style="97"/>
    <col min="7681" max="7681" width="12.6640625" style="97" customWidth="1"/>
    <col min="7682" max="7936" width="10.6640625" style="97"/>
    <col min="7937" max="7937" width="12.6640625" style="97" customWidth="1"/>
    <col min="7938" max="8192" width="10.6640625" style="97"/>
    <col min="8193" max="8193" width="12.6640625" style="97" customWidth="1"/>
    <col min="8194" max="8448" width="10.6640625" style="97"/>
    <col min="8449" max="8449" width="12.6640625" style="97" customWidth="1"/>
    <col min="8450" max="8704" width="10.6640625" style="97"/>
    <col min="8705" max="8705" width="12.6640625" style="97" customWidth="1"/>
    <col min="8706" max="8960" width="10.6640625" style="97"/>
    <col min="8961" max="8961" width="12.6640625" style="97" customWidth="1"/>
    <col min="8962" max="9216" width="10.6640625" style="97"/>
    <col min="9217" max="9217" width="12.6640625" style="97" customWidth="1"/>
    <col min="9218" max="9472" width="10.6640625" style="97"/>
    <col min="9473" max="9473" width="12.6640625" style="97" customWidth="1"/>
    <col min="9474" max="9728" width="10.6640625" style="97"/>
    <col min="9729" max="9729" width="12.6640625" style="97" customWidth="1"/>
    <col min="9730" max="9984" width="10.6640625" style="97"/>
    <col min="9985" max="9985" width="12.6640625" style="97" customWidth="1"/>
    <col min="9986" max="10240" width="10.6640625" style="97"/>
    <col min="10241" max="10241" width="12.6640625" style="97" customWidth="1"/>
    <col min="10242" max="10496" width="10.6640625" style="97"/>
    <col min="10497" max="10497" width="12.6640625" style="97" customWidth="1"/>
    <col min="10498" max="10752" width="10.6640625" style="97"/>
    <col min="10753" max="10753" width="12.6640625" style="97" customWidth="1"/>
    <col min="10754" max="11008" width="10.6640625" style="97"/>
    <col min="11009" max="11009" width="12.6640625" style="97" customWidth="1"/>
    <col min="11010" max="11264" width="10.6640625" style="97"/>
    <col min="11265" max="11265" width="12.6640625" style="97" customWidth="1"/>
    <col min="11266" max="11520" width="10.6640625" style="97"/>
    <col min="11521" max="11521" width="12.6640625" style="97" customWidth="1"/>
    <col min="11522" max="11776" width="10.6640625" style="97"/>
    <col min="11777" max="11777" width="12.6640625" style="97" customWidth="1"/>
    <col min="11778" max="12032" width="10.6640625" style="97"/>
    <col min="12033" max="12033" width="12.6640625" style="97" customWidth="1"/>
    <col min="12034" max="12288" width="10.6640625" style="97"/>
    <col min="12289" max="12289" width="12.6640625" style="97" customWidth="1"/>
    <col min="12290" max="12544" width="10.6640625" style="97"/>
    <col min="12545" max="12545" width="12.6640625" style="97" customWidth="1"/>
    <col min="12546" max="12800" width="10.6640625" style="97"/>
    <col min="12801" max="12801" width="12.6640625" style="97" customWidth="1"/>
    <col min="12802" max="13056" width="10.6640625" style="97"/>
    <col min="13057" max="13057" width="12.6640625" style="97" customWidth="1"/>
    <col min="13058" max="13312" width="10.6640625" style="97"/>
    <col min="13313" max="13313" width="12.6640625" style="97" customWidth="1"/>
    <col min="13314" max="13568" width="10.6640625" style="97"/>
    <col min="13569" max="13569" width="12.6640625" style="97" customWidth="1"/>
    <col min="13570" max="13824" width="10.6640625" style="97"/>
    <col min="13825" max="13825" width="12.6640625" style="97" customWidth="1"/>
    <col min="13826" max="14080" width="10.6640625" style="97"/>
    <col min="14081" max="14081" width="12.6640625" style="97" customWidth="1"/>
    <col min="14082" max="14336" width="10.6640625" style="97"/>
    <col min="14337" max="14337" width="12.6640625" style="97" customWidth="1"/>
    <col min="14338" max="14592" width="10.6640625" style="97"/>
    <col min="14593" max="14593" width="12.6640625" style="97" customWidth="1"/>
    <col min="14594" max="14848" width="10.6640625" style="97"/>
    <col min="14849" max="14849" width="12.6640625" style="97" customWidth="1"/>
    <col min="14850" max="15104" width="10.6640625" style="97"/>
    <col min="15105" max="15105" width="12.6640625" style="97" customWidth="1"/>
    <col min="15106" max="15360" width="10.6640625" style="97"/>
    <col min="15361" max="15361" width="12.6640625" style="97" customWidth="1"/>
    <col min="15362" max="15616" width="10.6640625" style="97"/>
    <col min="15617" max="15617" width="12.6640625" style="97" customWidth="1"/>
    <col min="15618" max="15872" width="10.6640625" style="97"/>
    <col min="15873" max="15873" width="12.6640625" style="97" customWidth="1"/>
    <col min="15874" max="16128" width="10.6640625" style="97"/>
    <col min="16129" max="16129" width="12.6640625" style="97" customWidth="1"/>
    <col min="16130" max="16384" width="10.6640625" style="97"/>
  </cols>
  <sheetData>
    <row r="1" spans="1:14" ht="22.2" customHeight="1">
      <c r="A1" s="95" t="s">
        <v>0</v>
      </c>
      <c r="B1" s="96">
        <f>[17]Input!B1</f>
        <v>1</v>
      </c>
      <c r="C1" s="96" t="str">
        <f>[17]Input!C1</f>
        <v>2025-2026</v>
      </c>
    </row>
    <row r="2" spans="1:14" ht="15" customHeight="1">
      <c r="A2" s="98"/>
      <c r="B2" s="99" t="s">
        <v>2</v>
      </c>
      <c r="C2" s="100"/>
      <c r="D2" s="99" t="s">
        <v>3</v>
      </c>
      <c r="E2" s="101"/>
      <c r="F2" s="102" t="s">
        <v>115</v>
      </c>
    </row>
    <row r="3" spans="1:14" ht="15" customHeight="1">
      <c r="A3" s="103" t="s">
        <v>5</v>
      </c>
      <c r="B3" s="104">
        <f>[17]Input!B3</f>
        <v>117853.8129751063</v>
      </c>
      <c r="C3" s="105">
        <f>C4+C5</f>
        <v>1</v>
      </c>
      <c r="D3" s="106">
        <f>[17]Input!D3</f>
        <v>3218.7200000000007</v>
      </c>
      <c r="E3" s="105">
        <f>E4+E5</f>
        <v>0.99999999999999989</v>
      </c>
      <c r="F3" s="107" t="s">
        <v>6</v>
      </c>
      <c r="H3" s="108" t="s">
        <v>9</v>
      </c>
      <c r="I3" s="109">
        <v>0.7</v>
      </c>
      <c r="J3" s="110">
        <f>I3*B3</f>
        <v>82497.669082574401</v>
      </c>
      <c r="K3" s="111" t="s">
        <v>8</v>
      </c>
      <c r="L3" s="112">
        <f>L54+L57</f>
        <v>53034.215838797827</v>
      </c>
      <c r="M3" s="113">
        <f>L3/(L4+L3)</f>
        <v>0.44999999999999996</v>
      </c>
    </row>
    <row r="4" spans="1:14" ht="15" customHeight="1">
      <c r="A4" s="114" t="s">
        <v>10</v>
      </c>
      <c r="B4" s="115">
        <f>[17]Input!B4</f>
        <v>100794.4728008081</v>
      </c>
      <c r="C4" s="116">
        <f>B4/B3</f>
        <v>0.85524999366883825</v>
      </c>
      <c r="D4" s="117">
        <f>[17]Input!D4</f>
        <v>2943.9600000000005</v>
      </c>
      <c r="E4" s="116">
        <f>D4/D3</f>
        <v>0.91463687428543017</v>
      </c>
      <c r="F4" s="118">
        <f>[17]Input!F4</f>
        <v>34.237718175793177</v>
      </c>
      <c r="H4" s="108" t="s">
        <v>11</v>
      </c>
      <c r="I4" s="109">
        <v>0.3</v>
      </c>
      <c r="J4" s="110">
        <f>I4*B3</f>
        <v>35356.143892531887</v>
      </c>
      <c r="K4" s="111" t="s">
        <v>8</v>
      </c>
      <c r="L4" s="112">
        <f>L55+L58</f>
        <v>64819.597136308468</v>
      </c>
      <c r="M4" s="113">
        <f>L4/(L3+L4)</f>
        <v>0.55000000000000004</v>
      </c>
    </row>
    <row r="5" spans="1:14" ht="15" customHeight="1">
      <c r="A5" s="119" t="s">
        <v>12</v>
      </c>
      <c r="B5" s="120">
        <f>[17]Input!B5</f>
        <v>17059.340174298188</v>
      </c>
      <c r="C5" s="121">
        <f>B5/B3</f>
        <v>0.14475000633116175</v>
      </c>
      <c r="D5" s="122">
        <f>[17]Input!D5</f>
        <v>274.76000000000005</v>
      </c>
      <c r="E5" s="121">
        <f>D5/D3</f>
        <v>8.5363125714569763E-2</v>
      </c>
      <c r="F5" s="123">
        <f>[17]Input!F5</f>
        <v>62.08815029224845</v>
      </c>
    </row>
    <row r="6" spans="1:14" ht="15" customHeight="1">
      <c r="B6" s="124"/>
    </row>
    <row r="7" spans="1:14" ht="15" customHeight="1">
      <c r="A7" s="95" t="s">
        <v>116</v>
      </c>
      <c r="B7" s="104">
        <f>[17]Input!B7</f>
        <v>0</v>
      </c>
      <c r="C7" s="105">
        <f>[17]Input!C7</f>
        <v>1</v>
      </c>
      <c r="D7" s="106">
        <f>[17]Input!D7</f>
        <v>0</v>
      </c>
      <c r="E7" s="105">
        <f>[17]Input!E7</f>
        <v>1</v>
      </c>
      <c r="F7" s="125">
        <f>[17]Input!F7</f>
        <v>0</v>
      </c>
      <c r="G7" s="97" t="str">
        <f>[17]Input!G7</f>
        <v>(230 kV)</v>
      </c>
    </row>
    <row r="9" spans="1:14" ht="15" customHeight="1">
      <c r="A9" s="126" t="s">
        <v>117</v>
      </c>
      <c r="B9" s="127" t="s">
        <v>118</v>
      </c>
      <c r="C9" s="128" t="s">
        <v>119</v>
      </c>
      <c r="D9" s="128" t="s">
        <v>120</v>
      </c>
      <c r="E9" s="128" t="s">
        <v>121</v>
      </c>
      <c r="F9" s="128" t="s">
        <v>122</v>
      </c>
      <c r="G9" s="128" t="s">
        <v>123</v>
      </c>
      <c r="H9" s="129" t="s">
        <v>124</v>
      </c>
      <c r="I9" s="129" t="s">
        <v>125</v>
      </c>
      <c r="J9" s="129" t="s">
        <v>126</v>
      </c>
      <c r="K9" s="129" t="s">
        <v>127</v>
      </c>
      <c r="L9" s="129" t="s">
        <v>128</v>
      </c>
      <c r="M9" s="130" t="s">
        <v>129</v>
      </c>
    </row>
    <row r="10" spans="1:14" ht="15" customHeight="1">
      <c r="A10" s="131"/>
      <c r="B10" s="132" t="s">
        <v>130</v>
      </c>
      <c r="C10" s="133" t="s">
        <v>131</v>
      </c>
      <c r="D10" s="133" t="s">
        <v>132</v>
      </c>
      <c r="E10" s="133" t="s">
        <v>133</v>
      </c>
      <c r="F10" s="133" t="s">
        <v>134</v>
      </c>
      <c r="G10" s="133" t="s">
        <v>135</v>
      </c>
      <c r="H10" s="133" t="s">
        <v>136</v>
      </c>
      <c r="I10" s="133" t="s">
        <v>137</v>
      </c>
      <c r="J10" s="133" t="s">
        <v>138</v>
      </c>
      <c r="K10" s="133" t="s">
        <v>139</v>
      </c>
      <c r="L10" s="133" t="s">
        <v>140</v>
      </c>
      <c r="M10" s="134" t="s">
        <v>141</v>
      </c>
    </row>
    <row r="11" spans="1:14" ht="15" customHeight="1">
      <c r="A11" s="126" t="s">
        <v>142</v>
      </c>
      <c r="B11" s="127" t="s">
        <v>143</v>
      </c>
      <c r="C11" s="128" t="s">
        <v>143</v>
      </c>
      <c r="D11" s="128" t="s">
        <v>143</v>
      </c>
      <c r="E11" s="128" t="s">
        <v>143</v>
      </c>
      <c r="F11" s="128" t="s">
        <v>143</v>
      </c>
      <c r="G11" s="128" t="s">
        <v>143</v>
      </c>
      <c r="H11" s="129" t="s">
        <v>144</v>
      </c>
      <c r="I11" s="129" t="s">
        <v>144</v>
      </c>
      <c r="J11" s="129" t="s">
        <v>144</v>
      </c>
      <c r="K11" s="129" t="s">
        <v>144</v>
      </c>
      <c r="L11" s="129" t="s">
        <v>144</v>
      </c>
      <c r="M11" s="130" t="s">
        <v>143</v>
      </c>
    </row>
    <row r="12" spans="1:14" ht="15" customHeight="1">
      <c r="A12" s="135">
        <f>SUM(B12:M12)</f>
        <v>8760</v>
      </c>
      <c r="B12" s="136">
        <f>24*31</f>
        <v>744</v>
      </c>
      <c r="C12" s="137">
        <f>24*31</f>
        <v>744</v>
      </c>
      <c r="D12" s="137">
        <f>24*30</f>
        <v>720</v>
      </c>
      <c r="E12" s="137">
        <f>24*31</f>
        <v>744</v>
      </c>
      <c r="F12" s="137">
        <f>24*30</f>
        <v>720</v>
      </c>
      <c r="G12" s="137">
        <f>24*31</f>
        <v>744</v>
      </c>
      <c r="H12" s="137">
        <f>24*31</f>
        <v>744</v>
      </c>
      <c r="I12" s="137">
        <f>24*28</f>
        <v>672</v>
      </c>
      <c r="J12" s="137">
        <f>24*31</f>
        <v>744</v>
      </c>
      <c r="K12" s="137">
        <f>24*30</f>
        <v>720</v>
      </c>
      <c r="L12" s="137">
        <f>24*31</f>
        <v>744</v>
      </c>
      <c r="M12" s="138">
        <f>24*30</f>
        <v>720</v>
      </c>
      <c r="N12" s="139">
        <f>SUM(B12:M12)</f>
        <v>8760</v>
      </c>
    </row>
    <row r="13" spans="1:14" ht="15" customHeight="1">
      <c r="A13" s="140" t="s">
        <v>145</v>
      </c>
      <c r="B13" s="114">
        <f>[18]M01!$H$13</f>
        <v>744</v>
      </c>
      <c r="C13" s="97">
        <f>[18]M02!$H$13</f>
        <v>744</v>
      </c>
      <c r="D13" s="97">
        <f>[18]M03!$H$13</f>
        <v>720</v>
      </c>
      <c r="E13" s="97">
        <f>[18]M04!$H$13</f>
        <v>744</v>
      </c>
      <c r="F13" s="97">
        <f>[18]M05!$H$13</f>
        <v>720</v>
      </c>
      <c r="G13" s="97">
        <f>[18]M06!$H$13</f>
        <v>744</v>
      </c>
      <c r="H13" s="97">
        <f>[18]M07!$H$13</f>
        <v>744</v>
      </c>
      <c r="I13" s="97">
        <f>[18]M08!$H$13</f>
        <v>672</v>
      </c>
      <c r="J13" s="97">
        <f>[18]M09!$H$13</f>
        <v>744</v>
      </c>
      <c r="K13" s="97">
        <f>[18]M10!$H$13</f>
        <v>720</v>
      </c>
      <c r="L13" s="97">
        <f>[18]M11!$H$13</f>
        <v>744</v>
      </c>
      <c r="M13" s="141">
        <f>[18]M12!$H$13</f>
        <v>720</v>
      </c>
      <c r="N13" s="367">
        <f>SUM(B13:M13)</f>
        <v>8760</v>
      </c>
    </row>
    <row r="14" spans="1:14" ht="15" customHeight="1">
      <c r="A14" s="131" t="s">
        <v>146</v>
      </c>
      <c r="B14" s="142">
        <f>[18]M01!$I$13</f>
        <v>8.4931506849315067E-2</v>
      </c>
      <c r="C14" s="143">
        <f>[18]M02!$I$13</f>
        <v>8.493150684931508E-2</v>
      </c>
      <c r="D14" s="143">
        <f>[18]M03!$I$13</f>
        <v>8.2191780821917804E-2</v>
      </c>
      <c r="E14" s="143">
        <f>[18]M04!$I$13</f>
        <v>8.4931506849315067E-2</v>
      </c>
      <c r="F14" s="143">
        <f>[18]M05!$I$13</f>
        <v>8.2191780821917818E-2</v>
      </c>
      <c r="G14" s="143">
        <f>[18]M06!$I$13</f>
        <v>8.4931506849315094E-2</v>
      </c>
      <c r="H14" s="143">
        <f>[18]M07!$I$13</f>
        <v>8.4931506849315053E-2</v>
      </c>
      <c r="I14" s="143">
        <f>[18]M08!$I$13</f>
        <v>7.6712328767123306E-2</v>
      </c>
      <c r="J14" s="143">
        <f>[18]M09!$I$13</f>
        <v>8.493150684931508E-2</v>
      </c>
      <c r="K14" s="143">
        <f>[18]M10!$I$13</f>
        <v>8.2191780821917804E-2</v>
      </c>
      <c r="L14" s="143">
        <f>[18]M11!$I$13</f>
        <v>8.4931506849315053E-2</v>
      </c>
      <c r="M14" s="144">
        <f>[18]M12!$I$13</f>
        <v>8.2191780821917804E-2</v>
      </c>
      <c r="N14" s="145">
        <f>SUM(B14:M14)</f>
        <v>1</v>
      </c>
    </row>
    <row r="16" spans="1:14" ht="20.25" customHeight="1">
      <c r="A16" s="146" t="s">
        <v>25</v>
      </c>
      <c r="B16" s="147">
        <v>1</v>
      </c>
      <c r="C16" s="147">
        <v>2</v>
      </c>
      <c r="D16" s="147">
        <v>3</v>
      </c>
      <c r="E16" s="147">
        <v>4</v>
      </c>
      <c r="F16" s="147">
        <v>5</v>
      </c>
      <c r="G16" s="147">
        <v>6</v>
      </c>
      <c r="H16" s="147">
        <v>7</v>
      </c>
      <c r="I16" s="147">
        <v>8</v>
      </c>
      <c r="J16" s="147">
        <v>9</v>
      </c>
      <c r="K16" s="148">
        <v>10</v>
      </c>
      <c r="L16" s="149" t="s">
        <v>20</v>
      </c>
    </row>
    <row r="17" spans="1:14" ht="25.2" customHeight="1">
      <c r="A17" s="150" t="s">
        <v>147</v>
      </c>
      <c r="B17" s="151" t="s">
        <v>148</v>
      </c>
      <c r="C17" s="151" t="s">
        <v>149</v>
      </c>
      <c r="D17" s="151" t="s">
        <v>150</v>
      </c>
      <c r="E17" s="151" t="s">
        <v>151</v>
      </c>
      <c r="F17" s="151" t="s">
        <v>152</v>
      </c>
      <c r="G17" s="151" t="s">
        <v>153</v>
      </c>
      <c r="H17" s="151" t="s">
        <v>154</v>
      </c>
      <c r="I17" s="151" t="s">
        <v>155</v>
      </c>
      <c r="J17" s="151" t="s">
        <v>156</v>
      </c>
      <c r="K17" s="152" t="s">
        <v>157</v>
      </c>
      <c r="L17" s="153"/>
    </row>
    <row r="18" spans="1:14" ht="20.25" customHeight="1">
      <c r="A18" s="154" t="s">
        <v>158</v>
      </c>
      <c r="L18" s="155"/>
    </row>
    <row r="19" spans="1:14" ht="15" customHeight="1">
      <c r="A19" s="126" t="s">
        <v>159</v>
      </c>
      <c r="B19" s="156">
        <f>[17]Input!B11</f>
        <v>545.61</v>
      </c>
      <c r="C19" s="157">
        <f>[17]Input!C11</f>
        <v>616.73000000000013</v>
      </c>
      <c r="D19" s="157">
        <f>[17]Input!D11</f>
        <v>178.73000000000005</v>
      </c>
      <c r="E19" s="157">
        <f>[17]Input!E11</f>
        <v>594.92099999999982</v>
      </c>
      <c r="F19" s="157">
        <f>[17]Input!F11</f>
        <v>798.6099999999999</v>
      </c>
      <c r="G19" s="157">
        <f>[17]Input!G11</f>
        <v>231.41000000000003</v>
      </c>
      <c r="H19" s="157">
        <f>[17]Input!H11</f>
        <v>154.33000000000001</v>
      </c>
      <c r="I19" s="157">
        <f>[17]Input!I11</f>
        <v>260</v>
      </c>
      <c r="J19" s="157">
        <f>[17]Input!J11</f>
        <v>1565.45</v>
      </c>
      <c r="K19" s="158">
        <f>[17]Input!K11</f>
        <v>252.17</v>
      </c>
      <c r="L19" s="159">
        <f>SUM(B19:K19)</f>
        <v>5197.9609999999993</v>
      </c>
    </row>
    <row r="20" spans="1:14" ht="15" customHeight="1">
      <c r="A20" s="131" t="s">
        <v>22</v>
      </c>
      <c r="B20" s="160">
        <f>[17]Input!B12</f>
        <v>22.390507703014958</v>
      </c>
      <c r="C20" s="161">
        <f>[17]Input!C12</f>
        <v>0</v>
      </c>
      <c r="D20" s="161">
        <f>[17]Input!D12</f>
        <v>4.2893724068778262E-2</v>
      </c>
      <c r="E20" s="161">
        <f>[17]Input!E12</f>
        <v>145.58380196503975</v>
      </c>
      <c r="F20" s="161">
        <f>[17]Input!F12</f>
        <v>328.63219262793052</v>
      </c>
      <c r="G20" s="161">
        <f>[17]Input!G12</f>
        <v>202.86898067054378</v>
      </c>
      <c r="H20" s="161">
        <f>[17]Input!H12</f>
        <v>1146.3041065888617</v>
      </c>
      <c r="I20" s="161">
        <f>[17]Input!I12</f>
        <v>2.4</v>
      </c>
      <c r="J20" s="161">
        <f>[17]Input!J12</f>
        <v>123.54162415471392</v>
      </c>
      <c r="K20" s="162">
        <f>[17]Input!K12</f>
        <v>55.695402220951536</v>
      </c>
      <c r="L20" s="163">
        <f>SUM(B20:K20)</f>
        <v>2027.459509655125</v>
      </c>
    </row>
    <row r="21" spans="1:14" ht="20.25" customHeight="1">
      <c r="A21" s="154" t="s">
        <v>160</v>
      </c>
      <c r="L21" s="155"/>
    </row>
    <row r="22" spans="1:14" ht="15" customHeight="1">
      <c r="A22" s="126" t="s">
        <v>161</v>
      </c>
      <c r="B22" s="156">
        <f>SUM([18]M01!B21*$B$14,[18]M02!B21*$C$14,[18]M03!B21*$D$14,[18]M04!B21*$E$14,[18]M05!B21*$F$14,[18]M06!B21*$G$14,[18]M07!B21*$H$14,[18]M08!B21*$I$14,[18]M09!B21*$J$14,[18]M10!B21*$K$14,[18]M11!B21*$L$14,[18]M12!B21*$M$14)/$N$14</f>
        <v>148.09930365296808</v>
      </c>
      <c r="C22" s="157">
        <f>SUM([18]M01!C21*$B$14,[18]M02!C21*$C$14,[18]M03!C21*$D$14,[18]M04!C21*$E$14,[18]M05!C21*$F$14,[18]M06!C21*$G$14,[18]M07!C21*$H$14,[18]M08!C21*$I$14,[18]M09!C21*$J$14,[18]M10!C21*$K$14,[18]M11!C21*$L$14,[18]M12!C21*$M$14)/$N$14</f>
        <v>234.43294520547943</v>
      </c>
      <c r="D22" s="157">
        <f>SUM([18]M01!D21*$B$14,[18]M02!D21*$C$14,[18]M03!D21*$D$14,[18]M04!D21*$E$14,[18]M05!D21*$F$14,[18]M06!D21*$G$14,[18]M07!D21*$H$14,[18]M08!D21*$I$14,[18]M09!D21*$J$14,[18]M10!D21*$K$14,[18]M11!D21*$L$14,[18]M12!D21*$M$14)/$N$14</f>
        <v>105.2191381278539</v>
      </c>
      <c r="E22" s="157">
        <f>SUM([18]M01!E21*$B$14,[18]M02!E21*$C$14,[18]M03!E21*$D$14,[18]M04!E21*$E$14,[18]M05!E21*$F$14,[18]M06!E21*$G$14,[18]M07!E21*$H$14,[18]M08!E21*$I$14,[18]M09!E21*$J$14,[18]M10!E21*$K$14,[18]M11!E21*$L$14,[18]M12!E21*$M$14)/$N$14</f>
        <v>341.65974885844753</v>
      </c>
      <c r="F22" s="157">
        <f>SUM([18]M01!F21*$B$14,[18]M02!F21*$C$14,[18]M03!F21*$D$14,[18]M04!F21*$E$14,[18]M05!F21*$F$14,[18]M06!F21*$G$14,[18]M07!F21*$H$14,[18]M08!F21*$I$14,[18]M09!F21*$J$14,[18]M10!F21*$K$14,[18]M11!F21*$L$14,[18]M12!F21*$M$14)/$N$14</f>
        <v>121.01852168949773</v>
      </c>
      <c r="G22" s="157">
        <f>SUM([18]M01!G21*$B$14,[18]M02!G21*$C$14,[18]M03!G21*$D$14,[18]M04!G21*$E$14,[18]M05!G21*$F$14,[18]M06!G21*$G$14,[18]M07!G21*$H$14,[18]M08!G21*$I$14,[18]M09!G21*$J$14,[18]M10!G21*$K$14,[18]M11!G21*$L$14,[18]M12!G21*$M$14)/$N$14</f>
        <v>43.394406392694073</v>
      </c>
      <c r="H22" s="157">
        <f>SUM([18]M01!H21*$B$14,[18]M02!H21*$C$14,[18]M03!H21*$D$14,[18]M04!H21*$E$14,[18]M05!H21*$F$14,[18]M06!H21*$G$14,[18]M07!H21*$H$14,[18]M08!H21*$I$14,[18]M09!H21*$J$14,[18]M10!H21*$K$14,[18]M11!H21*$L$14,[18]M12!H21*$M$14)/$N$14</f>
        <v>6.0776255707762572E-2</v>
      </c>
      <c r="I22" s="157">
        <f>SUM([18]M01!I21*$B$14,[18]M02!I21*$C$14,[18]M03!I21*$D$14,[18]M04!I21*$E$14,[18]M05!I21*$F$14,[18]M06!I21*$G$14,[18]M07!I21*$H$14,[18]M08!I21*$I$14,[18]M09!I21*$J$14,[18]M10!I21*$K$14,[18]M11!I21*$L$14,[18]M12!I21*$M$14)/$N$14</f>
        <v>61.538356164383558</v>
      </c>
      <c r="J22" s="157">
        <f>SUM([18]M01!J21*$B$14,[18]M02!J21*$C$14,[18]M03!J21*$D$14,[18]M04!J21*$E$14,[18]M05!J21*$F$14,[18]M06!J21*$G$14,[18]M07!J21*$H$14,[18]M08!J21*$I$14,[18]M09!J21*$J$14,[18]M10!J21*$K$14,[18]M11!J21*$L$14,[18]M12!J21*$M$14)/$N$14</f>
        <v>199.0118493150685</v>
      </c>
      <c r="K22" s="158">
        <f>SUM([18]M01!K21*$B$14,[18]M02!K21*$C$14,[18]M03!K21*$D$14,[18]M04!K21*$E$14,[18]M05!K21*$F$14,[18]M06!K21*$G$14,[18]M07!K21*$H$14,[18]M08!K21*$I$14,[18]M09!K21*$J$14,[18]M10!K21*$K$14,[18]M11!K21*$L$14,[18]M12!K21*$M$14)/$N$14</f>
        <v>167.60873858447491</v>
      </c>
      <c r="L22" s="159">
        <f>SUM(B22:K22)</f>
        <v>1422.0437842465753</v>
      </c>
    </row>
    <row r="23" spans="1:14" ht="15" customHeight="1">
      <c r="A23" s="131" t="s">
        <v>162</v>
      </c>
      <c r="B23" s="160">
        <f>SUM([18]M01!B22*$B$14,[18]M02!B22*$C$14,[18]M03!B22*$D$14,[18]M04!B22*$E$14,[18]M05!B22*$F$14,[18]M06!B22*$G$14,[18]M07!B22*$H$14,[18]M08!B22*$I$14,[18]M09!B22*$J$14,[18]M10!B22*$K$14,[18]M11!B22*$L$14,[18]M12!B22*$M$14)/$N$14</f>
        <v>56.519155251141555</v>
      </c>
      <c r="C23" s="161">
        <f>SUM([18]M01!C22*$B$14,[18]M02!C22*$C$14,[18]M03!C22*$D$14,[18]M04!C22*$E$14,[18]M05!C22*$F$14,[18]M06!C22*$G$14,[18]M07!C22*$H$14,[18]M08!C22*$I$14,[18]M09!C22*$J$14,[18]M10!C22*$K$14,[18]M11!C22*$L$14,[18]M12!C22*$M$14)/$N$14</f>
        <v>0</v>
      </c>
      <c r="D23" s="161">
        <f>SUM([18]M01!D22*$B$14,[18]M02!D22*$C$14,[18]M03!D22*$D$14,[18]M04!D22*$E$14,[18]M05!D22*$F$14,[18]M06!D22*$G$14,[18]M07!D22*$H$14,[18]M08!D22*$I$14,[18]M09!D22*$J$14,[18]M10!D22*$K$14,[18]M11!D22*$L$14,[18]M12!D22*$M$14)/$N$14</f>
        <v>0</v>
      </c>
      <c r="E23" s="161">
        <f>SUM([18]M01!E22*$B$14,[18]M02!E22*$C$14,[18]M03!E22*$D$14,[18]M04!E22*$E$14,[18]M05!E22*$F$14,[18]M06!E22*$G$14,[18]M07!E22*$H$14,[18]M08!E22*$I$14,[18]M09!E22*$J$14,[18]M10!E22*$K$14,[18]M11!E22*$L$14,[18]M12!E22*$M$14)/$N$14</f>
        <v>72.807802511415517</v>
      </c>
      <c r="F23" s="161">
        <f>SUM([18]M01!F22*$B$14,[18]M02!F22*$C$14,[18]M03!F22*$D$14,[18]M04!F22*$E$14,[18]M05!F22*$F$14,[18]M06!F22*$G$14,[18]M07!F22*$H$14,[18]M08!F22*$I$14,[18]M09!F22*$J$14,[18]M10!F22*$K$14,[18]M11!F22*$L$14,[18]M12!F22*$M$14)/$N$14</f>
        <v>109.09173515981735</v>
      </c>
      <c r="G23" s="161">
        <f>SUM([18]M01!G22*$B$14,[18]M02!G22*$C$14,[18]M03!G22*$D$14,[18]M04!G22*$E$14,[18]M05!G22*$F$14,[18]M06!G22*$G$14,[18]M07!G22*$H$14,[18]M08!G22*$I$14,[18]M09!G22*$J$14,[18]M10!G22*$K$14,[18]M11!G22*$L$14,[18]M12!G22*$M$14)/$N$14</f>
        <v>136.90374999999997</v>
      </c>
      <c r="H23" s="161">
        <f>SUM([18]M01!H22*$B$14,[18]M02!H22*$C$14,[18]M03!H22*$D$14,[18]M04!H22*$E$14,[18]M05!H22*$F$14,[18]M06!H22*$G$14,[18]M07!H22*$H$14,[18]M08!H22*$I$14,[18]M09!H22*$J$14,[18]M10!H22*$K$14,[18]M11!H22*$L$14,[18]M12!H22*$M$14)/$N$14</f>
        <v>932.48581621004564</v>
      </c>
      <c r="I23" s="161">
        <f>SUM([18]M01!I22*$B$14,[18]M02!I22*$C$14,[18]M03!I22*$D$14,[18]M04!I22*$E$14,[18]M05!I22*$F$14,[18]M06!I22*$G$14,[18]M07!I22*$H$14,[18]M08!I22*$I$14,[18]M09!I22*$J$14,[18]M10!I22*$K$14,[18]M11!I22*$L$14,[18]M12!I22*$M$14)/$N$14</f>
        <v>0</v>
      </c>
      <c r="J23" s="161">
        <f>SUM([18]M01!J22*$B$14,[18]M02!J22*$C$14,[18]M03!J22*$D$14,[18]M04!J22*$E$14,[18]M05!J22*$F$14,[18]M06!J22*$G$14,[18]M07!J22*$H$14,[18]M08!J22*$I$14,[18]M09!J22*$J$14,[18]M10!J22*$K$14,[18]M11!J22*$L$14,[18]M12!J22*$M$14)/$N$14</f>
        <v>103.41083904109588</v>
      </c>
      <c r="K23" s="162">
        <f>SUM([18]M01!K22*$B$14,[18]M02!K22*$C$14,[18]M03!K22*$D$14,[18]M04!K22*$E$14,[18]M05!K22*$F$14,[18]M06!K22*$G$14,[18]M07!K22*$H$14,[18]M08!K22*$I$14,[18]M09!K22*$J$14,[18]M10!K22*$K$14,[18]M11!K22*$L$14,[18]M12!K22*$M$14)/$N$14</f>
        <v>10.942351598173515</v>
      </c>
      <c r="L23" s="163">
        <f>SUM(B23:K23)</f>
        <v>1422.1614497716894</v>
      </c>
    </row>
    <row r="24" spans="1:14" ht="20.25" customHeight="1">
      <c r="A24" s="154" t="s">
        <v>163</v>
      </c>
      <c r="B24" s="38"/>
      <c r="C24" s="38"/>
      <c r="D24" s="38"/>
      <c r="E24" s="38"/>
      <c r="F24" s="38"/>
      <c r="G24" s="38"/>
      <c r="H24" s="38"/>
      <c r="I24" s="38"/>
      <c r="J24" s="38"/>
      <c r="K24" s="38"/>
      <c r="L24" s="155"/>
    </row>
    <row r="25" spans="1:14" ht="15" customHeight="1">
      <c r="A25" s="126" t="s">
        <v>164</v>
      </c>
      <c r="B25" s="156">
        <f>SUM([18]M01!B24,[18]M02!B24,[18]M03!B24,[18]M04!B24,[18]M05!B24,[18]M06!B24,[18]M07!B24,[18]M08!B24,[18]M09!B24,[18]M10!B24,[18]M11!B24,[18]M12!B24)</f>
        <v>1297.3499000000002</v>
      </c>
      <c r="C25" s="157">
        <f>SUM([18]M01!C24,[18]M02!C24,[18]M03!C24,[18]M04!C24,[18]M05!C24,[18]M06!C24,[18]M07!C24,[18]M08!C24,[18]M09!C24,[18]M10!C24,[18]M11!C24,[18]M12!C24)</f>
        <v>2053.6325999999999</v>
      </c>
      <c r="D25" s="157">
        <f>SUM([18]M01!D24,[18]M02!D24,[18]M03!D24,[18]M04!D24,[18]M05!D24,[18]M06!D24,[18]M07!D24,[18]M08!D24,[18]M09!D24,[18]M10!D24,[18]M11!D24,[18]M12!D24)</f>
        <v>921.71965000000012</v>
      </c>
      <c r="E25" s="157">
        <f>SUM([18]M01!E24,[18]M02!E24,[18]M03!E24,[18]M04!E24,[18]M05!E24,[18]M06!E24,[18]M07!E24,[18]M08!E24,[18]M09!E24,[18]M10!E24,[18]M11!E24,[18]M12!E24)</f>
        <v>2992.9394000000002</v>
      </c>
      <c r="F25" s="157">
        <f>SUM([18]M01!F24,[18]M02!F24,[18]M03!F24,[18]M04!F24,[18]M05!F24,[18]M06!F24,[18]M07!F24,[18]M08!F24,[18]M09!F24,[18]M10!F24,[18]M11!F24,[18]M12!F24)</f>
        <v>1060.1222500000001</v>
      </c>
      <c r="G25" s="157">
        <f>SUM([18]M01!G24,[18]M02!G24,[18]M03!G24,[18]M04!G24,[18]M05!G24,[18]M06!G24,[18]M07!G24,[18]M08!G24,[18]M09!G24,[18]M10!G24,[18]M11!G24,[18]M12!G24)</f>
        <v>380.13500000000005</v>
      </c>
      <c r="H25" s="157">
        <f>SUM([18]M01!H24,[18]M02!H24,[18]M03!H24,[18]M04!H24,[18]M05!H24,[18]M06!H24,[18]M07!H24,[18]M08!H24,[18]M09!H24,[18]M10!H24,[18]M11!H24,[18]M12!H24)</f>
        <v>0.5324000000000001</v>
      </c>
      <c r="I25" s="157">
        <f>SUM([18]M01!I24,[18]M02!I24,[18]M03!I24,[18]M04!I24,[18]M05!I24,[18]M06!I24,[18]M07!I24,[18]M08!I24,[18]M09!I24,[18]M10!I24,[18]M11!I24,[18]M12!I24)</f>
        <v>539.07600000000002</v>
      </c>
      <c r="J25" s="157">
        <f>SUM([18]M01!J24,[18]M02!J24,[18]M03!J24,[18]M04!J24,[18]M05!J24,[18]M06!J24,[18]M07!J24,[18]M08!J24,[18]M09!J24,[18]M10!J24,[18]M11!J24,[18]M12!J24)</f>
        <v>1743.3438000000001</v>
      </c>
      <c r="K25" s="158">
        <f>SUM([18]M01!K24,[18]M02!K24,[18]M03!K24,[18]M04!K24,[18]M05!K24,[18]M06!K24,[18]M07!K24,[18]M08!K24,[18]M09!K24,[18]M10!K24,[18]M11!K24,[18]M12!K24)</f>
        <v>1468.2525500000002</v>
      </c>
      <c r="L25" s="159">
        <f>SUM(B25:K25)</f>
        <v>12457.10355</v>
      </c>
    </row>
    <row r="26" spans="1:14" ht="15" customHeight="1">
      <c r="A26" s="131" t="s">
        <v>165</v>
      </c>
      <c r="B26" s="160">
        <f>SUM([18]M01!B25,[18]M02!B25,[18]M03!B25,[18]M04!B25,[18]M05!B25,[18]M06!B25,[18]M07!B25,[18]M08!B25,[18]M09!B25,[18]M10!B25,[18]M11!B25,[18]M12!B25)</f>
        <v>495.10779999999994</v>
      </c>
      <c r="C26" s="161">
        <f>SUM([18]M01!C25,[18]M02!C25,[18]M03!C25,[18]M04!C25,[18]M05!C25,[18]M06!C25,[18]M07!C25,[18]M08!C25,[18]M09!C25,[18]M10!C25,[18]M11!C25,[18]M12!C25)</f>
        <v>0</v>
      </c>
      <c r="D26" s="161">
        <f>SUM([18]M01!D25,[18]M02!D25,[18]M03!D25,[18]M04!D25,[18]M05!D25,[18]M06!D25,[18]M07!D25,[18]M08!D25,[18]M09!D25,[18]M10!D25,[18]M11!D25,[18]M12!D25)</f>
        <v>0</v>
      </c>
      <c r="E26" s="161">
        <f>SUM([18]M01!E25,[18]M02!E25,[18]M03!E25,[18]M04!E25,[18]M05!E25,[18]M06!E25,[18]M07!E25,[18]M08!E25,[18]M09!E25,[18]M10!E25,[18]M11!E25,[18]M12!E25)</f>
        <v>637.79634999999996</v>
      </c>
      <c r="F26" s="161">
        <f>SUM([18]M01!F25,[18]M02!F25,[18]M03!F25,[18]M04!F25,[18]M05!F25,[18]M06!F25,[18]M07!F25,[18]M08!F25,[18]M09!F25,[18]M10!F25,[18]M11!F25,[18]M12!F25)</f>
        <v>955.64360000000011</v>
      </c>
      <c r="G26" s="161">
        <f>SUM([18]M01!G25,[18]M02!G25,[18]M03!G25,[18]M04!G25,[18]M05!G25,[18]M06!G25,[18]M07!G25,[18]M08!G25,[18]M09!G25,[18]M10!G25,[18]M11!G25,[18]M12!G25)</f>
        <v>1199.2768500000002</v>
      </c>
      <c r="H26" s="161">
        <f>SUM([18]M01!H25,[18]M02!H25,[18]M03!H25,[18]M04!H25,[18]M05!H25,[18]M06!H25,[18]M07!H25,[18]M08!H25,[18]M09!H25,[18]M10!H25,[18]M11!H25,[18]M12!H25)</f>
        <v>8168.5757499999991</v>
      </c>
      <c r="I26" s="161">
        <f>SUM([18]M01!I25,[18]M02!I25,[18]M03!I25,[18]M04!I25,[18]M05!I25,[18]M06!I25,[18]M07!I25,[18]M08!I25,[18]M09!I25,[18]M10!I25,[18]M11!I25,[18]M12!I25)</f>
        <v>0</v>
      </c>
      <c r="J26" s="161">
        <f>SUM([18]M01!J25,[18]M02!J25,[18]M03!J25,[18]M04!J25,[18]M05!J25,[18]M06!J25,[18]M07!J25,[18]M08!J25,[18]M09!J25,[18]M10!J25,[18]M11!J25,[18]M12!J25)</f>
        <v>905.87895000000003</v>
      </c>
      <c r="K26" s="162">
        <f>SUM([18]M01!K25,[18]M02!K25,[18]M03!K25,[18]M04!K25,[18]M05!K25,[18]M06!K25,[18]M07!K25,[18]M08!K25,[18]M09!K25,[18]M10!K25,[18]M11!K25,[18]M12!K25)</f>
        <v>95.855000000000004</v>
      </c>
      <c r="L26" s="163">
        <f>SUM(B26:K26)</f>
        <v>12458.1343</v>
      </c>
    </row>
    <row r="27" spans="1:14" ht="9.9" customHeight="1">
      <c r="B27" s="164"/>
      <c r="C27" s="164"/>
      <c r="D27" s="164"/>
      <c r="E27" s="164"/>
      <c r="F27" s="164"/>
      <c r="G27" s="164"/>
      <c r="H27" s="164"/>
      <c r="I27" s="164"/>
      <c r="J27" s="164"/>
      <c r="K27" s="164"/>
      <c r="L27" s="165"/>
      <c r="N27" s="166"/>
    </row>
    <row r="28" spans="1:14" ht="20.25" customHeight="1">
      <c r="A28" s="154" t="s">
        <v>166</v>
      </c>
      <c r="L28" s="155"/>
      <c r="N28" s="166"/>
    </row>
    <row r="29" spans="1:14" ht="15" customHeight="1">
      <c r="A29" s="167" t="s">
        <v>110</v>
      </c>
      <c r="B29" s="168">
        <f>SUM([18]M01!B27*$B$14,[18]M02!B27*$C$14,[18]M03!B27*$D$14,[18]M04!B27*$E$14,[18]M05!B27*$F$14,[18]M06!B27*$G$14,[18]M07!B27*$H$14,[18]M08!B27*$I$14,[18]M09!B27*$J$14,[18]M10!B27*$K$14,[18]M11!B27*$L$14,[18]M12!B27*$M$14)/$N$14</f>
        <v>2.2620450495267606</v>
      </c>
      <c r="C29" s="169">
        <f>SUM([18]M01!C27*$B$14,[18]M02!C27*$C$14,[18]M03!C27*$D$14,[18]M04!C27*$E$14,[18]M05!C27*$F$14,[18]M06!C27*$G$14,[18]M07!C27*$H$14,[18]M08!C27*$I$14,[18]M09!C27*$J$14,[18]M10!C27*$K$14,[18]M11!C27*$L$14,[18]M12!C27*$M$14)/$N$14</f>
        <v>3.6111060173032064</v>
      </c>
      <c r="D29" s="169">
        <f>SUM([18]M01!D27*$B$14,[18]M02!D27*$C$14,[18]M03!D27*$D$14,[18]M04!D27*$E$14,[18]M05!D27*$F$14,[18]M06!D27*$G$14,[18]M07!D27*$H$14,[18]M08!D27*$I$14,[18]M09!D27*$J$14,[18]M10!D27*$K$14,[18]M11!D27*$L$14,[18]M12!D27*$M$14)/$N$14</f>
        <v>3.1049065206137714</v>
      </c>
      <c r="E29" s="169">
        <f>SUM([18]M01!E27*$B$14,[18]M02!E27*$C$14,[18]M03!E27*$D$14,[18]M04!E27*$E$14,[18]M05!E27*$F$14,[18]M06!E27*$G$14,[18]M07!E27*$H$14,[18]M08!E27*$I$14,[18]M09!E27*$J$14,[18]M10!E27*$K$14,[18]M11!E27*$L$14,[18]M12!E27*$M$14)/$N$14</f>
        <v>2.7247602170308864</v>
      </c>
      <c r="F29" s="169">
        <f>SUM([18]M01!F27*$B$14,[18]M02!F27*$C$14,[18]M03!F27*$D$14,[18]M04!F27*$E$14,[18]M05!F27*$F$14,[18]M06!F27*$G$14,[18]M07!F27*$H$14,[18]M08!F27*$I$14,[18]M09!F27*$J$14,[18]M10!F27*$K$14,[18]M11!F27*$L$14,[18]M12!F27*$M$14)/$N$14</f>
        <v>0.92891325042056205</v>
      </c>
      <c r="G29" s="169">
        <f>SUM([18]M01!G27*$B$14,[18]M02!G27*$C$14,[18]M03!G27*$D$14,[18]M04!G27*$E$14,[18]M05!G27*$F$14,[18]M06!G27*$G$14,[18]M07!G27*$H$14,[18]M08!G27*$I$14,[18]M09!G27*$J$14,[18]M10!G27*$K$14,[18]M11!G27*$L$14,[18]M12!G27*$M$14)/$N$14</f>
        <v>1.0997616040493658</v>
      </c>
      <c r="H29" s="169">
        <f>SUM([18]M01!H27*$B$14,[18]M02!H27*$C$14,[18]M03!H27*$D$14,[18]M04!H27*$E$14,[18]M05!H27*$F$14,[18]M06!H27*$G$14,[18]M07!H27*$H$14,[18]M08!H27*$I$14,[18]M09!H27*$J$14,[18]M10!H27*$K$14,[18]M11!H27*$L$14,[18]M12!H27*$M$14)/$N$14</f>
        <v>6.6445551813886315E-3</v>
      </c>
      <c r="I29" s="169">
        <f>SUM([18]M01!I27*$B$14,[18]M02!I27*$C$14,[18]M03!I27*$D$14,[18]M04!I27*$E$14,[18]M05!I27*$F$14,[18]M06!I27*$G$14,[18]M07!I27*$H$14,[18]M08!I27*$I$14,[18]M09!I27*$J$14,[18]M10!I27*$K$14,[18]M11!I27*$L$14,[18]M12!I27*$M$14)/$N$14</f>
        <v>0.28565790523462647</v>
      </c>
      <c r="J29" s="169">
        <f>SUM([18]M01!J27*$B$14,[18]M02!J27*$C$14,[18]M03!J27*$D$14,[18]M04!J27*$E$14,[18]M05!J27*$F$14,[18]M06!J27*$G$14,[18]M07!J27*$H$14,[18]M08!J27*$I$14,[18]M09!J27*$J$14,[18]M10!J27*$K$14,[18]M11!J27*$L$14,[18]M12!J27*$M$14)/$N$14</f>
        <v>0.27570730860309101</v>
      </c>
      <c r="K29" s="170">
        <f>SUM([18]M01!K27*$B$14,[18]M02!K27*$C$14,[18]M03!K27*$D$14,[18]M04!K27*$E$14,[18]M05!K27*$F$14,[18]M06!K27*$G$14,[18]M07!K27*$H$14,[18]M08!K27*$I$14,[18]M09!K27*$J$14,[18]M10!K27*$K$14,[18]M11!K27*$L$14,[18]M12!K27*$M$14)/$N$14</f>
        <v>4.2785968482717953</v>
      </c>
      <c r="L29" s="155"/>
      <c r="N29" s="166"/>
    </row>
    <row r="30" spans="1:14" ht="15" customHeight="1">
      <c r="A30" s="171" t="s">
        <v>167</v>
      </c>
      <c r="B30" s="172">
        <f>SUM([18]M01!B28*$B$14,[18]M02!B28*$C$14,[18]M03!B28*$D$14,[18]M04!B28*$E$14,[18]M05!B28*$F$14,[18]M06!B28*$G$14,[18]M07!B28*$H$14,[18]M08!B28*$I$14,[18]M09!B28*$J$14,[18]M10!B28*$K$14,[18]M11!B28*$L$14,[18]M12!B28*$M$14)/$N$14</f>
        <v>0</v>
      </c>
      <c r="C30" s="173">
        <f>SUM([18]M01!C28*$B$14,[18]M02!C28*$C$14,[18]M03!C28*$D$14,[18]M04!C28*$E$14,[18]M05!C28*$F$14,[18]M06!C28*$G$14,[18]M07!C28*$H$14,[18]M08!C28*$I$14,[18]M09!C28*$J$14,[18]M10!C28*$K$14,[18]M11!C28*$L$14,[18]M12!C28*$M$14)/$N$14</f>
        <v>0</v>
      </c>
      <c r="D30" s="173">
        <f>SUM([18]M01!D28*$B$14,[18]M02!D28*$C$14,[18]M03!D28*$D$14,[18]M04!D28*$E$14,[18]M05!D28*$F$14,[18]M06!D28*$G$14,[18]M07!D28*$H$14,[18]M08!D28*$I$14,[18]M09!D28*$J$14,[18]M10!D28*$K$14,[18]M11!D28*$L$14,[18]M12!D28*$M$14)/$N$14</f>
        <v>0</v>
      </c>
      <c r="E30" s="173">
        <f>SUM([18]M01!E28*$B$14,[18]M02!E28*$C$14,[18]M03!E28*$D$14,[18]M04!E28*$E$14,[18]M05!E28*$F$14,[18]M06!E28*$G$14,[18]M07!E28*$H$14,[18]M08!E28*$I$14,[18]M09!E28*$J$14,[18]M10!E28*$K$14,[18]M11!E28*$L$14,[18]M12!E28*$M$14)/$N$14</f>
        <v>1.079615453054678</v>
      </c>
      <c r="F30" s="173">
        <f>SUM([18]M01!F28*$B$14,[18]M02!F28*$C$14,[18]M03!F28*$D$14,[18]M04!F28*$E$14,[18]M05!F28*$F$14,[18]M06!F28*$G$14,[18]M07!F28*$H$14,[18]M08!F28*$I$14,[18]M09!F28*$J$14,[18]M10!F28*$K$14,[18]M11!F28*$L$14,[18]M12!F28*$M$14)/$N$14</f>
        <v>2.8040972646118094</v>
      </c>
      <c r="G30" s="173">
        <f>SUM([18]M01!G28*$B$14,[18]M02!G28*$C$14,[18]M03!G28*$D$14,[18]M04!G28*$E$14,[18]M05!G28*$F$14,[18]M06!G28*$G$14,[18]M07!G28*$H$14,[18]M08!G28*$I$14,[18]M09!G28*$J$14,[18]M10!G28*$K$14,[18]M11!G28*$L$14,[18]M12!G28*$M$14)/$N$14</f>
        <v>2.96488962181422</v>
      </c>
      <c r="H30" s="173">
        <f>SUM([18]M01!H28*$B$14,[18]M02!H28*$C$14,[18]M03!H28*$D$14,[18]M04!H28*$E$14,[18]M05!H28*$F$14,[18]M06!H28*$G$14,[18]M07!H28*$H$14,[18]M08!H28*$I$14,[18]M09!H28*$J$14,[18]M10!H28*$K$14,[18]M11!H28*$L$14,[18]M12!H28*$M$14)/$N$14</f>
        <v>2.6649021431793765</v>
      </c>
      <c r="I30" s="173">
        <f>SUM([18]M01!I28*$B$14,[18]M02!I28*$C$14,[18]M03!I28*$D$14,[18]M04!I28*$E$14,[18]M05!I28*$F$14,[18]M06!I28*$G$14,[18]M07!I28*$H$14,[18]M08!I28*$I$14,[18]M09!I28*$J$14,[18]M10!I28*$K$14,[18]M11!I28*$L$14,[18]M12!I28*$M$14)/$N$14</f>
        <v>0</v>
      </c>
      <c r="J30" s="173">
        <f>SUM([18]M01!J28*$B$14,[18]M02!J28*$C$14,[18]M03!J28*$D$14,[18]M04!J28*$E$14,[18]M05!J28*$F$14,[18]M06!J28*$G$14,[18]M07!J28*$H$14,[18]M08!J28*$I$14,[18]M09!J28*$J$14,[18]M10!J28*$K$14,[18]M11!J28*$L$14,[18]M12!J28*$M$14)/$N$14</f>
        <v>4.0488323196242844</v>
      </c>
      <c r="K30" s="174">
        <f>SUM([18]M01!K28*$B$14,[18]M02!K28*$C$14,[18]M03!K28*$D$14,[18]M04!K28*$E$14,[18]M05!K28*$F$14,[18]M06!K28*$G$14,[18]M07!K28*$H$14,[18]M08!K28*$I$14,[18]M09!K28*$J$14,[18]M10!K28*$K$14,[18]M11!K28*$L$14,[18]M12!K28*$M$14)/$N$14</f>
        <v>0.52211911085265172</v>
      </c>
      <c r="L30" s="155"/>
      <c r="N30" s="166"/>
    </row>
    <row r="31" spans="1:14" ht="20.25" customHeight="1">
      <c r="A31" s="154" t="s">
        <v>168</v>
      </c>
      <c r="L31" s="155"/>
      <c r="N31" s="166"/>
    </row>
    <row r="32" spans="1:14" ht="15" customHeight="1">
      <c r="A32" s="175" t="s">
        <v>169</v>
      </c>
      <c r="B32" s="176">
        <f>SUM([18]M01!B30,[18]M02!B30,[18]M03!B30,[18]M04!B30,[18]M05!B30,[18]M06!B30,[18]M07!B30,[18]M08!B30,[18]M09!B30,[18]M10!B30,[18]M11!B30,[18]M12!B30)</f>
        <v>5.3028383807709831</v>
      </c>
      <c r="L32" s="155"/>
      <c r="N32" s="166"/>
    </row>
    <row r="33" spans="1:14" ht="15" customHeight="1">
      <c r="A33" s="177" t="s">
        <v>170</v>
      </c>
      <c r="B33" s="178">
        <f>SUM([18]M01!B31,[18]M02!B31,[18]M03!B31,[18]M04!B31,[18]M05!B31,[18]M06!B31,[18]M07!B31,[18]M08!B31,[18]M09!B31,[18]M10!B31,[18]M11!B31,[18]M12!B31)</f>
        <v>16.288987053733518</v>
      </c>
      <c r="L33" s="155"/>
      <c r="N33" s="166"/>
    </row>
    <row r="34" spans="1:14" ht="20.25" hidden="1" customHeight="1">
      <c r="A34" s="154" t="s">
        <v>171</v>
      </c>
      <c r="L34" s="155"/>
      <c r="N34" s="166"/>
    </row>
    <row r="35" spans="1:14" ht="15" hidden="1" customHeight="1">
      <c r="A35" s="175" t="s">
        <v>169</v>
      </c>
      <c r="B35" s="176" t="e">
        <f>SUM([18]M01!#REF!,[18]M02!#REF!,[18]M03!#REF!,[18]M04!#REF!,[18]M05!#REF!,[18]M06!#REF!,[18]M07!#REF!,[18]M08!#REF!,[18]M09!#REF!,[18]M10!#REF!,[18]M11!#REF!,[18]M12!#REF!)</f>
        <v>#REF!</v>
      </c>
      <c r="L35" s="155"/>
      <c r="N35" s="166"/>
    </row>
    <row r="36" spans="1:14" ht="15" hidden="1" customHeight="1">
      <c r="A36" s="177" t="s">
        <v>170</v>
      </c>
      <c r="B36" s="178" t="e">
        <f>SUM([18]M01!#REF!,[18]M02!#REF!,[18]M03!#REF!,[18]M04!#REF!,[18]M05!#REF!,[18]M06!#REF!,[18]M07!#REF!,[18]M08!#REF!,[18]M09!#REF!,[18]M10!#REF!,[18]M11!#REF!,[18]M12!#REF!)</f>
        <v>#REF!</v>
      </c>
      <c r="L36" s="155"/>
      <c r="N36" s="166"/>
    </row>
    <row r="37" spans="1:14" ht="20.25" customHeight="1">
      <c r="A37" s="154" t="s">
        <v>172</v>
      </c>
      <c r="L37" s="155"/>
      <c r="N37" s="166"/>
    </row>
    <row r="38" spans="1:14" ht="15" customHeight="1">
      <c r="A38" s="179" t="s">
        <v>167</v>
      </c>
      <c r="B38" s="180">
        <f>SUM([18]M01!B33*$B$14,[18]M02!B33*$C$14,[18]M03!B33*$D$14,[18]M04!B33*$E$14,[18]M05!B33*$F$14,[18]M06!B33*$G$14,[18]M07!B33*$H$14,[18]M08!B33*$I$14,[18]M09!B33*$J$14,[18]M10!B33*$K$14,[18]M11!B33*$L$14,[18]M12!B33*$M$14)/$N$14</f>
        <v>0</v>
      </c>
      <c r="C38" s="181">
        <f>SUM([18]M01!C33*$B$14,[18]M02!C33*$C$14,[18]M03!C33*$D$14,[18]M04!C33*$E$14,[18]M05!C33*$F$14,[18]M06!C33*$G$14,[18]M07!C33*$H$14,[18]M08!C33*$I$14,[18]M09!C33*$J$14,[18]M10!C33*$K$14,[18]M11!C33*$L$14,[18]M12!C33*$M$14)/$N$14</f>
        <v>0</v>
      </c>
      <c r="D38" s="181">
        <f>SUM([18]M01!D33*$B$14,[18]M02!D33*$C$14,[18]M03!D33*$D$14,[18]M04!D33*$E$14,[18]M05!D33*$F$14,[18]M06!D33*$G$14,[18]M07!D33*$H$14,[18]M08!D33*$I$14,[18]M09!D33*$J$14,[18]M10!D33*$K$14,[18]M11!D33*$L$14,[18]M12!D33*$M$14)/$N$14</f>
        <v>0</v>
      </c>
      <c r="E38" s="181">
        <f>SUM([18]M01!E33*$B$14,[18]M02!E33*$C$14,[18]M03!E33*$D$14,[18]M04!E33*$E$14,[18]M05!E33*$F$14,[18]M06!E33*$G$14,[18]M07!E33*$H$14,[18]M08!E33*$I$14,[18]M09!E33*$J$14,[18]M10!E33*$K$14,[18]M11!E33*$L$14,[18]M12!E33*$M$14)/$N$14</f>
        <v>0</v>
      </c>
      <c r="F38" s="181">
        <f>SUM([18]M01!F33*$B$14,[18]M02!F33*$C$14,[18]M03!F33*$D$14,[18]M04!F33*$E$14,[18]M05!F33*$F$14,[18]M06!F33*$G$14,[18]M07!F33*$H$14,[18]M08!F33*$I$14,[18]M09!F33*$J$14,[18]M10!F33*$K$14,[18]M11!F33*$L$14,[18]M12!F33*$M$14)/$N$14</f>
        <v>0</v>
      </c>
      <c r="G38" s="181">
        <f>SUM([18]M01!G33*$B$14,[18]M02!G33*$C$14,[18]M03!G33*$D$14,[18]M04!G33*$E$14,[18]M05!G33*$F$14,[18]M06!G33*$G$14,[18]M07!G33*$H$14,[18]M08!G33*$I$14,[18]M09!G33*$J$14,[18]M10!G33*$K$14,[18]M11!G33*$L$14,[18]M12!G33*$M$14)/$N$14</f>
        <v>0</v>
      </c>
      <c r="H38" s="181">
        <f>SUM([18]M01!H33*$B$14,[18]M02!H33*$C$14,[18]M03!H33*$D$14,[18]M04!H33*$E$14,[18]M05!H33*$F$14,[18]M06!H33*$G$14,[18]M07!H33*$H$14,[18]M08!H33*$I$14,[18]M09!H33*$J$14,[18]M10!H33*$K$14,[18]M11!H33*$L$14,[18]M12!H33*$M$14)/$N$14</f>
        <v>0</v>
      </c>
      <c r="I38" s="181">
        <f>SUM([18]M01!I33*$B$14,[18]M02!I33*$C$14,[18]M03!I33*$D$14,[18]M04!I33*$E$14,[18]M05!I33*$F$14,[18]M06!I33*$G$14,[18]M07!I33*$H$14,[18]M08!I33*$I$14,[18]M09!I33*$J$14,[18]M10!I33*$K$14,[18]M11!I33*$L$14,[18]M12!I33*$M$14)/$N$14</f>
        <v>0</v>
      </c>
      <c r="J38" s="181">
        <f>SUM([18]M01!J33*$B$14,[18]M02!J33*$C$14,[18]M03!J33*$D$14,[18]M04!J33*$E$14,[18]M05!J33*$F$14,[18]M06!J33*$G$14,[18]M07!J33*$H$14,[18]M08!J33*$I$14,[18]M09!J33*$J$14,[18]M10!J33*$K$14,[18]M11!J33*$L$14,[18]M12!J33*$M$14)/$N$14</f>
        <v>0</v>
      </c>
      <c r="K38" s="182">
        <f>SUM([18]M01!K33*$B$14,[18]M02!K33*$C$14,[18]M03!K33*$D$14,[18]M04!K33*$E$14,[18]M05!K33*$F$14,[18]M06!K33*$G$14,[18]M07!K33*$H$14,[18]M08!K33*$I$14,[18]M09!K33*$J$14,[18]M10!K33*$K$14,[18]M11!K33*$L$14,[18]M12!K33*$M$14)/$N$14</f>
        <v>0</v>
      </c>
      <c r="L38" s="155"/>
      <c r="N38" s="166"/>
    </row>
    <row r="39" spans="1:14" ht="20.25" customHeight="1">
      <c r="A39" s="154" t="s">
        <v>173</v>
      </c>
      <c r="L39" s="155"/>
      <c r="N39" s="166"/>
    </row>
    <row r="40" spans="1:14" ht="15" customHeight="1">
      <c r="A40" s="177" t="s">
        <v>170</v>
      </c>
      <c r="B40" s="178">
        <f>SUM([18]M01!I34,[18]M02!I34,[18]M03!I34,[18]M04!I34,[18]M05!I34,[18]M06!I34,[18]M07!I34,[18]M08!I34,[18]M09!I34,[18]M10!I34,[18]M11!I34,[18]M12!I34)</f>
        <v>0</v>
      </c>
      <c r="L40" s="155"/>
      <c r="N40" s="166"/>
    </row>
    <row r="41" spans="1:14" ht="9.9" customHeight="1">
      <c r="L41" s="155"/>
      <c r="N41" s="166"/>
    </row>
    <row r="42" spans="1:14" ht="9.9" customHeight="1" thickBot="1">
      <c r="L42" s="155"/>
      <c r="N42" s="166"/>
    </row>
    <row r="43" spans="1:14" ht="20.25" customHeight="1" thickTop="1">
      <c r="A43" s="183" t="s">
        <v>174</v>
      </c>
      <c r="B43" s="184"/>
      <c r="C43" s="184"/>
      <c r="D43" s="184"/>
      <c r="E43" s="184"/>
      <c r="F43" s="184"/>
      <c r="G43" s="184"/>
      <c r="H43" s="184"/>
      <c r="I43" s="184"/>
      <c r="J43" s="184"/>
      <c r="K43" s="185"/>
      <c r="L43" s="186"/>
      <c r="N43" s="166"/>
    </row>
    <row r="44" spans="1:14" ht="15" customHeight="1">
      <c r="A44" s="187" t="s">
        <v>110</v>
      </c>
      <c r="B44" s="188">
        <f>IFERROR(B54/B25,0)</f>
        <v>2.0677985239218839</v>
      </c>
      <c r="C44" s="189">
        <f t="shared" ref="C44:K44" si="0">IFERROR(C54/C25,0)</f>
        <v>2.501687435521335</v>
      </c>
      <c r="D44" s="189">
        <f t="shared" si="0"/>
        <v>2.6295688039353204</v>
      </c>
      <c r="E44" s="189">
        <f t="shared" si="0"/>
        <v>2.3435858095312745</v>
      </c>
      <c r="F44" s="189">
        <f t="shared" si="0"/>
        <v>1.2802198248873973</v>
      </c>
      <c r="G44" s="189">
        <f t="shared" si="0"/>
        <v>1.1602596401890661</v>
      </c>
      <c r="H44" s="189">
        <f t="shared" si="0"/>
        <v>0.4810438296608629</v>
      </c>
      <c r="I44" s="189">
        <f t="shared" si="0"/>
        <v>0.78977629924483916</v>
      </c>
      <c r="J44" s="189">
        <f t="shared" si="0"/>
        <v>0.59304241799976387</v>
      </c>
      <c r="K44" s="190">
        <f t="shared" si="0"/>
        <v>3.7440965779714142</v>
      </c>
      <c r="L44" s="186"/>
      <c r="N44" s="166"/>
    </row>
    <row r="45" spans="1:14" ht="15" customHeight="1">
      <c r="A45" s="191" t="s">
        <v>167</v>
      </c>
      <c r="B45" s="192">
        <f t="shared" ref="B45:K45" si="1">IFERROR(B55/B26,0)</f>
        <v>0</v>
      </c>
      <c r="C45" s="192">
        <f t="shared" si="1"/>
        <v>0</v>
      </c>
      <c r="D45" s="192">
        <f t="shared" si="1"/>
        <v>0</v>
      </c>
      <c r="E45" s="192">
        <f t="shared" si="1"/>
        <v>1.02603157029452</v>
      </c>
      <c r="F45" s="192">
        <f t="shared" si="1"/>
        <v>2.7720703503451056</v>
      </c>
      <c r="G45" s="192">
        <f t="shared" si="1"/>
        <v>2.9663182871810152</v>
      </c>
      <c r="H45" s="192">
        <f t="shared" si="1"/>
        <v>2.605829401881973</v>
      </c>
      <c r="I45" s="192">
        <f t="shared" si="1"/>
        <v>0</v>
      </c>
      <c r="J45" s="192">
        <f t="shared" si="1"/>
        <v>3.9762511706073762</v>
      </c>
      <c r="K45" s="193">
        <f t="shared" si="1"/>
        <v>0.47437279461209275</v>
      </c>
      <c r="L45" s="186"/>
      <c r="N45" s="166"/>
    </row>
    <row r="46" spans="1:14" ht="20.25" customHeight="1">
      <c r="A46" s="194" t="s">
        <v>175</v>
      </c>
      <c r="B46" s="195"/>
      <c r="C46" s="195"/>
      <c r="D46" s="195"/>
      <c r="E46" s="195"/>
      <c r="F46" s="195"/>
      <c r="G46" s="195"/>
      <c r="H46" s="195"/>
      <c r="I46" s="196"/>
      <c r="J46" s="196"/>
      <c r="K46" s="197"/>
      <c r="L46" s="186"/>
      <c r="N46" s="198"/>
    </row>
    <row r="47" spans="1:14" ht="15" customHeight="1">
      <c r="A47" s="199" t="s">
        <v>169</v>
      </c>
      <c r="B47" s="200">
        <f>B32</f>
        <v>5.3028383807709831</v>
      </c>
      <c r="C47" s="201"/>
      <c r="D47" s="201"/>
      <c r="E47" s="196"/>
      <c r="F47" s="196"/>
      <c r="G47" s="196"/>
      <c r="H47" s="195"/>
      <c r="I47" s="196"/>
      <c r="J47" s="196"/>
      <c r="K47" s="197"/>
      <c r="L47" s="186"/>
      <c r="N47" s="202"/>
    </row>
    <row r="48" spans="1:14" ht="15" customHeight="1">
      <c r="A48" s="203" t="s">
        <v>170</v>
      </c>
      <c r="B48" s="204">
        <f>B33+B40</f>
        <v>16.288987053733518</v>
      </c>
      <c r="C48" s="201"/>
      <c r="D48" s="201"/>
      <c r="E48" s="196"/>
      <c r="F48" s="196"/>
      <c r="G48" s="196"/>
      <c r="H48" s="195"/>
      <c r="I48" s="196"/>
      <c r="J48" s="196"/>
      <c r="K48" s="197"/>
      <c r="L48" s="186"/>
      <c r="N48" s="202"/>
    </row>
    <row r="49" spans="1:14" ht="9.9" customHeight="1" thickBot="1">
      <c r="A49" s="205"/>
      <c r="B49" s="206"/>
      <c r="C49" s="207"/>
      <c r="D49" s="207"/>
      <c r="E49" s="207"/>
      <c r="F49" s="207"/>
      <c r="G49" s="207"/>
      <c r="H49" s="207"/>
      <c r="I49" s="207"/>
      <c r="J49" s="207"/>
      <c r="K49" s="208"/>
      <c r="L49" s="186"/>
      <c r="N49" s="166"/>
    </row>
    <row r="50" spans="1:14" ht="9.9" customHeight="1" thickTop="1">
      <c r="B50" s="209"/>
      <c r="L50" s="155"/>
      <c r="N50" s="166"/>
    </row>
    <row r="51" spans="1:14" ht="20.25" customHeight="1">
      <c r="A51" s="210" t="s">
        <v>176</v>
      </c>
      <c r="B51" s="211"/>
      <c r="C51" s="211"/>
      <c r="D51" s="211"/>
      <c r="E51" s="211"/>
      <c r="F51" s="211"/>
      <c r="G51" s="211"/>
      <c r="H51" s="211"/>
      <c r="I51" s="211"/>
      <c r="J51" s="211"/>
      <c r="K51" s="211"/>
      <c r="L51" s="212">
        <f>ROUND(SUM(L54:L55,L57:L58),3)</f>
        <v>117853.81299999999</v>
      </c>
      <c r="M51" s="212">
        <f>ROUND(B3,3)</f>
        <v>117853.81299999999</v>
      </c>
      <c r="N51" s="252"/>
    </row>
    <row r="52" spans="1:14" ht="20.25" customHeight="1">
      <c r="A52" s="213" t="s">
        <v>177</v>
      </c>
      <c r="B52" s="211"/>
      <c r="C52" s="211"/>
      <c r="D52" s="211"/>
      <c r="E52" s="211"/>
      <c r="F52" s="211"/>
      <c r="G52" s="211"/>
      <c r="H52" s="211"/>
      <c r="I52" s="211"/>
      <c r="J52" s="211"/>
      <c r="K52" s="211"/>
      <c r="L52" s="165"/>
      <c r="M52" s="214">
        <f>M53+M56</f>
        <v>0.99999999978877474</v>
      </c>
      <c r="N52" s="166"/>
    </row>
    <row r="53" spans="1:14" ht="20.25" customHeight="1">
      <c r="A53" s="215" t="s">
        <v>19</v>
      </c>
      <c r="B53" s="216">
        <v>1</v>
      </c>
      <c r="C53" s="217">
        <v>2</v>
      </c>
      <c r="D53" s="217">
        <v>3</v>
      </c>
      <c r="E53" s="217">
        <v>4</v>
      </c>
      <c r="F53" s="217">
        <v>5</v>
      </c>
      <c r="G53" s="217">
        <v>6</v>
      </c>
      <c r="H53" s="217">
        <v>7</v>
      </c>
      <c r="I53" s="217">
        <v>8</v>
      </c>
      <c r="J53" s="217">
        <v>9</v>
      </c>
      <c r="K53" s="218">
        <v>10</v>
      </c>
      <c r="L53" s="219">
        <f>L54+L55</f>
        <v>57807.882602849495</v>
      </c>
      <c r="M53" s="214">
        <f>L53/$M$51</f>
        <v>0.49050498351588756</v>
      </c>
      <c r="N53" s="220"/>
    </row>
    <row r="54" spans="1:14" ht="15" customHeight="1">
      <c r="A54" s="221" t="s">
        <v>110</v>
      </c>
      <c r="B54" s="222">
        <f>SUM([18]M01!B38,[18]M02!B38,[18]M03!B38,[18]M04!B38,[18]M05!B38,[18]M06!B38,[18]M07!B38,[18]M08!B38,[18]M09!B38,[18]M10!B38,[18]M11!B38,[18]M12!B38)</f>
        <v>2682.6582082302039</v>
      </c>
      <c r="C54" s="223">
        <f>SUM([18]M01!C38,[18]M02!C38,[18]M03!C38,[18]M04!C38,[18]M05!C38,[18]M06!C38,[18]M07!C38,[18]M08!C38,[18]M09!C38,[18]M10!C38,[18]M11!C38,[18]M12!C38)</f>
        <v>5137.5468725970113</v>
      </c>
      <c r="D54" s="223">
        <f>SUM([18]M01!D38,[18]M02!D38,[18]M03!D38,[18]M04!D38,[18]M05!D38,[18]M06!D38,[18]M07!D38,[18]M08!D38,[18]M09!D38,[18]M10!D38,[18]M11!D38,[18]M12!D38)</f>
        <v>2423.7252376141823</v>
      </c>
      <c r="E54" s="223">
        <f>SUM([18]M01!E38,[18]M02!E38,[18]M03!E38,[18]M04!E38,[18]M05!E38,[18]M06!E38,[18]M07!E38,[18]M08!E38,[18]M09!E38,[18]M10!E38,[18]M11!E38,[18]M12!E38)</f>
        <v>7014.2103066270474</v>
      </c>
      <c r="F54" s="223">
        <f>SUM([18]M01!F38,[18]M02!F38,[18]M03!F38,[18]M04!F38,[18]M05!F38,[18]M06!F38,[18]M07!F38,[18]M08!F38,[18]M09!F38,[18]M10!F38,[18]M11!F38,[18]M12!F38)</f>
        <v>1357.1895212542338</v>
      </c>
      <c r="G54" s="223">
        <f>SUM([18]M01!G38,[18]M02!G38,[18]M03!G38,[18]M04!G38,[18]M05!G38,[18]M06!G38,[18]M07!G38,[18]M08!G38,[18]M09!G38,[18]M10!G38,[18]M11!G38,[18]M12!G38)</f>
        <v>441.05529832327068</v>
      </c>
      <c r="H54" s="223">
        <f>SUM([18]M01!H38,[18]M02!H38,[18]M03!H38,[18]M04!H38,[18]M05!H38,[18]M06!H38,[18]M07!H38,[18]M08!H38,[18]M09!H38,[18]M10!H38,[18]M11!H38,[18]M12!H38)</f>
        <v>0.25610773491144345</v>
      </c>
      <c r="I54" s="223">
        <f>SUM([18]M01!I38,[18]M02!I38,[18]M03!I38,[18]M04!I38,[18]M05!I38,[18]M06!I38,[18]M07!I38,[18]M08!I38,[18]M09!I38,[18]M10!I38,[18]M11!I38,[18]M12!I38)</f>
        <v>425.74944829171096</v>
      </c>
      <c r="J54" s="223">
        <f>SUM([18]M01!J38,[18]M02!J38,[18]M03!J38,[18]M04!J38,[18]M05!J38,[18]M06!J38,[18]M07!J38,[18]M08!J38,[18]M09!J38,[18]M10!J38,[18]M11!J38,[18]M12!J38)</f>
        <v>1033.8768225568967</v>
      </c>
      <c r="K54" s="224">
        <f>SUM([18]M01!K38,[18]M02!K38,[18]M03!K38,[18]M04!K38,[18]M05!K38,[18]M06!K38,[18]M07!K38,[18]M08!K38,[18]M09!K38,[18]M10!K38,[18]M11!K38,[18]M12!K38)</f>
        <v>5497.2793480528035</v>
      </c>
      <c r="L54" s="225">
        <f>SUM(B54:K54)</f>
        <v>26013.547171282269</v>
      </c>
      <c r="M54" s="226">
        <f>L54/(L55+L54)</f>
        <v>0.44999999999999996</v>
      </c>
      <c r="N54" s="227"/>
    </row>
    <row r="55" spans="1:14" ht="15" customHeight="1">
      <c r="A55" s="228" t="s">
        <v>167</v>
      </c>
      <c r="B55" s="229">
        <f>SUM([18]M01!B39,[18]M02!B39,[18]M03!B39,[18]M04!B39,[18]M05!B39,[18]M06!B39,[18]M07!B39,[18]M08!B39,[18]M09!B39,[18]M10!B39,[18]M11!B39,[18]M12!B39)</f>
        <v>0</v>
      </c>
      <c r="C55" s="230">
        <f>SUM([18]M01!C39,[18]M02!C39,[18]M03!C39,[18]M04!C39,[18]M05!C39,[18]M06!C39,[18]M07!C39,[18]M08!C39,[18]M09!C39,[18]M10!C39,[18]M11!C39,[18]M12!C39)</f>
        <v>0</v>
      </c>
      <c r="D55" s="230">
        <f>SUM([18]M01!D39,[18]M02!D39,[18]M03!D39,[18]M04!D39,[18]M05!D39,[18]M06!D39,[18]M07!D39,[18]M08!D39,[18]M09!D39,[18]M10!D39,[18]M11!D39,[18]M12!D39)</f>
        <v>0</v>
      </c>
      <c r="E55" s="230">
        <f>SUM([18]M01!E39,[18]M02!E39,[18]M03!E39,[18]M04!E39,[18]M05!E39,[18]M06!E39,[18]M07!E39,[18]M08!E39,[18]M09!E39,[18]M10!E39,[18]M11!E39,[18]M12!E39)</f>
        <v>654.39919051861318</v>
      </c>
      <c r="F55" s="230">
        <f>SUM([18]M01!F39,[18]M02!F39,[18]M03!F39,[18]M04!F39,[18]M05!F39,[18]M06!F39,[18]M07!F39,[18]M08!F39,[18]M09!F39,[18]M10!F39,[18]M11!F39,[18]M12!F39)</f>
        <v>2649.1112890570585</v>
      </c>
      <c r="G55" s="230">
        <f>SUM([18]M01!G39,[18]M02!G39,[18]M03!G39,[18]M04!G39,[18]M05!G39,[18]M06!G39,[18]M07!G39,[18]M08!G39,[18]M09!G39,[18]M10!G39,[18]M11!G39,[18]M12!G39)</f>
        <v>3557.4368515478436</v>
      </c>
      <c r="H55" s="230">
        <f>SUM([18]M01!H39,[18]M02!H39,[18]M03!H39,[18]M04!H39,[18]M05!H39,[18]M06!H39,[18]M07!H39,[18]M08!H39,[18]M09!H39,[18]M10!H39,[18]M11!H39,[18]M12!H39)</f>
        <v>21285.914860850087</v>
      </c>
      <c r="I55" s="230">
        <f>SUM([18]M01!I39,[18]M02!I39,[18]M03!I39,[18]M04!I39,[18]M05!I39,[18]M06!I39,[18]M07!I39,[18]M08!I39,[18]M09!I39,[18]M10!I39,[18]M11!I39,[18]M12!I39)</f>
        <v>0</v>
      </c>
      <c r="J55" s="230">
        <f>SUM([18]M01!J39,[18]M02!J39,[18]M03!J39,[18]M04!J39,[18]M05!J39,[18]M06!J39,[18]M07!J39,[18]M08!J39,[18]M09!J39,[18]M10!J39,[18]M11!J39,[18]M12!J39)</f>
        <v>3602.0022353660811</v>
      </c>
      <c r="K55" s="231">
        <f>SUM([18]M01!K39,[18]M02!K39,[18]M03!K39,[18]M04!K39,[18]M05!K39,[18]M06!K39,[18]M07!K39,[18]M08!K39,[18]M09!K39,[18]M10!K39,[18]M11!K39,[18]M12!K39)</f>
        <v>45.471004227542153</v>
      </c>
      <c r="L55" s="232">
        <f>SUM(B55:K55)</f>
        <v>31794.33543156723</v>
      </c>
      <c r="M55" s="233">
        <f>L55/(L54+L55)</f>
        <v>0.55000000000000016</v>
      </c>
      <c r="N55" s="108"/>
    </row>
    <row r="56" spans="1:14" ht="20.25" customHeight="1">
      <c r="A56" s="213" t="s">
        <v>178</v>
      </c>
      <c r="B56" s="211"/>
      <c r="C56" s="211"/>
      <c r="D56" s="211"/>
      <c r="E56" s="211"/>
      <c r="F56" s="211"/>
      <c r="G56" s="211"/>
      <c r="H56" s="211"/>
      <c r="I56" s="211"/>
      <c r="J56" s="211"/>
      <c r="K56" s="211"/>
      <c r="L56" s="219">
        <f>L57+L58</f>
        <v>60045.9303722568</v>
      </c>
      <c r="M56" s="214">
        <f>L56/$M$51</f>
        <v>0.50949501627288718</v>
      </c>
      <c r="N56" s="220"/>
    </row>
    <row r="57" spans="1:14" ht="15" customHeight="1">
      <c r="A57" s="221" t="s">
        <v>110</v>
      </c>
      <c r="B57" s="222">
        <f>SUM([18]M01!B41,[18]M02!B41,[18]M03!B41,[18]M04!B41,[18]M05!B41,[18]M06!B41,[18]M07!B41,[18]M08!B41,[18]M09!B41,[18]M10!B41,[18]M11!B41,[18]M12!B41)</f>
        <v>2751.4806945548398</v>
      </c>
      <c r="C57" s="223">
        <f>SUM([18]M01!C41,[18]M02!C41,[18]M03!C41,[18]M04!C41,[18]M05!C41,[18]M06!C41,[18]M07!C41,[18]M08!C41,[18]M09!C41,[18]M10!C41,[18]M11!C41,[18]M12!C41)</f>
        <v>3270.4195145728891</v>
      </c>
      <c r="D57" s="223">
        <f>SUM([18]M01!D41,[18]M02!D41,[18]M03!D41,[18]M04!D41,[18]M05!D41,[18]M06!D41,[18]M07!D41,[18]M08!D41,[18]M09!D41,[18]M10!D41,[18]M11!D41,[18]M12!D41)</f>
        <v>947.77630379519815</v>
      </c>
      <c r="E57" s="223">
        <f>SUM([18]M01!E41,[18]M02!E41,[18]M03!E41,[18]M04!E41,[18]M05!E41,[18]M06!E41,[18]M07!E41,[18]M08!E41,[18]M09!E41,[18]M10!E41,[18]M11!E41,[18]M12!E41)</f>
        <v>2987.1669526150235</v>
      </c>
      <c r="F57" s="223">
        <f>SUM([18]M01!F41,[18]M02!F41,[18]M03!F41,[18]M04!F41,[18]M05!F41,[18]M06!F41,[18]M07!F41,[18]M08!F41,[18]M09!F41,[18]M10!F41,[18]M11!F41,[18]M12!F41)</f>
        <v>4138.3877451244889</v>
      </c>
      <c r="G57" s="223">
        <f>SUM([18]M01!G41,[18]M02!G41,[18]M03!G41,[18]M04!G41,[18]M05!G41,[18]M06!G41,[18]M07!G41,[18]M08!G41,[18]M09!G41,[18]M10!G41,[18]M11!G41,[18]M12!G41)</f>
        <v>1103.0794972606611</v>
      </c>
      <c r="H57" s="223">
        <f>SUM([18]M01!H41,[18]M02!H41,[18]M03!H41,[18]M04!H41,[18]M05!H41,[18]M06!H41,[18]M07!H41,[18]M08!H41,[18]M09!H41,[18]M10!H41,[18]M11!H41,[18]M12!H41)</f>
        <v>818.38704730438599</v>
      </c>
      <c r="I57" s="223">
        <f>SUM([18]M01!I41,[18]M02!I41,[18]M03!I41,[18]M04!I41,[18]M05!I41,[18]M06!I41,[18]M07!I41,[18]M08!I41,[18]M09!I41,[18]M10!I41,[18]M11!I41,[18]M12!I41)</f>
        <v>1378.7379790004559</v>
      </c>
      <c r="J57" s="223">
        <f>SUM([18]M01!J41,[18]M02!J41,[18]M03!J41,[18]M04!J41,[18]M05!J41,[18]M06!J41,[18]M07!J41,[18]M08!J41,[18]M09!J41,[18]M10!J41,[18]M11!J41,[18]M12!J41)</f>
        <v>8301.3283431779364</v>
      </c>
      <c r="K57" s="224">
        <f>SUM([18]M01!K41,[18]M02!K41,[18]M03!K41,[18]M04!K41,[18]M05!K41,[18]M06!K41,[18]M07!K41,[18]M08!K41,[18]M09!K41,[18]M10!K41,[18]M11!K41,[18]M12!K41)</f>
        <v>1323.9045901096852</v>
      </c>
      <c r="L57" s="225">
        <f>SUM(B57:K57)</f>
        <v>27020.668667515558</v>
      </c>
      <c r="M57" s="226">
        <f>L57/(L58+L57)</f>
        <v>0.44999999999999996</v>
      </c>
      <c r="N57" s="227"/>
    </row>
    <row r="58" spans="1:14" ht="15" customHeight="1">
      <c r="A58" s="228" t="s">
        <v>167</v>
      </c>
      <c r="B58" s="229">
        <f>SUM([18]M01!B42,[18]M02!B42,[18]M03!B42,[18]M04!B42,[18]M05!B42,[18]M06!B42,[18]M07!B42,[18]M08!B42,[18]M09!B42,[18]M10!B42,[18]M11!B42,[18]M12!B42)</f>
        <v>364.71869010093133</v>
      </c>
      <c r="C58" s="230">
        <f>SUM([18]M01!C42,[18]M02!C42,[18]M03!C42,[18]M04!C42,[18]M05!C42,[18]M06!C42,[18]M07!C42,[18]M08!C42,[18]M09!C42,[18]M10!C42,[18]M11!C42,[18]M12!C42)</f>
        <v>0</v>
      </c>
      <c r="D58" s="230">
        <f>SUM([18]M01!D42,[18]M02!D42,[18]M03!D42,[18]M04!D42,[18]M05!D42,[18]M06!D42,[18]M07!D42,[18]M08!D42,[18]M09!D42,[18]M10!D42,[18]M11!D42,[18]M12!D42)</f>
        <v>0.69869531604274715</v>
      </c>
      <c r="E58" s="230">
        <f>SUM([18]M01!E42,[18]M02!E42,[18]M03!E42,[18]M04!E42,[18]M05!E42,[18]M06!E42,[18]M07!E42,[18]M08!E42,[18]M09!E42,[18]M10!E42,[18]M11!E42,[18]M12!E42)</f>
        <v>2371.4126654418374</v>
      </c>
      <c r="F58" s="230">
        <f>SUM([18]M01!F42,[18]M02!F42,[18]M03!F42,[18]M04!F42,[18]M05!F42,[18]M06!F42,[18]M07!F42,[18]M08!F42,[18]M09!F42,[18]M10!F42,[18]M11!F42,[18]M12!F42)</f>
        <v>5353.085531156421</v>
      </c>
      <c r="G58" s="230">
        <f>SUM([18]M01!G42,[18]M02!G42,[18]M03!G42,[18]M04!G42,[18]M05!G42,[18]M06!G42,[18]M07!G42,[18]M08!G42,[18]M09!G42,[18]M10!G42,[18]M11!G42,[18]M12!G42)</f>
        <v>3304.5301997466036</v>
      </c>
      <c r="H58" s="230">
        <f>SUM([18]M01!H42,[18]M02!H42,[18]M03!H42,[18]M04!H42,[18]M05!H42,[18]M06!H42,[18]M07!H42,[18]M08!H42,[18]M09!H42,[18]M10!H42,[18]M11!H42,[18]M12!H42)</f>
        <v>18672.132751867539</v>
      </c>
      <c r="I58" s="230">
        <f>SUM([18]M01!I42,[18]M02!I42,[18]M03!I42,[18]M04!I42,[18]M05!I42,[18]M06!I42,[18]M07!I42,[18]M08!I42,[18]M09!I42,[18]M10!I42,[18]M11!I42,[18]M12!I42)</f>
        <v>39.093568928960444</v>
      </c>
      <c r="J58" s="230">
        <f>SUM([18]M01!J42,[18]M02!J42,[18]M03!J42,[18]M04!J42,[18]M05!J42,[18]M06!J42,[18]M07!J42,[18]M08!J42,[18]M09!J42,[18]M10!J42,[18]M11!J42,[18]M12!J42)</f>
        <v>2012.3679164533473</v>
      </c>
      <c r="K58" s="231">
        <f>SUM([18]M01!K42,[18]M02!K42,[18]M03!K42,[18]M04!K42,[18]M05!K42,[18]M06!K42,[18]M07!K42,[18]M08!K42,[18]M09!K42,[18]M10!K42,[18]M11!K42,[18]M12!K42)</f>
        <v>907.22168572956082</v>
      </c>
      <c r="L58" s="232">
        <f>SUM(B58:K58)</f>
        <v>33025.261704741242</v>
      </c>
      <c r="M58" s="233">
        <f>L58/(L57+L58)</f>
        <v>0.55000000000000004</v>
      </c>
      <c r="N58" s="166"/>
    </row>
    <row r="59" spans="1:14" ht="20.25" customHeight="1">
      <c r="A59" s="213" t="s">
        <v>179</v>
      </c>
      <c r="B59" s="211"/>
      <c r="C59" s="211"/>
      <c r="D59" s="211"/>
      <c r="E59" s="211"/>
      <c r="F59" s="211"/>
      <c r="G59" s="211"/>
      <c r="H59" s="211"/>
      <c r="I59" s="211"/>
      <c r="J59" s="211"/>
      <c r="K59" s="211"/>
      <c r="L59" s="219">
        <f>L60+L61</f>
        <v>0</v>
      </c>
      <c r="M59" s="214">
        <f>IFERROR(L59/B7,0)</f>
        <v>0</v>
      </c>
      <c r="N59" s="166"/>
    </row>
    <row r="60" spans="1:14" ht="15" customHeight="1">
      <c r="A60" s="221" t="s">
        <v>180</v>
      </c>
      <c r="B60" s="222">
        <f>SUM([18]M01!B44,[18]M02!B44,[18]M03!B44,[18]M04!B44,[18]M05!B44,[18]M06!B44,[18]M07!B44,[18]M08!B44,[18]M09!B44,[18]M10!B44,[18]M11!B44,[18]M12!B44)</f>
        <v>0</v>
      </c>
      <c r="C60" s="223">
        <f>SUM([18]M01!C44,[18]M02!C44,[18]M03!C44,[18]M04!C44,[18]M05!C44,[18]M06!C44,[18]M07!C44,[18]M08!C44,[18]M09!C44,[18]M10!C44,[18]M11!C44,[18]M12!C44)</f>
        <v>0</v>
      </c>
      <c r="D60" s="223">
        <f>SUM([18]M01!D44,[18]M02!D44,[18]M03!D44,[18]M04!D44,[18]M05!D44,[18]M06!D44,[18]M07!D44,[18]M08!D44,[18]M09!D44,[18]M10!D44,[18]M11!D44,[18]M12!D44)</f>
        <v>0</v>
      </c>
      <c r="E60" s="223">
        <f>SUM([18]M01!E44,[18]M02!E44,[18]M03!E44,[18]M04!E44,[18]M05!E44,[18]M06!E44,[18]M07!E44,[18]M08!E44,[18]M09!E44,[18]M10!E44,[18]M11!E44,[18]M12!E44)</f>
        <v>0</v>
      </c>
      <c r="F60" s="223">
        <f>SUM([18]M01!F44,[18]M02!F44,[18]M03!F44,[18]M04!F44,[18]M05!F44,[18]M06!F44,[18]M07!F44,[18]M08!F44,[18]M09!F44,[18]M10!F44,[18]M11!F44,[18]M12!F44)</f>
        <v>0</v>
      </c>
      <c r="G60" s="223">
        <f>SUM([18]M01!G44,[18]M02!G44,[18]M03!G44,[18]M04!G44,[18]M05!G44,[18]M06!G44,[18]M07!G44,[18]M08!G44,[18]M09!G44,[18]M10!G44,[18]M11!G44,[18]M12!G44)</f>
        <v>0</v>
      </c>
      <c r="H60" s="223">
        <f>SUM([18]M01!H44,[18]M02!H44,[18]M03!H44,[18]M04!H44,[18]M05!H44,[18]M06!H44,[18]M07!H44,[18]M08!H44,[18]M09!H44,[18]M10!H44,[18]M11!H44,[18]M12!H44)</f>
        <v>0</v>
      </c>
      <c r="I60" s="223">
        <f>SUM([18]M01!I44,[18]M02!I44,[18]M03!I44,[18]M04!I44,[18]M05!I44,[18]M06!I44,[18]M07!I44,[18]M08!I44,[18]M09!I44,[18]M10!I44,[18]M11!I44,[18]M12!I44)</f>
        <v>0</v>
      </c>
      <c r="J60" s="223">
        <f>SUM([18]M01!J44,[18]M02!J44,[18]M03!J44,[18]M04!J44,[18]M05!J44,[18]M06!J44,[18]M07!J44,[18]M08!J44,[18]M09!J44,[18]M10!J44,[18]M11!J44,[18]M12!J44)</f>
        <v>0</v>
      </c>
      <c r="K60" s="224">
        <f>SUM([18]M01!K44,[18]M02!K44,[18]M03!K44,[18]M04!K44,[18]M05!K44,[18]M06!K44,[18]M07!K44,[18]M08!K44,[18]M09!K44,[18]M10!K44,[18]M11!K44,[18]M12!K44)</f>
        <v>0</v>
      </c>
      <c r="L60" s="225">
        <f>SUM(B60:K60)</f>
        <v>0</v>
      </c>
      <c r="M60" s="226" t="e">
        <f>L60/(L61+L60)</f>
        <v>#DIV/0!</v>
      </c>
      <c r="N60" s="166"/>
    </row>
    <row r="61" spans="1:14" ht="15" customHeight="1">
      <c r="A61" s="228" t="s">
        <v>181</v>
      </c>
      <c r="B61" s="229">
        <f>SUM([18]M01!B45,[18]M02!B45,[18]M03!B45,[18]M04!B45,[18]M05!B45,[18]M06!B45,[18]M07!B45,[18]M08!B45,[18]M09!B45,[18]M10!B45,[18]M11!B45,[18]M12!B45)</f>
        <v>0</v>
      </c>
      <c r="C61" s="230">
        <f>SUM([18]M01!C45,[18]M02!C45,[18]M03!C45,[18]M04!C45,[18]M05!C45,[18]M06!C45,[18]M07!C45,[18]M08!C45,[18]M09!C45,[18]M10!C45,[18]M11!C45,[18]M12!C45)</f>
        <v>0</v>
      </c>
      <c r="D61" s="230">
        <f>SUM([18]M01!D45,[18]M02!D45,[18]M03!D45,[18]M04!D45,[18]M05!D45,[18]M06!D45,[18]M07!D45,[18]M08!D45,[18]M09!D45,[18]M10!D45,[18]M11!D45,[18]M12!D45)</f>
        <v>0</v>
      </c>
      <c r="E61" s="230">
        <f>SUM([18]M01!E45,[18]M02!E45,[18]M03!E45,[18]M04!E45,[18]M05!E45,[18]M06!E45,[18]M07!E45,[18]M08!E45,[18]M09!E45,[18]M10!E45,[18]M11!E45,[18]M12!E45)</f>
        <v>0</v>
      </c>
      <c r="F61" s="230">
        <f>SUM([18]M01!F45,[18]M02!F45,[18]M03!F45,[18]M04!F45,[18]M05!F45,[18]M06!F45,[18]M07!F45,[18]M08!F45,[18]M09!F45,[18]M10!F45,[18]M11!F45,[18]M12!F45)</f>
        <v>0</v>
      </c>
      <c r="G61" s="230">
        <f>SUM([18]M01!G45,[18]M02!G45,[18]M03!G45,[18]M04!G45,[18]M05!G45,[18]M06!G45,[18]M07!G45,[18]M08!G45,[18]M09!G45,[18]M10!G45,[18]M11!G45,[18]M12!G45)</f>
        <v>0</v>
      </c>
      <c r="H61" s="230">
        <f>SUM([18]M01!H45,[18]M02!H45,[18]M03!H45,[18]M04!H45,[18]M05!H45,[18]M06!H45,[18]M07!H45,[18]M08!H45,[18]M09!H45,[18]M10!H45,[18]M11!H45,[18]M12!H45)</f>
        <v>0</v>
      </c>
      <c r="I61" s="230">
        <f>SUM([18]M01!I45,[18]M02!I45,[18]M03!I45,[18]M04!I45,[18]M05!I45,[18]M06!I45,[18]M07!I45,[18]M08!I45,[18]M09!I45,[18]M10!I45,[18]M11!I45,[18]M12!I45)</f>
        <v>0</v>
      </c>
      <c r="J61" s="230">
        <f>SUM([18]M01!J45,[18]M02!J45,[18]M03!J45,[18]M04!J45,[18]M05!J45,[18]M06!J45,[18]M07!J45,[18]M08!J45,[18]M09!J45,[18]M10!J45,[18]M11!J45,[18]M12!J45)</f>
        <v>0</v>
      </c>
      <c r="K61" s="231">
        <f>SUM([18]M01!K45,[18]M02!K45,[18]M03!K45,[18]M04!K45,[18]M05!K45,[18]M06!K45,[18]M07!K45,[18]M08!K45,[18]M09!K45,[18]M10!K45,[18]M11!K45,[18]M12!K45)</f>
        <v>0</v>
      </c>
      <c r="L61" s="232">
        <f>SUM(B61:K61)</f>
        <v>0</v>
      </c>
      <c r="M61" s="233" t="e">
        <f>L61/(L60+L61)</f>
        <v>#DIV/0!</v>
      </c>
      <c r="N61" s="166"/>
    </row>
    <row r="62" spans="1:14" ht="20.25" hidden="1" customHeight="1">
      <c r="A62" s="213" t="s">
        <v>182</v>
      </c>
      <c r="B62" s="234"/>
      <c r="C62" s="234"/>
      <c r="D62" s="234"/>
      <c r="E62" s="234"/>
      <c r="F62" s="234"/>
      <c r="G62" s="235">
        <f>SUM([18]M01!G46,[18]M02!G46,[18]M03!G46,[18]M04!G46,[18]M05!G46,[18]M06!G46,[18]M07!G46,[18]M08!G46,[18]M09!G46,[18]M10!G46,[18]M11!G46,[18]M12!G46)</f>
        <v>0</v>
      </c>
      <c r="H62" s="236">
        <f>G62/L51</f>
        <v>0</v>
      </c>
      <c r="I62" s="234"/>
      <c r="J62" s="234"/>
      <c r="K62" s="234"/>
      <c r="L62" s="212"/>
      <c r="N62" s="166"/>
    </row>
    <row r="63" spans="1:14" ht="15" customHeight="1">
      <c r="A63" s="234"/>
      <c r="B63" s="234"/>
      <c r="C63" s="234"/>
      <c r="D63" s="234"/>
      <c r="E63" s="234"/>
      <c r="F63" s="234"/>
      <c r="G63" s="234"/>
      <c r="H63" s="234"/>
      <c r="I63" s="234"/>
      <c r="J63" s="234"/>
      <c r="K63" s="234"/>
      <c r="L63" s="212"/>
      <c r="N63" s="166"/>
    </row>
    <row r="64" spans="1:14" ht="20.25" customHeight="1">
      <c r="A64" s="237" t="s">
        <v>183</v>
      </c>
      <c r="B64" s="238"/>
      <c r="C64" s="238"/>
      <c r="D64" s="238"/>
      <c r="E64" s="238"/>
      <c r="F64" s="238"/>
      <c r="G64" s="238"/>
      <c r="H64" s="238"/>
      <c r="I64" s="238"/>
      <c r="J64" s="238"/>
      <c r="K64" s="238"/>
      <c r="L64" s="219">
        <f>L65+L66</f>
        <v>117853.8129751063</v>
      </c>
      <c r="M64" s="239">
        <f>L64/(B3+B7)</f>
        <v>1</v>
      </c>
      <c r="N64" s="240"/>
    </row>
    <row r="65" spans="1:14" ht="15" customHeight="1">
      <c r="A65" s="241" t="s">
        <v>110</v>
      </c>
      <c r="B65" s="242">
        <f>B54+B57</f>
        <v>5434.1389027850437</v>
      </c>
      <c r="C65" s="243">
        <f t="shared" ref="C65:K65" si="2">C54+C57</f>
        <v>8407.9663871699013</v>
      </c>
      <c r="D65" s="243">
        <f t="shared" si="2"/>
        <v>3371.5015414093805</v>
      </c>
      <c r="E65" s="243">
        <f t="shared" si="2"/>
        <v>10001.377259242072</v>
      </c>
      <c r="F65" s="243">
        <f t="shared" si="2"/>
        <v>5495.5772663787229</v>
      </c>
      <c r="G65" s="243">
        <f t="shared" si="2"/>
        <v>1544.1347955839319</v>
      </c>
      <c r="H65" s="243">
        <f t="shared" si="2"/>
        <v>818.64315503929743</v>
      </c>
      <c r="I65" s="243">
        <f t="shared" si="2"/>
        <v>1804.4874272921668</v>
      </c>
      <c r="J65" s="243">
        <f t="shared" si="2"/>
        <v>9335.2051657348329</v>
      </c>
      <c r="K65" s="244">
        <f t="shared" si="2"/>
        <v>6821.1839381624886</v>
      </c>
      <c r="L65" s="225">
        <f>SUM(B65:K65)</f>
        <v>53034.215838797834</v>
      </c>
      <c r="M65" s="226">
        <f>L65/(L66+L65)</f>
        <v>0.45</v>
      </c>
      <c r="N65" s="240"/>
    </row>
    <row r="66" spans="1:14" ht="15" customHeight="1">
      <c r="A66" s="245" t="s">
        <v>167</v>
      </c>
      <c r="B66" s="246">
        <f>B55+B58+B60+B61</f>
        <v>364.71869010093133</v>
      </c>
      <c r="C66" s="247">
        <f t="shared" ref="C66:K66" si="3">C55+C58+C60+C61</f>
        <v>0</v>
      </c>
      <c r="D66" s="247">
        <f t="shared" si="3"/>
        <v>0.69869531604274715</v>
      </c>
      <c r="E66" s="247">
        <f t="shared" si="3"/>
        <v>3025.8118559604504</v>
      </c>
      <c r="F66" s="247">
        <f t="shared" si="3"/>
        <v>8002.1968202134794</v>
      </c>
      <c r="G66" s="247">
        <f t="shared" si="3"/>
        <v>6861.9670512944467</v>
      </c>
      <c r="H66" s="247">
        <f t="shared" si="3"/>
        <v>39958.047612717623</v>
      </c>
      <c r="I66" s="247">
        <f t="shared" si="3"/>
        <v>39.093568928960444</v>
      </c>
      <c r="J66" s="247">
        <f t="shared" si="3"/>
        <v>5614.3701518194284</v>
      </c>
      <c r="K66" s="248">
        <f t="shared" si="3"/>
        <v>952.69268995710297</v>
      </c>
      <c r="L66" s="232">
        <f>SUM(B66:K66)</f>
        <v>64819.597136308468</v>
      </c>
      <c r="M66" s="233">
        <f>L66/(L65+L66)</f>
        <v>0.55000000000000004</v>
      </c>
      <c r="N66" s="240"/>
    </row>
    <row r="67" spans="1:14" ht="15" customHeight="1">
      <c r="B67" s="236">
        <f>B65/$L$64</f>
        <v>4.6109147982618698E-2</v>
      </c>
      <c r="C67" s="236">
        <f t="shared" ref="C67:K67" si="4">C65/$L$64</f>
        <v>7.1342336534719303E-2</v>
      </c>
      <c r="D67" s="236">
        <f t="shared" si="4"/>
        <v>2.8607488008228692E-2</v>
      </c>
      <c r="E67" s="236">
        <f t="shared" si="4"/>
        <v>8.4862568352833997E-2</v>
      </c>
      <c r="F67" s="236">
        <f t="shared" si="4"/>
        <v>4.6630457917721573E-2</v>
      </c>
      <c r="G67" s="236">
        <f t="shared" si="4"/>
        <v>1.3102119962042231E-2</v>
      </c>
      <c r="H67" s="236">
        <f t="shared" si="4"/>
        <v>6.9462593901159185E-3</v>
      </c>
      <c r="I67" s="236">
        <f t="shared" si="4"/>
        <v>1.5311235010048595E-2</v>
      </c>
      <c r="J67" s="236">
        <f t="shared" si="4"/>
        <v>7.9210039370611315E-2</v>
      </c>
      <c r="K67" s="236">
        <f t="shared" si="4"/>
        <v>5.7878347471059723E-2</v>
      </c>
      <c r="N67" s="166"/>
    </row>
    <row r="68" spans="1:14" ht="15" customHeight="1">
      <c r="B68" s="236">
        <f t="shared" ref="B68:K68" si="5">B66/$L$64</f>
        <v>3.0946702605028921E-3</v>
      </c>
      <c r="C68" s="236">
        <f t="shared" si="5"/>
        <v>0</v>
      </c>
      <c r="D68" s="236">
        <f t="shared" si="5"/>
        <v>5.9284913945917838E-6</v>
      </c>
      <c r="E68" s="236">
        <f t="shared" si="5"/>
        <v>2.5674280530911447E-2</v>
      </c>
      <c r="F68" s="236">
        <f t="shared" si="5"/>
        <v>6.7899345962643951E-2</v>
      </c>
      <c r="G68" s="236">
        <f t="shared" si="5"/>
        <v>5.8224395783816239E-2</v>
      </c>
      <c r="H68" s="236">
        <f t="shared" si="5"/>
        <v>0.33904755903958556</v>
      </c>
      <c r="I68" s="236">
        <f t="shared" si="5"/>
        <v>3.3171238114474918E-4</v>
      </c>
      <c r="J68" s="236">
        <f t="shared" si="5"/>
        <v>4.7638426030435901E-2</v>
      </c>
      <c r="K68" s="236">
        <f t="shared" si="5"/>
        <v>8.0836815195647147E-3</v>
      </c>
      <c r="N68" s="166"/>
    </row>
    <row r="69" spans="1:14" ht="15" customHeight="1">
      <c r="B69" s="249"/>
      <c r="C69" s="249"/>
      <c r="D69" s="249"/>
      <c r="E69" s="249"/>
      <c r="F69" s="249"/>
      <c r="G69" s="249"/>
      <c r="H69" s="249"/>
      <c r="I69" s="249"/>
      <c r="J69" s="249"/>
      <c r="K69" s="249"/>
      <c r="L69" s="250"/>
      <c r="M69" s="251"/>
    </row>
    <row r="70" spans="1:14" ht="15" customHeight="1">
      <c r="B70" s="249"/>
      <c r="C70" s="249"/>
      <c r="D70" s="249"/>
      <c r="E70" s="249"/>
      <c r="F70" s="249"/>
      <c r="G70" s="249"/>
      <c r="H70" s="249"/>
      <c r="I70" s="249"/>
      <c r="J70" s="249"/>
      <c r="K70" s="249"/>
    </row>
    <row r="71" spans="1:14" ht="15" customHeight="1">
      <c r="B71" s="249"/>
      <c r="C71" s="249"/>
      <c r="D71" s="249"/>
      <c r="E71" s="249"/>
      <c r="F71" s="249"/>
      <c r="G71" s="249"/>
      <c r="H71" s="249"/>
      <c r="I71" s="249"/>
      <c r="J71" s="249"/>
      <c r="K71" s="249"/>
      <c r="L71" s="250"/>
    </row>
    <row r="72" spans="1:14" ht="15" customHeight="1">
      <c r="B72" s="249"/>
      <c r="C72" s="249"/>
      <c r="D72" s="249"/>
      <c r="E72" s="249"/>
      <c r="F72" s="249"/>
      <c r="G72" s="249"/>
      <c r="H72" s="249"/>
      <c r="I72" s="249"/>
      <c r="J72" s="249"/>
      <c r="K72" s="249"/>
      <c r="L72" s="250"/>
    </row>
  </sheetData>
  <conditionalFormatting sqref="B19:L20 B38:K38">
    <cfRule type="cellIs" dxfId="110" priority="18" operator="equal">
      <formula>0</formula>
    </cfRule>
  </conditionalFormatting>
  <conditionalFormatting sqref="B25:K27">
    <cfRule type="cellIs" dxfId="109" priority="17" operator="equal">
      <formula>0</formula>
    </cfRule>
  </conditionalFormatting>
  <conditionalFormatting sqref="B29:K30">
    <cfRule type="cellIs" dxfId="108" priority="16" operator="equal">
      <formula>0</formula>
    </cfRule>
  </conditionalFormatting>
  <conditionalFormatting sqref="B54:K55">
    <cfRule type="cellIs" dxfId="107" priority="15" operator="equal">
      <formula>0</formula>
    </cfRule>
  </conditionalFormatting>
  <conditionalFormatting sqref="L25:L27">
    <cfRule type="cellIs" dxfId="106" priority="14" operator="equal">
      <formula>0</formula>
    </cfRule>
  </conditionalFormatting>
  <conditionalFormatting sqref="B57:K58">
    <cfRule type="cellIs" dxfId="105" priority="13" operator="equal">
      <formula>0</formula>
    </cfRule>
  </conditionalFormatting>
  <conditionalFormatting sqref="B60:K61">
    <cfRule type="cellIs" dxfId="104" priority="12" operator="equal">
      <formula>0</formula>
    </cfRule>
  </conditionalFormatting>
  <conditionalFormatting sqref="B22:L23">
    <cfRule type="cellIs" dxfId="103" priority="11" operator="equal">
      <formula>0</formula>
    </cfRule>
  </conditionalFormatting>
  <conditionalFormatting sqref="N12:N13">
    <cfRule type="cellIs" dxfId="102" priority="10" stopIfTrue="1" operator="notEqual">
      <formula>8760</formula>
    </cfRule>
  </conditionalFormatting>
  <conditionalFormatting sqref="N14">
    <cfRule type="cellIs" dxfId="101" priority="9" stopIfTrue="1" operator="notEqual">
      <formula>1</formula>
    </cfRule>
  </conditionalFormatting>
  <conditionalFormatting sqref="L54:L55">
    <cfRule type="cellIs" dxfId="100" priority="8" operator="equal">
      <formula>0</formula>
    </cfRule>
  </conditionalFormatting>
  <conditionalFormatting sqref="M51">
    <cfRule type="cellIs" dxfId="99" priority="8" stopIfTrue="1" operator="notEqual">
      <formula>$L$51</formula>
    </cfRule>
  </conditionalFormatting>
  <conditionalFormatting sqref="L57:L58">
    <cfRule type="cellIs" dxfId="98" priority="6" operator="equal">
      <formula>0</formula>
    </cfRule>
  </conditionalFormatting>
  <conditionalFormatting sqref="L60:L61">
    <cfRule type="cellIs" dxfId="97" priority="5" operator="equal">
      <formula>0</formula>
    </cfRule>
  </conditionalFormatting>
  <conditionalFormatting sqref="B65:K66">
    <cfRule type="cellIs" dxfId="96" priority="4" operator="equal">
      <formula>0</formula>
    </cfRule>
  </conditionalFormatting>
  <conditionalFormatting sqref="L65:L66">
    <cfRule type="cellIs" dxfId="95" priority="3" operator="equal">
      <formula>0</formula>
    </cfRule>
  </conditionalFormatting>
  <conditionalFormatting sqref="L51">
    <cfRule type="cellIs" dxfId="94" priority="2" stopIfTrue="1" operator="notEqual">
      <formula>$M$51</formula>
    </cfRule>
  </conditionalFormatting>
  <conditionalFormatting sqref="B44:K45">
    <cfRule type="cellIs" dxfId="93" priority="1" operator="equal">
      <formula>0</formula>
    </cfRule>
  </conditionalFormatting>
  <printOptions horizontalCentered="1"/>
  <pageMargins left="0.39370078740157483" right="0.39370078740157483" top="0.98425196850393704" bottom="0.39370078740157483" header="0.59055118110236227" footer="0.31496062992125984"/>
  <pageSetup paperSize="9" scale="76" orientation="portrait" r:id="rId1"/>
  <headerFooter>
    <oddHeader>&amp;C&amp;Z&amp;F</oddHead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0B31BA-D7B1-43E3-A754-7354A3498B07}">
  <sheetPr>
    <pageSetUpPr fitToPage="1"/>
  </sheetPr>
  <dimension ref="A1:N72"/>
  <sheetViews>
    <sheetView topLeftCell="A48" zoomScaleNormal="100" workbookViewId="0">
      <selection sqref="A1:N68"/>
    </sheetView>
  </sheetViews>
  <sheetFormatPr baseColWidth="10" defaultColWidth="10.6640625" defaultRowHeight="15" customHeight="1"/>
  <cols>
    <col min="1" max="1" width="12.6640625" style="97" customWidth="1"/>
    <col min="2" max="256" width="10.6640625" style="97"/>
    <col min="257" max="257" width="12.6640625" style="97" customWidth="1"/>
    <col min="258" max="512" width="10.6640625" style="97"/>
    <col min="513" max="513" width="12.6640625" style="97" customWidth="1"/>
    <col min="514" max="768" width="10.6640625" style="97"/>
    <col min="769" max="769" width="12.6640625" style="97" customWidth="1"/>
    <col min="770" max="1024" width="10.6640625" style="97"/>
    <col min="1025" max="1025" width="12.6640625" style="97" customWidth="1"/>
    <col min="1026" max="1280" width="10.6640625" style="97"/>
    <col min="1281" max="1281" width="12.6640625" style="97" customWidth="1"/>
    <col min="1282" max="1536" width="10.6640625" style="97"/>
    <col min="1537" max="1537" width="12.6640625" style="97" customWidth="1"/>
    <col min="1538" max="1792" width="10.6640625" style="97"/>
    <col min="1793" max="1793" width="12.6640625" style="97" customWidth="1"/>
    <col min="1794" max="2048" width="10.6640625" style="97"/>
    <col min="2049" max="2049" width="12.6640625" style="97" customWidth="1"/>
    <col min="2050" max="2304" width="10.6640625" style="97"/>
    <col min="2305" max="2305" width="12.6640625" style="97" customWidth="1"/>
    <col min="2306" max="2560" width="10.6640625" style="97"/>
    <col min="2561" max="2561" width="12.6640625" style="97" customWidth="1"/>
    <col min="2562" max="2816" width="10.6640625" style="97"/>
    <col min="2817" max="2817" width="12.6640625" style="97" customWidth="1"/>
    <col min="2818" max="3072" width="10.6640625" style="97"/>
    <col min="3073" max="3073" width="12.6640625" style="97" customWidth="1"/>
    <col min="3074" max="3328" width="10.6640625" style="97"/>
    <col min="3329" max="3329" width="12.6640625" style="97" customWidth="1"/>
    <col min="3330" max="3584" width="10.6640625" style="97"/>
    <col min="3585" max="3585" width="12.6640625" style="97" customWidth="1"/>
    <col min="3586" max="3840" width="10.6640625" style="97"/>
    <col min="3841" max="3841" width="12.6640625" style="97" customWidth="1"/>
    <col min="3842" max="4096" width="10.6640625" style="97"/>
    <col min="4097" max="4097" width="12.6640625" style="97" customWidth="1"/>
    <col min="4098" max="4352" width="10.6640625" style="97"/>
    <col min="4353" max="4353" width="12.6640625" style="97" customWidth="1"/>
    <col min="4354" max="4608" width="10.6640625" style="97"/>
    <col min="4609" max="4609" width="12.6640625" style="97" customWidth="1"/>
    <col min="4610" max="4864" width="10.6640625" style="97"/>
    <col min="4865" max="4865" width="12.6640625" style="97" customWidth="1"/>
    <col min="4866" max="5120" width="10.6640625" style="97"/>
    <col min="5121" max="5121" width="12.6640625" style="97" customWidth="1"/>
    <col min="5122" max="5376" width="10.6640625" style="97"/>
    <col min="5377" max="5377" width="12.6640625" style="97" customWidth="1"/>
    <col min="5378" max="5632" width="10.6640625" style="97"/>
    <col min="5633" max="5633" width="12.6640625" style="97" customWidth="1"/>
    <col min="5634" max="5888" width="10.6640625" style="97"/>
    <col min="5889" max="5889" width="12.6640625" style="97" customWidth="1"/>
    <col min="5890" max="6144" width="10.6640625" style="97"/>
    <col min="6145" max="6145" width="12.6640625" style="97" customWidth="1"/>
    <col min="6146" max="6400" width="10.6640625" style="97"/>
    <col min="6401" max="6401" width="12.6640625" style="97" customWidth="1"/>
    <col min="6402" max="6656" width="10.6640625" style="97"/>
    <col min="6657" max="6657" width="12.6640625" style="97" customWidth="1"/>
    <col min="6658" max="6912" width="10.6640625" style="97"/>
    <col min="6913" max="6913" width="12.6640625" style="97" customWidth="1"/>
    <col min="6914" max="7168" width="10.6640625" style="97"/>
    <col min="7169" max="7169" width="12.6640625" style="97" customWidth="1"/>
    <col min="7170" max="7424" width="10.6640625" style="97"/>
    <col min="7425" max="7425" width="12.6640625" style="97" customWidth="1"/>
    <col min="7426" max="7680" width="10.6640625" style="97"/>
    <col min="7681" max="7681" width="12.6640625" style="97" customWidth="1"/>
    <col min="7682" max="7936" width="10.6640625" style="97"/>
    <col min="7937" max="7937" width="12.6640625" style="97" customWidth="1"/>
    <col min="7938" max="8192" width="10.6640625" style="97"/>
    <col min="8193" max="8193" width="12.6640625" style="97" customWidth="1"/>
    <col min="8194" max="8448" width="10.6640625" style="97"/>
    <col min="8449" max="8449" width="12.6640625" style="97" customWidth="1"/>
    <col min="8450" max="8704" width="10.6640625" style="97"/>
    <col min="8705" max="8705" width="12.6640625" style="97" customWidth="1"/>
    <col min="8706" max="8960" width="10.6640625" style="97"/>
    <col min="8961" max="8961" width="12.6640625" style="97" customWidth="1"/>
    <col min="8962" max="9216" width="10.6640625" style="97"/>
    <col min="9217" max="9217" width="12.6640625" style="97" customWidth="1"/>
    <col min="9218" max="9472" width="10.6640625" style="97"/>
    <col min="9473" max="9473" width="12.6640625" style="97" customWidth="1"/>
    <col min="9474" max="9728" width="10.6640625" style="97"/>
    <col min="9729" max="9729" width="12.6640625" style="97" customWidth="1"/>
    <col min="9730" max="9984" width="10.6640625" style="97"/>
    <col min="9985" max="9985" width="12.6640625" style="97" customWidth="1"/>
    <col min="9986" max="10240" width="10.6640625" style="97"/>
    <col min="10241" max="10241" width="12.6640625" style="97" customWidth="1"/>
    <col min="10242" max="10496" width="10.6640625" style="97"/>
    <col min="10497" max="10497" width="12.6640625" style="97" customWidth="1"/>
    <col min="10498" max="10752" width="10.6640625" style="97"/>
    <col min="10753" max="10753" width="12.6640625" style="97" customWidth="1"/>
    <col min="10754" max="11008" width="10.6640625" style="97"/>
    <col min="11009" max="11009" width="12.6640625" style="97" customWidth="1"/>
    <col min="11010" max="11264" width="10.6640625" style="97"/>
    <col min="11265" max="11265" width="12.6640625" style="97" customWidth="1"/>
    <col min="11266" max="11520" width="10.6640625" style="97"/>
    <col min="11521" max="11521" width="12.6640625" style="97" customWidth="1"/>
    <col min="11522" max="11776" width="10.6640625" style="97"/>
    <col min="11777" max="11777" width="12.6640625" style="97" customWidth="1"/>
    <col min="11778" max="12032" width="10.6640625" style="97"/>
    <col min="12033" max="12033" width="12.6640625" style="97" customWidth="1"/>
    <col min="12034" max="12288" width="10.6640625" style="97"/>
    <col min="12289" max="12289" width="12.6640625" style="97" customWidth="1"/>
    <col min="12290" max="12544" width="10.6640625" style="97"/>
    <col min="12545" max="12545" width="12.6640625" style="97" customWidth="1"/>
    <col min="12546" max="12800" width="10.6640625" style="97"/>
    <col min="12801" max="12801" width="12.6640625" style="97" customWidth="1"/>
    <col min="12802" max="13056" width="10.6640625" style="97"/>
    <col min="13057" max="13057" width="12.6640625" style="97" customWidth="1"/>
    <col min="13058" max="13312" width="10.6640625" style="97"/>
    <col min="13313" max="13313" width="12.6640625" style="97" customWidth="1"/>
    <col min="13314" max="13568" width="10.6640625" style="97"/>
    <col min="13569" max="13569" width="12.6640625" style="97" customWidth="1"/>
    <col min="13570" max="13824" width="10.6640625" style="97"/>
    <col min="13825" max="13825" width="12.6640625" style="97" customWidth="1"/>
    <col min="13826" max="14080" width="10.6640625" style="97"/>
    <col min="14081" max="14081" width="12.6640625" style="97" customWidth="1"/>
    <col min="14082" max="14336" width="10.6640625" style="97"/>
    <col min="14337" max="14337" width="12.6640625" style="97" customWidth="1"/>
    <col min="14338" max="14592" width="10.6640625" style="97"/>
    <col min="14593" max="14593" width="12.6640625" style="97" customWidth="1"/>
    <col min="14594" max="14848" width="10.6640625" style="97"/>
    <col min="14849" max="14849" width="12.6640625" style="97" customWidth="1"/>
    <col min="14850" max="15104" width="10.6640625" style="97"/>
    <col min="15105" max="15105" width="12.6640625" style="97" customWidth="1"/>
    <col min="15106" max="15360" width="10.6640625" style="97"/>
    <col min="15361" max="15361" width="12.6640625" style="97" customWidth="1"/>
    <col min="15362" max="15616" width="10.6640625" style="97"/>
    <col min="15617" max="15617" width="12.6640625" style="97" customWidth="1"/>
    <col min="15618" max="15872" width="10.6640625" style="97"/>
    <col min="15873" max="15873" width="12.6640625" style="97" customWidth="1"/>
    <col min="15874" max="16128" width="10.6640625" style="97"/>
    <col min="16129" max="16129" width="12.6640625" style="97" customWidth="1"/>
    <col min="16130" max="16384" width="10.6640625" style="97"/>
  </cols>
  <sheetData>
    <row r="1" spans="1:14" ht="22.2" customHeight="1">
      <c r="A1" s="95" t="s">
        <v>0</v>
      </c>
      <c r="B1" s="96">
        <f>[19]Input!B1</f>
        <v>2</v>
      </c>
      <c r="C1" s="96" t="str">
        <f>[19]Input!C1</f>
        <v>2026-2027</v>
      </c>
    </row>
    <row r="2" spans="1:14" ht="15" customHeight="1">
      <c r="A2" s="98"/>
      <c r="B2" s="99" t="s">
        <v>2</v>
      </c>
      <c r="C2" s="100"/>
      <c r="D2" s="99" t="s">
        <v>3</v>
      </c>
      <c r="E2" s="101"/>
      <c r="F2" s="102" t="s">
        <v>115</v>
      </c>
    </row>
    <row r="3" spans="1:14" ht="15" customHeight="1">
      <c r="A3" s="103" t="s">
        <v>5</v>
      </c>
      <c r="B3" s="104">
        <f>[19]Input!B3</f>
        <v>113135.2823941994</v>
      </c>
      <c r="C3" s="105">
        <f>C4+C5</f>
        <v>1</v>
      </c>
      <c r="D3" s="106">
        <f>[19]Input!D3</f>
        <v>3473.2899999999995</v>
      </c>
      <c r="E3" s="105">
        <f>E4+E5</f>
        <v>1</v>
      </c>
      <c r="F3" s="107" t="s">
        <v>6</v>
      </c>
      <c r="H3" s="108" t="s">
        <v>9</v>
      </c>
      <c r="I3" s="109">
        <v>0.7</v>
      </c>
      <c r="J3" s="110">
        <f>I3*B3</f>
        <v>79194.697675939577</v>
      </c>
      <c r="K3" s="111" t="s">
        <v>8</v>
      </c>
      <c r="L3" s="112">
        <f>L54+L57</f>
        <v>50910.877077382363</v>
      </c>
      <c r="M3" s="113">
        <f>L3/(L4+L3)</f>
        <v>0.45000000000000007</v>
      </c>
    </row>
    <row r="4" spans="1:14" ht="15" customHeight="1">
      <c r="A4" s="114" t="s">
        <v>10</v>
      </c>
      <c r="B4" s="115">
        <f>[19]Input!B4</f>
        <v>96758.949551361264</v>
      </c>
      <c r="C4" s="116">
        <f>B4/B3</f>
        <v>0.85524999366883825</v>
      </c>
      <c r="D4" s="117">
        <f>[19]Input!D4</f>
        <v>3198.5299999999993</v>
      </c>
      <c r="E4" s="116">
        <f>D4/D3</f>
        <v>0.92089344684722552</v>
      </c>
      <c r="F4" s="118">
        <f>[19]Input!F4</f>
        <v>30.251068319309585</v>
      </c>
      <c r="H4" s="108" t="s">
        <v>11</v>
      </c>
      <c r="I4" s="109">
        <v>0.3</v>
      </c>
      <c r="J4" s="110">
        <f>I4*B3</f>
        <v>33940.584718259815</v>
      </c>
      <c r="K4" s="111" t="s">
        <v>8</v>
      </c>
      <c r="L4" s="112">
        <f>L55+L58</f>
        <v>62224.40531680065</v>
      </c>
      <c r="M4" s="113">
        <f>L4/(L3+L4)</f>
        <v>0.54999999999999993</v>
      </c>
    </row>
    <row r="5" spans="1:14" ht="15" customHeight="1">
      <c r="A5" s="119" t="s">
        <v>12</v>
      </c>
      <c r="B5" s="120">
        <f>[19]Input!B5</f>
        <v>16376.332842838136</v>
      </c>
      <c r="C5" s="121">
        <f>B5/B3</f>
        <v>0.14475000633116175</v>
      </c>
      <c r="D5" s="122">
        <f>[19]Input!D5</f>
        <v>274.76000000000005</v>
      </c>
      <c r="E5" s="121">
        <f>D5/D3</f>
        <v>7.9106553152774484E-2</v>
      </c>
      <c r="F5" s="123">
        <f>[19]Input!F5</f>
        <v>59.602317814958994</v>
      </c>
    </row>
    <row r="6" spans="1:14" ht="15" customHeight="1">
      <c r="B6" s="124"/>
    </row>
    <row r="7" spans="1:14" ht="15" customHeight="1">
      <c r="A7" s="95" t="s">
        <v>116</v>
      </c>
      <c r="B7" s="104">
        <f>[19]Input!B7</f>
        <v>0</v>
      </c>
      <c r="C7" s="105">
        <f>[19]Input!C7</f>
        <v>1</v>
      </c>
      <c r="D7" s="106">
        <f>[19]Input!D7</f>
        <v>0</v>
      </c>
      <c r="E7" s="105">
        <f>[19]Input!E7</f>
        <v>1</v>
      </c>
      <c r="F7" s="125">
        <f>[19]Input!F7</f>
        <v>0</v>
      </c>
      <c r="G7" s="97" t="str">
        <f>[19]Input!G7</f>
        <v>(230 kV)</v>
      </c>
    </row>
    <row r="9" spans="1:14" ht="15" customHeight="1">
      <c r="A9" s="126" t="s">
        <v>117</v>
      </c>
      <c r="B9" s="127" t="s">
        <v>118</v>
      </c>
      <c r="C9" s="128" t="s">
        <v>119</v>
      </c>
      <c r="D9" s="128" t="s">
        <v>120</v>
      </c>
      <c r="E9" s="128" t="s">
        <v>121</v>
      </c>
      <c r="F9" s="128" t="s">
        <v>122</v>
      </c>
      <c r="G9" s="128" t="s">
        <v>123</v>
      </c>
      <c r="H9" s="129" t="s">
        <v>124</v>
      </c>
      <c r="I9" s="129" t="s">
        <v>125</v>
      </c>
      <c r="J9" s="129" t="s">
        <v>126</v>
      </c>
      <c r="K9" s="129" t="s">
        <v>127</v>
      </c>
      <c r="L9" s="129" t="s">
        <v>128</v>
      </c>
      <c r="M9" s="130" t="s">
        <v>129</v>
      </c>
    </row>
    <row r="10" spans="1:14" ht="15" customHeight="1">
      <c r="A10" s="131"/>
      <c r="B10" s="132" t="s">
        <v>130</v>
      </c>
      <c r="C10" s="133" t="s">
        <v>131</v>
      </c>
      <c r="D10" s="133" t="s">
        <v>132</v>
      </c>
      <c r="E10" s="133" t="s">
        <v>133</v>
      </c>
      <c r="F10" s="133" t="s">
        <v>134</v>
      </c>
      <c r="G10" s="133" t="s">
        <v>135</v>
      </c>
      <c r="H10" s="133" t="s">
        <v>136</v>
      </c>
      <c r="I10" s="133" t="s">
        <v>137</v>
      </c>
      <c r="J10" s="133" t="s">
        <v>138</v>
      </c>
      <c r="K10" s="133" t="s">
        <v>139</v>
      </c>
      <c r="L10" s="133" t="s">
        <v>140</v>
      </c>
      <c r="M10" s="134" t="s">
        <v>141</v>
      </c>
    </row>
    <row r="11" spans="1:14" ht="15" customHeight="1">
      <c r="A11" s="126" t="s">
        <v>142</v>
      </c>
      <c r="B11" s="127" t="s">
        <v>143</v>
      </c>
      <c r="C11" s="128" t="s">
        <v>143</v>
      </c>
      <c r="D11" s="128" t="s">
        <v>143</v>
      </c>
      <c r="E11" s="128" t="s">
        <v>143</v>
      </c>
      <c r="F11" s="128" t="s">
        <v>143</v>
      </c>
      <c r="G11" s="128" t="s">
        <v>143</v>
      </c>
      <c r="H11" s="129" t="s">
        <v>144</v>
      </c>
      <c r="I11" s="129" t="s">
        <v>144</v>
      </c>
      <c r="J11" s="129" t="s">
        <v>144</v>
      </c>
      <c r="K11" s="129" t="s">
        <v>144</v>
      </c>
      <c r="L11" s="129" t="s">
        <v>144</v>
      </c>
      <c r="M11" s="130" t="s">
        <v>143</v>
      </c>
    </row>
    <row r="12" spans="1:14" ht="15" customHeight="1">
      <c r="A12" s="135">
        <f>SUM(B12:M12)</f>
        <v>8760</v>
      </c>
      <c r="B12" s="136">
        <f>24*31</f>
        <v>744</v>
      </c>
      <c r="C12" s="137">
        <f>24*31</f>
        <v>744</v>
      </c>
      <c r="D12" s="137">
        <f>24*30</f>
        <v>720</v>
      </c>
      <c r="E12" s="137">
        <f>24*31</f>
        <v>744</v>
      </c>
      <c r="F12" s="137">
        <f>24*30</f>
        <v>720</v>
      </c>
      <c r="G12" s="137">
        <f>24*31</f>
        <v>744</v>
      </c>
      <c r="H12" s="137">
        <f>24*31</f>
        <v>744</v>
      </c>
      <c r="I12" s="137">
        <f>24*28</f>
        <v>672</v>
      </c>
      <c r="J12" s="137">
        <f>24*31</f>
        <v>744</v>
      </c>
      <c r="K12" s="137">
        <f>24*30</f>
        <v>720</v>
      </c>
      <c r="L12" s="137">
        <f>24*31</f>
        <v>744</v>
      </c>
      <c r="M12" s="138">
        <f>24*30</f>
        <v>720</v>
      </c>
      <c r="N12" s="139">
        <f>SUM(B12:M12)</f>
        <v>8760</v>
      </c>
    </row>
    <row r="13" spans="1:14" ht="15" customHeight="1">
      <c r="A13" s="140" t="s">
        <v>145</v>
      </c>
      <c r="B13" s="114">
        <f>[20]M01!$H$13</f>
        <v>744</v>
      </c>
      <c r="C13" s="97">
        <f>[20]M02!$H$13</f>
        <v>744</v>
      </c>
      <c r="D13" s="97">
        <f>[20]M03!$H$13</f>
        <v>720</v>
      </c>
      <c r="E13" s="97">
        <f>[20]M04!$H$13</f>
        <v>744</v>
      </c>
      <c r="F13" s="97">
        <f>[20]M05!$H$13</f>
        <v>720</v>
      </c>
      <c r="G13" s="97">
        <f>[20]M06!$H$13</f>
        <v>744</v>
      </c>
      <c r="H13" s="97">
        <f>[20]M07!$H$13</f>
        <v>744</v>
      </c>
      <c r="I13" s="97">
        <f>[20]M08!$H$13</f>
        <v>672</v>
      </c>
      <c r="J13" s="97">
        <f>[20]M09!$H$13</f>
        <v>744</v>
      </c>
      <c r="K13" s="97">
        <f>[20]M10!$H$13</f>
        <v>720</v>
      </c>
      <c r="L13" s="97">
        <f>[20]M11!$H$13</f>
        <v>744</v>
      </c>
      <c r="M13" s="141">
        <f>[20]M12!$H$13</f>
        <v>720</v>
      </c>
      <c r="N13" s="367">
        <f>SUM(B13:M13)</f>
        <v>8760</v>
      </c>
    </row>
    <row r="14" spans="1:14" ht="15" customHeight="1">
      <c r="A14" s="131" t="s">
        <v>146</v>
      </c>
      <c r="B14" s="142">
        <f>[20]M01!$I$13</f>
        <v>8.4931506849315067E-2</v>
      </c>
      <c r="C14" s="143">
        <f>[20]M02!$I$13</f>
        <v>8.493150684931508E-2</v>
      </c>
      <c r="D14" s="143">
        <f>[20]M03!$I$13</f>
        <v>8.2191780821917804E-2</v>
      </c>
      <c r="E14" s="143">
        <f>[20]M04!$I$13</f>
        <v>8.4931506849315067E-2</v>
      </c>
      <c r="F14" s="143">
        <f>[20]M05!$I$13</f>
        <v>8.2191780821917818E-2</v>
      </c>
      <c r="G14" s="143">
        <f>[20]M06!$I$13</f>
        <v>8.4931506849315039E-2</v>
      </c>
      <c r="H14" s="143">
        <f>[20]M07!$I$13</f>
        <v>8.4931506849315067E-2</v>
      </c>
      <c r="I14" s="143">
        <f>[20]M08!$I$13</f>
        <v>7.6712328767123306E-2</v>
      </c>
      <c r="J14" s="143">
        <f>[20]M09!$I$13</f>
        <v>8.493150684931508E-2</v>
      </c>
      <c r="K14" s="143">
        <f>[20]M10!$I$13</f>
        <v>8.2191780821917804E-2</v>
      </c>
      <c r="L14" s="143">
        <f>[20]M11!$I$13</f>
        <v>8.4931506849315067E-2</v>
      </c>
      <c r="M14" s="144">
        <f>[20]M12!$I$13</f>
        <v>8.2191780821917804E-2</v>
      </c>
      <c r="N14" s="145">
        <f>SUM(B14:M14)</f>
        <v>0.99999999999999989</v>
      </c>
    </row>
    <row r="16" spans="1:14" ht="20.25" customHeight="1">
      <c r="A16" s="146" t="s">
        <v>25</v>
      </c>
      <c r="B16" s="147">
        <v>1</v>
      </c>
      <c r="C16" s="147">
        <v>2</v>
      </c>
      <c r="D16" s="147">
        <v>3</v>
      </c>
      <c r="E16" s="147">
        <v>4</v>
      </c>
      <c r="F16" s="147">
        <v>5</v>
      </c>
      <c r="G16" s="147">
        <v>6</v>
      </c>
      <c r="H16" s="147">
        <v>7</v>
      </c>
      <c r="I16" s="147">
        <v>8</v>
      </c>
      <c r="J16" s="147">
        <v>9</v>
      </c>
      <c r="K16" s="148">
        <v>10</v>
      </c>
      <c r="L16" s="149" t="s">
        <v>20</v>
      </c>
    </row>
    <row r="17" spans="1:14" ht="25.2" customHeight="1">
      <c r="A17" s="150" t="s">
        <v>147</v>
      </c>
      <c r="B17" s="151" t="s">
        <v>148</v>
      </c>
      <c r="C17" s="151" t="s">
        <v>149</v>
      </c>
      <c r="D17" s="151" t="s">
        <v>150</v>
      </c>
      <c r="E17" s="151" t="s">
        <v>151</v>
      </c>
      <c r="F17" s="151" t="s">
        <v>152</v>
      </c>
      <c r="G17" s="151" t="s">
        <v>153</v>
      </c>
      <c r="H17" s="151" t="s">
        <v>154</v>
      </c>
      <c r="I17" s="151" t="s">
        <v>155</v>
      </c>
      <c r="J17" s="151" t="s">
        <v>156</v>
      </c>
      <c r="K17" s="152" t="s">
        <v>157</v>
      </c>
      <c r="L17" s="153"/>
    </row>
    <row r="18" spans="1:14" ht="20.25" customHeight="1">
      <c r="A18" s="154" t="s">
        <v>158</v>
      </c>
      <c r="L18" s="155"/>
    </row>
    <row r="19" spans="1:14" ht="15" customHeight="1">
      <c r="A19" s="126" t="s">
        <v>159</v>
      </c>
      <c r="B19" s="156">
        <f>[19]Input!B11</f>
        <v>792.31</v>
      </c>
      <c r="C19" s="157">
        <f>[19]Input!C11</f>
        <v>730.88000000000011</v>
      </c>
      <c r="D19" s="157">
        <f>[19]Input!D11</f>
        <v>178.73000000000005</v>
      </c>
      <c r="E19" s="157">
        <f>[19]Input!E11</f>
        <v>654.92099999999982</v>
      </c>
      <c r="F19" s="157">
        <f>[19]Input!F11</f>
        <v>992.00999999999988</v>
      </c>
      <c r="G19" s="157">
        <f>[19]Input!G11</f>
        <v>321.21000000000004</v>
      </c>
      <c r="H19" s="157">
        <f>[19]Input!H11</f>
        <v>154.33000000000001</v>
      </c>
      <c r="I19" s="157">
        <f>[19]Input!I11</f>
        <v>260</v>
      </c>
      <c r="J19" s="157">
        <f>[19]Input!J11</f>
        <v>1565.45</v>
      </c>
      <c r="K19" s="158">
        <f>[19]Input!K11</f>
        <v>252.17</v>
      </c>
      <c r="L19" s="159">
        <f>SUM(B19:K19)</f>
        <v>5902.0109999999995</v>
      </c>
    </row>
    <row r="20" spans="1:14" ht="15" customHeight="1">
      <c r="A20" s="131" t="s">
        <v>22</v>
      </c>
      <c r="B20" s="160">
        <f>[19]Input!B12</f>
        <v>23.22833208939743</v>
      </c>
      <c r="C20" s="161">
        <f>[19]Input!C12</f>
        <v>0</v>
      </c>
      <c r="D20" s="161">
        <f>[19]Input!D12</f>
        <v>4.4498752794533518E-2</v>
      </c>
      <c r="E20" s="161">
        <f>[19]Input!E12</f>
        <v>149.24856701236146</v>
      </c>
      <c r="F20" s="161">
        <f>[19]Input!F12</f>
        <v>335.29745997501783</v>
      </c>
      <c r="G20" s="161">
        <f>[19]Input!G12</f>
        <v>226.53232313925443</v>
      </c>
      <c r="H20" s="161">
        <f>[19]Input!H12</f>
        <v>1185.2618253598105</v>
      </c>
      <c r="I20" s="161">
        <f>[19]Input!I12</f>
        <v>1.31</v>
      </c>
      <c r="J20" s="161">
        <f>[19]Input!J12</f>
        <v>125.84747418222581</v>
      </c>
      <c r="K20" s="162">
        <f>[19]Input!K12</f>
        <v>57.779453498797743</v>
      </c>
      <c r="L20" s="163">
        <f>SUM(B20:K20)</f>
        <v>2104.5499340096599</v>
      </c>
    </row>
    <row r="21" spans="1:14" ht="20.25" customHeight="1">
      <c r="A21" s="154" t="s">
        <v>160</v>
      </c>
      <c r="L21" s="155"/>
    </row>
    <row r="22" spans="1:14" ht="15" customHeight="1">
      <c r="A22" s="126" t="s">
        <v>161</v>
      </c>
      <c r="B22" s="156">
        <f>SUM([20]M01!B21*$B$14,[20]M02!B21*$C$14,[20]M03!B21*$D$14,[20]M04!B21*$E$14,[20]M05!B21*$F$14,[20]M06!B21*$G$14,[20]M07!B21*$H$14,[20]M08!B21*$I$14,[20]M09!B21*$J$14,[20]M10!B21*$K$14,[20]M11!B21*$L$14,[20]M12!B21*$M$14)/$N$14</f>
        <v>199.72255707762559</v>
      </c>
      <c r="C22" s="157">
        <f>SUM([20]M01!C21*$B$14,[20]M02!C21*$C$14,[20]M03!C21*$D$14,[20]M04!C21*$E$14,[20]M05!C21*$F$14,[20]M06!C21*$G$14,[20]M07!C21*$H$14,[20]M08!C21*$I$14,[20]M09!C21*$J$14,[20]M10!C21*$K$14,[20]M11!C21*$L$14,[20]M12!C21*$M$14)/$N$14</f>
        <v>300.58561643835623</v>
      </c>
      <c r="D22" s="157">
        <f>SUM([20]M01!D21*$B$14,[20]M02!D21*$C$14,[20]M03!D21*$D$14,[20]M04!D21*$E$14,[20]M05!D21*$F$14,[20]M06!D21*$G$14,[20]M07!D21*$H$14,[20]M08!D21*$I$14,[20]M09!D21*$J$14,[20]M10!D21*$K$14,[20]M11!D21*$L$14,[20]M12!D21*$M$14)/$N$14</f>
        <v>135.11244292237447</v>
      </c>
      <c r="E22" s="157">
        <f>SUM([20]M01!E21*$B$14,[20]M02!E21*$C$14,[20]M03!E21*$D$14,[20]M04!E21*$E$14,[20]M05!E21*$F$14,[20]M06!E21*$G$14,[20]M07!E21*$H$14,[20]M08!E21*$I$14,[20]M09!E21*$J$14,[20]M10!E21*$K$14,[20]M11!E21*$L$14,[20]M12!E21*$M$14)/$N$14</f>
        <v>405.40908105022839</v>
      </c>
      <c r="F22" s="157">
        <f>SUM([20]M01!F21*$B$14,[20]M02!F21*$C$14,[20]M03!F21*$D$14,[20]M04!F21*$E$14,[20]M05!F21*$F$14,[20]M06!F21*$G$14,[20]M07!F21*$H$14,[20]M08!F21*$I$14,[20]M09!F21*$J$14,[20]M10!F21*$K$14,[20]M11!F21*$L$14,[20]M12!F21*$M$14)/$N$14</f>
        <v>87.73722031963473</v>
      </c>
      <c r="G22" s="157">
        <f>SUM([20]M01!G21*$B$14,[20]M02!G21*$C$14,[20]M03!G21*$D$14,[20]M04!G21*$E$14,[20]M05!G21*$F$14,[20]M06!G21*$G$14,[20]M07!G21*$H$14,[20]M08!G21*$I$14,[20]M09!G21*$J$14,[20]M10!G21*$K$14,[20]M11!G21*$L$14,[20]M12!G21*$M$14)/$N$14</f>
        <v>36.797260273972611</v>
      </c>
      <c r="H22" s="157">
        <f>SUM([20]M01!H21*$B$14,[20]M02!H21*$C$14,[20]M03!H21*$D$14,[20]M04!H21*$E$14,[20]M05!H21*$F$14,[20]M06!H21*$G$14,[20]M07!H21*$H$14,[20]M08!H21*$I$14,[20]M09!H21*$J$14,[20]M10!H21*$K$14,[20]M11!H21*$L$14,[20]M12!H21*$M$14)/$N$14</f>
        <v>0</v>
      </c>
      <c r="I22" s="157">
        <f>SUM([20]M01!I21*$B$14,[20]M02!I21*$C$14,[20]M03!I21*$D$14,[20]M04!I21*$E$14,[20]M05!I21*$F$14,[20]M06!I21*$G$14,[20]M07!I21*$H$14,[20]M08!I21*$I$14,[20]M09!I21*$J$14,[20]M10!I21*$K$14,[20]M11!I21*$L$14,[20]M12!I21*$M$14)/$N$14</f>
        <v>56.797716894977171</v>
      </c>
      <c r="J22" s="157">
        <f>SUM([20]M01!J21*$B$14,[20]M02!J21*$C$14,[20]M03!J21*$D$14,[20]M04!J21*$E$14,[20]M05!J21*$F$14,[20]M06!J21*$G$14,[20]M07!J21*$H$14,[20]M08!J21*$I$14,[20]M09!J21*$J$14,[20]M10!J21*$K$14,[20]M11!J21*$L$14,[20]M12!J21*$M$14)/$N$14</f>
        <v>37.713196347031968</v>
      </c>
      <c r="K22" s="158">
        <f>SUM([20]M01!K21*$B$14,[20]M02!K21*$C$14,[20]M03!K21*$D$14,[20]M04!K21*$E$14,[20]M05!K21*$F$14,[20]M06!K21*$G$14,[20]M07!K21*$H$14,[20]M08!K21*$I$14,[20]M09!K21*$J$14,[20]M10!K21*$K$14,[20]M11!K21*$L$14,[20]M12!K21*$M$14)/$N$14</f>
        <v>185.8361301369863</v>
      </c>
      <c r="L22" s="159">
        <f>SUM(B22:K22)</f>
        <v>1445.7112214611875</v>
      </c>
    </row>
    <row r="23" spans="1:14" ht="15" customHeight="1">
      <c r="A23" s="131" t="s">
        <v>162</v>
      </c>
      <c r="B23" s="160">
        <f>SUM([20]M01!B22*$B$14,[20]M02!B22*$C$14,[20]M03!B22*$D$14,[20]M04!B22*$E$14,[20]M05!B22*$F$14,[20]M06!B22*$G$14,[20]M07!B22*$H$14,[20]M08!B22*$I$14,[20]M09!B22*$J$14,[20]M10!B22*$K$14,[20]M11!B22*$L$14,[20]M12!B22*$M$14)/$N$14</f>
        <v>29.334206621004565</v>
      </c>
      <c r="C23" s="161">
        <f>SUM([20]M01!C22*$B$14,[20]M02!C22*$C$14,[20]M03!C22*$D$14,[20]M04!C22*$E$14,[20]M05!C22*$F$14,[20]M06!C22*$G$14,[20]M07!C22*$H$14,[20]M08!C22*$I$14,[20]M09!C22*$J$14,[20]M10!C22*$K$14,[20]M11!C22*$L$14,[20]M12!C22*$M$14)/$N$14</f>
        <v>0</v>
      </c>
      <c r="D23" s="161">
        <f>SUM([20]M01!D22*$B$14,[20]M02!D22*$C$14,[20]M03!D22*$D$14,[20]M04!D22*$E$14,[20]M05!D22*$F$14,[20]M06!D22*$G$14,[20]M07!D22*$H$14,[20]M08!D22*$I$14,[20]M09!D22*$J$14,[20]M10!D22*$K$14,[20]M11!D22*$L$14,[20]M12!D22*$M$14)/$N$14</f>
        <v>0</v>
      </c>
      <c r="E23" s="161">
        <f>SUM([20]M01!E22*$B$14,[20]M02!E22*$C$14,[20]M03!E22*$D$14,[20]M04!E22*$E$14,[20]M05!E22*$F$14,[20]M06!E22*$G$14,[20]M07!E22*$H$14,[20]M08!E22*$I$14,[20]M09!E22*$J$14,[20]M10!E22*$K$14,[20]M11!E22*$L$14,[20]M12!E22*$M$14)/$N$14</f>
        <v>75.79540525114156</v>
      </c>
      <c r="F23" s="161">
        <f>SUM([20]M01!F22*$B$14,[20]M02!F22*$C$14,[20]M03!F22*$D$14,[20]M04!F22*$E$14,[20]M05!F22*$F$14,[20]M06!F22*$G$14,[20]M07!F22*$H$14,[20]M08!F22*$I$14,[20]M09!F22*$J$14,[20]M10!F22*$K$14,[20]M11!F22*$L$14,[20]M12!F22*$M$14)/$N$14</f>
        <v>96.996015981735155</v>
      </c>
      <c r="G23" s="161">
        <f>SUM([20]M01!G22*$B$14,[20]M02!G22*$C$14,[20]M03!G22*$D$14,[20]M04!G22*$E$14,[20]M05!G22*$F$14,[20]M06!G22*$G$14,[20]M07!G22*$H$14,[20]M08!G22*$I$14,[20]M09!G22*$J$14,[20]M10!G22*$K$14,[20]M11!G22*$L$14,[20]M12!G22*$M$14)/$N$14</f>
        <v>142.98686073059363</v>
      </c>
      <c r="H23" s="161">
        <f>SUM([20]M01!H22*$B$14,[20]M02!H22*$C$14,[20]M03!H22*$D$14,[20]M04!H22*$E$14,[20]M05!H22*$F$14,[20]M06!H22*$G$14,[20]M07!H22*$H$14,[20]M08!H22*$I$14,[20]M09!H22*$J$14,[20]M10!H22*$K$14,[20]M11!H22*$L$14,[20]M12!H22*$M$14)/$N$14</f>
        <v>965.07695205479456</v>
      </c>
      <c r="I23" s="161">
        <f>SUM([20]M01!I22*$B$14,[20]M02!I22*$C$14,[20]M03!I22*$D$14,[20]M04!I22*$E$14,[20]M05!I22*$F$14,[20]M06!I22*$G$14,[20]M07!I22*$H$14,[20]M08!I22*$I$14,[20]M09!I22*$J$14,[20]M10!I22*$K$14,[20]M11!I22*$L$14,[20]M12!I22*$M$14)/$N$14</f>
        <v>0</v>
      </c>
      <c r="J23" s="161">
        <f>SUM([20]M01!J22*$B$14,[20]M02!J22*$C$14,[20]M03!J22*$D$14,[20]M04!J22*$E$14,[20]M05!J22*$F$14,[20]M06!J22*$G$14,[20]M07!J22*$H$14,[20]M08!J22*$I$14,[20]M09!J22*$J$14,[20]M10!J22*$K$14,[20]M11!J22*$L$14,[20]M12!J22*$M$14)/$N$14</f>
        <v>129.82216324200917</v>
      </c>
      <c r="K23" s="162">
        <f>SUM([20]M01!K22*$B$14,[20]M02!K22*$C$14,[20]M03!K22*$D$14,[20]M04!K22*$E$14,[20]M05!K22*$F$14,[20]M06!K22*$G$14,[20]M07!K22*$H$14,[20]M08!K22*$I$14,[20]M09!K22*$J$14,[20]M10!K22*$K$14,[20]M11!K22*$L$14,[20]M12!K22*$M$14)/$N$14</f>
        <v>5.8805251141552528</v>
      </c>
      <c r="L23" s="163">
        <f>SUM(B23:K23)</f>
        <v>1445.8921289954337</v>
      </c>
    </row>
    <row r="24" spans="1:14" ht="20.25" customHeight="1">
      <c r="A24" s="154" t="s">
        <v>163</v>
      </c>
      <c r="B24" s="38"/>
      <c r="C24" s="38"/>
      <c r="D24" s="38"/>
      <c r="E24" s="38"/>
      <c r="F24" s="38"/>
      <c r="G24" s="38"/>
      <c r="H24" s="38"/>
      <c r="I24" s="38"/>
      <c r="J24" s="38"/>
      <c r="K24" s="38"/>
      <c r="L24" s="155"/>
    </row>
    <row r="25" spans="1:14" ht="15" customHeight="1">
      <c r="A25" s="126" t="s">
        <v>164</v>
      </c>
      <c r="B25" s="156">
        <f>SUM([20]M01!B24,[20]M02!B24,[20]M03!B24,[20]M04!B24,[20]M05!B24,[20]M06!B24,[20]M07!B24,[20]M08!B24,[20]M09!B24,[20]M10!B24,[20]M11!B24,[20]M12!B24)</f>
        <v>1749.5695999999998</v>
      </c>
      <c r="C25" s="157">
        <f>SUM([20]M01!C24,[20]M02!C24,[20]M03!C24,[20]M04!C24,[20]M05!C24,[20]M06!C24,[20]M07!C24,[20]M08!C24,[20]M09!C24,[20]M10!C24,[20]M11!C24,[20]M12!C24)</f>
        <v>2633.13</v>
      </c>
      <c r="D25" s="157">
        <f>SUM([20]M01!D24,[20]M02!D24,[20]M03!D24,[20]M04!D24,[20]M05!D24,[20]M06!D24,[20]M07!D24,[20]M08!D24,[20]M09!D24,[20]M10!D24,[20]M11!D24,[20]M12!D24)</f>
        <v>1183.585</v>
      </c>
      <c r="E25" s="157">
        <f>SUM([20]M01!E24,[20]M02!E24,[20]M03!E24,[20]M04!E24,[20]M05!E24,[20]M06!E24,[20]M07!E24,[20]M08!E24,[20]M09!E24,[20]M10!E24,[20]M11!E24,[20]M12!E24)</f>
        <v>3551.3835499999996</v>
      </c>
      <c r="F25" s="157">
        <f>SUM([20]M01!F24,[20]M02!F24,[20]M03!F24,[20]M04!F24,[20]M05!F24,[20]M06!F24,[20]M07!F24,[20]M08!F24,[20]M09!F24,[20]M10!F24,[20]M11!F24,[20]M12!F24)</f>
        <v>768.57804999999996</v>
      </c>
      <c r="G25" s="157">
        <f>SUM([20]M01!G24,[20]M02!G24,[20]M03!G24,[20]M04!G24,[20]M05!G24,[20]M06!G24,[20]M07!G24,[20]M08!G24,[20]M09!G24,[20]M10!G24,[20]M11!G24,[20]M12!G24)</f>
        <v>322.34399999999999</v>
      </c>
      <c r="H25" s="157">
        <f>SUM([20]M01!H24,[20]M02!H24,[20]M03!H24,[20]M04!H24,[20]M05!H24,[20]M06!H24,[20]M07!H24,[20]M08!H24,[20]M09!H24,[20]M10!H24,[20]M11!H24,[20]M12!H24)</f>
        <v>0</v>
      </c>
      <c r="I25" s="157">
        <f>SUM([20]M01!I24,[20]M02!I24,[20]M03!I24,[20]M04!I24,[20]M05!I24,[20]M06!I24,[20]M07!I24,[20]M08!I24,[20]M09!I24,[20]M10!I24,[20]M11!I24,[20]M12!I24)</f>
        <v>497.54800000000006</v>
      </c>
      <c r="J25" s="157">
        <f>SUM([20]M01!J24,[20]M02!J24,[20]M03!J24,[20]M04!J24,[20]M05!J24,[20]M06!J24,[20]M07!J24,[20]M08!J24,[20]M09!J24,[20]M10!J24,[20]M11!J24,[20]M12!J24)</f>
        <v>330.36760000000004</v>
      </c>
      <c r="K25" s="158">
        <f>SUM([20]M01!K24,[20]M02!K24,[20]M03!K24,[20]M04!K24,[20]M05!K24,[20]M06!K24,[20]M07!K24,[20]M08!K24,[20]M09!K24,[20]M10!K24,[20]M11!K24,[20]M12!K24)</f>
        <v>1627.9244999999996</v>
      </c>
      <c r="L25" s="159">
        <f>SUM(B25:K25)</f>
        <v>12664.430299999998</v>
      </c>
    </row>
    <row r="26" spans="1:14" ht="15" customHeight="1">
      <c r="A26" s="131" t="s">
        <v>165</v>
      </c>
      <c r="B26" s="160">
        <f>SUM([20]M01!B25,[20]M02!B25,[20]M03!B25,[20]M04!B25,[20]M05!B25,[20]M06!B25,[20]M07!B25,[20]M08!B25,[20]M09!B25,[20]M10!B25,[20]M11!B25,[20]M12!B25)</f>
        <v>256.96764999999999</v>
      </c>
      <c r="C26" s="161">
        <f>SUM([20]M01!C25,[20]M02!C25,[20]M03!C25,[20]M04!C25,[20]M05!C25,[20]M06!C25,[20]M07!C25,[20]M08!C25,[20]M09!C25,[20]M10!C25,[20]M11!C25,[20]M12!C25)</f>
        <v>0</v>
      </c>
      <c r="D26" s="161">
        <f>SUM([20]M01!D25,[20]M02!D25,[20]M03!D25,[20]M04!D25,[20]M05!D25,[20]M06!D25,[20]M07!D25,[20]M08!D25,[20]M09!D25,[20]M10!D25,[20]M11!D25,[20]M12!D25)</f>
        <v>0</v>
      </c>
      <c r="E26" s="161">
        <f>SUM([20]M01!E25,[20]M02!E25,[20]M03!E25,[20]M04!E25,[20]M05!E25,[20]M06!E25,[20]M07!E25,[20]M08!E25,[20]M09!E25,[20]M10!E25,[20]M11!E25,[20]M12!E25)</f>
        <v>663.96775000000002</v>
      </c>
      <c r="F26" s="161">
        <f>SUM([20]M01!F25,[20]M02!F25,[20]M03!F25,[20]M04!F25,[20]M05!F25,[20]M06!F25,[20]M07!F25,[20]M08!F25,[20]M09!F25,[20]M10!F25,[20]M11!F25,[20]M12!F25)</f>
        <v>849.68509999999992</v>
      </c>
      <c r="G26" s="161">
        <f>SUM([20]M01!G25,[20]M02!G25,[20]M03!G25,[20]M04!G25,[20]M05!G25,[20]M06!G25,[20]M07!G25,[20]M08!G25,[20]M09!G25,[20]M10!G25,[20]M11!G25,[20]M12!G25)</f>
        <v>1252.5648999999999</v>
      </c>
      <c r="H26" s="161">
        <f>SUM([20]M01!H25,[20]M02!H25,[20]M03!H25,[20]M04!H25,[20]M05!H25,[20]M06!H25,[20]M07!H25,[20]M08!H25,[20]M09!H25,[20]M10!H25,[20]M11!H25,[20]M12!H25)</f>
        <v>8454.0740999999998</v>
      </c>
      <c r="I26" s="161">
        <f>SUM([20]M01!I25,[20]M02!I25,[20]M03!I25,[20]M04!I25,[20]M05!I25,[20]M06!I25,[20]M07!I25,[20]M08!I25,[20]M09!I25,[20]M10!I25,[20]M11!I25,[20]M12!I25)</f>
        <v>0</v>
      </c>
      <c r="J26" s="161">
        <f>SUM([20]M01!J25,[20]M02!J25,[20]M03!J25,[20]M04!J25,[20]M05!J25,[20]M06!J25,[20]M07!J25,[20]M08!J25,[20]M09!J25,[20]M10!J25,[20]M11!J25,[20]M12!J25)</f>
        <v>1137.24215</v>
      </c>
      <c r="K26" s="162">
        <f>SUM([20]M01!K25,[20]M02!K25,[20]M03!K25,[20]M04!K25,[20]M05!K25,[20]M06!K25,[20]M07!K25,[20]M08!K25,[20]M09!K25,[20]M10!K25,[20]M11!K25,[20]M12!K25)</f>
        <v>51.513400000000004</v>
      </c>
      <c r="L26" s="163">
        <f>SUM(B26:K26)</f>
        <v>12666.01505</v>
      </c>
    </row>
    <row r="27" spans="1:14" ht="9.9" customHeight="1">
      <c r="B27" s="164"/>
      <c r="C27" s="164"/>
      <c r="D27" s="164"/>
      <c r="E27" s="164"/>
      <c r="F27" s="164"/>
      <c r="G27" s="164"/>
      <c r="H27" s="164"/>
      <c r="I27" s="164"/>
      <c r="J27" s="164"/>
      <c r="K27" s="164"/>
      <c r="L27" s="165"/>
      <c r="N27" s="166"/>
    </row>
    <row r="28" spans="1:14" ht="20.25" customHeight="1">
      <c r="A28" s="154" t="s">
        <v>166</v>
      </c>
      <c r="L28" s="155"/>
      <c r="N28" s="166"/>
    </row>
    <row r="29" spans="1:14" ht="15" customHeight="1">
      <c r="A29" s="167" t="s">
        <v>110</v>
      </c>
      <c r="B29" s="168">
        <f>SUM([20]M01!B27*$B$14,[20]M02!B27*$C$14,[20]M03!B27*$D$14,[20]M04!B27*$E$14,[20]M05!B27*$F$14,[20]M06!B27*$G$14,[20]M07!B27*$H$14,[20]M08!B27*$I$14,[20]M09!B27*$J$14,[20]M10!B27*$K$14,[20]M11!B27*$L$14,[20]M12!B27*$M$14)/$N$14</f>
        <v>1.8339658386628024</v>
      </c>
      <c r="C29" s="169">
        <f>SUM([20]M01!C27*$B$14,[20]M02!C27*$C$14,[20]M03!C27*$D$14,[20]M04!C27*$E$14,[20]M05!C27*$F$14,[20]M06!C27*$G$14,[20]M07!C27*$H$14,[20]M08!C27*$I$14,[20]M09!C27*$J$14,[20]M10!C27*$K$14,[20]M11!C27*$L$14,[20]M12!C27*$M$14)/$N$14</f>
        <v>1.950907863044679</v>
      </c>
      <c r="D29" s="169">
        <f>SUM([20]M01!D27*$B$14,[20]M02!D27*$C$14,[20]M03!D27*$D$14,[20]M04!D27*$E$14,[20]M05!D27*$F$14,[20]M06!D27*$G$14,[20]M07!D27*$H$14,[20]M08!D27*$I$14,[20]M09!D27*$J$14,[20]M10!D27*$K$14,[20]M11!D27*$L$14,[20]M12!D27*$M$14)/$N$14</f>
        <v>2.2952211302523104</v>
      </c>
      <c r="E29" s="169">
        <f>SUM([20]M01!E27*$B$14,[20]M02!E27*$C$14,[20]M03!E27*$D$14,[20]M04!E27*$E$14,[20]M05!E27*$F$14,[20]M06!E27*$G$14,[20]M07!E27*$H$14,[20]M08!E27*$I$14,[20]M09!E27*$J$14,[20]M10!E27*$K$14,[20]M11!E27*$L$14,[20]M12!E27*$M$14)/$N$14</f>
        <v>1.585468991264664</v>
      </c>
      <c r="F29" s="169">
        <f>SUM([20]M01!F27*$B$14,[20]M02!F27*$C$14,[20]M03!F27*$D$14,[20]M04!F27*$E$14,[20]M05!F27*$F$14,[20]M06!F27*$G$14,[20]M07!F27*$H$14,[20]M08!F27*$I$14,[20]M09!F27*$J$14,[20]M10!F27*$K$14,[20]M11!F27*$L$14,[20]M12!F27*$M$14)/$N$14</f>
        <v>0.41846171990813363</v>
      </c>
      <c r="G29" s="169">
        <f>SUM([20]M01!G27*$B$14,[20]M02!G27*$C$14,[20]M03!G27*$D$14,[20]M04!G27*$E$14,[20]M05!G27*$F$14,[20]M06!G27*$G$14,[20]M07!G27*$H$14,[20]M08!G27*$I$14,[20]M09!G27*$J$14,[20]M10!G27*$K$14,[20]M11!G27*$L$14,[20]M12!G27*$M$14)/$N$14</f>
        <v>0.64053718708926755</v>
      </c>
      <c r="H29" s="169">
        <f>SUM([20]M01!H27*$B$14,[20]M02!H27*$C$14,[20]M03!H27*$D$14,[20]M04!H27*$E$14,[20]M05!H27*$F$14,[20]M06!H27*$G$14,[20]M07!H27*$H$14,[20]M08!H27*$I$14,[20]M09!H27*$J$14,[20]M10!H27*$K$14,[20]M11!H27*$L$14,[20]M12!H27*$M$14)/$N$14</f>
        <v>0</v>
      </c>
      <c r="I29" s="169">
        <f>SUM([20]M01!I27*$B$14,[20]M02!I27*$C$14,[20]M03!I27*$D$14,[20]M04!I27*$E$14,[20]M05!I27*$F$14,[20]M06!I27*$G$14,[20]M07!I27*$H$14,[20]M08!I27*$I$14,[20]M09!I27*$J$14,[20]M10!I27*$K$14,[20]M11!I27*$L$14,[20]M12!I27*$M$14)/$N$14</f>
        <v>0.48735129027681606</v>
      </c>
      <c r="J29" s="169">
        <f>SUM([20]M01!J27*$B$14,[20]M02!J27*$C$14,[20]M03!J27*$D$14,[20]M04!J27*$E$14,[20]M05!J27*$F$14,[20]M06!J27*$G$14,[20]M07!J27*$H$14,[20]M08!J27*$I$14,[20]M09!J27*$J$14,[20]M10!J27*$K$14,[20]M11!J27*$L$14,[20]M12!J27*$M$14)/$N$14</f>
        <v>0.60320896593718665</v>
      </c>
      <c r="K29" s="170">
        <f>SUM([20]M01!K27*$B$14,[20]M02!K27*$C$14,[20]M03!K27*$D$14,[20]M04!K27*$E$14,[20]M05!K27*$F$14,[20]M06!K27*$G$14,[20]M07!K27*$H$14,[20]M08!K27*$I$14,[20]M09!K27*$J$14,[20]M10!K27*$K$14,[20]M11!K27*$L$14,[20]M12!K27*$M$14)/$N$14</f>
        <v>2.9055546706126845</v>
      </c>
      <c r="L29" s="155"/>
      <c r="N29" s="166"/>
    </row>
    <row r="30" spans="1:14" ht="15" customHeight="1">
      <c r="A30" s="171" t="s">
        <v>167</v>
      </c>
      <c r="B30" s="172">
        <f>SUM([20]M01!B28*$B$14,[20]M02!B28*$C$14,[20]M03!B28*$D$14,[20]M04!B28*$E$14,[20]M05!B28*$F$14,[20]M06!B28*$G$14,[20]M07!B28*$H$14,[20]M08!B28*$I$14,[20]M09!B28*$J$14,[20]M10!B28*$K$14,[20]M11!B28*$L$14,[20]M12!B28*$M$14)/$N$14</f>
        <v>0</v>
      </c>
      <c r="C30" s="173">
        <f>SUM([20]M01!C28*$B$14,[20]M02!C28*$C$14,[20]M03!C28*$D$14,[20]M04!C28*$E$14,[20]M05!C28*$F$14,[20]M06!C28*$G$14,[20]M07!C28*$H$14,[20]M08!C28*$I$14,[20]M09!C28*$J$14,[20]M10!C28*$K$14,[20]M11!C28*$L$14,[20]M12!C28*$M$14)/$N$14</f>
        <v>0</v>
      </c>
      <c r="D30" s="173">
        <f>SUM([20]M01!D28*$B$14,[20]M02!D28*$C$14,[20]M03!D28*$D$14,[20]M04!D28*$E$14,[20]M05!D28*$F$14,[20]M06!D28*$G$14,[20]M07!D28*$H$14,[20]M08!D28*$I$14,[20]M09!D28*$J$14,[20]M10!D28*$K$14,[20]M11!D28*$L$14,[20]M12!D28*$M$14)/$N$14</f>
        <v>0</v>
      </c>
      <c r="E30" s="173">
        <f>SUM([20]M01!E28*$B$14,[20]M02!E28*$C$14,[20]M03!E28*$D$14,[20]M04!E28*$E$14,[20]M05!E28*$F$14,[20]M06!E28*$G$14,[20]M07!E28*$H$14,[20]M08!E28*$I$14,[20]M09!E28*$J$14,[20]M10!E28*$K$14,[20]M11!E28*$L$14,[20]M12!E28*$M$14)/$N$14</f>
        <v>0.5681070896449395</v>
      </c>
      <c r="F30" s="173">
        <f>SUM([20]M01!F28*$B$14,[20]M02!F28*$C$14,[20]M03!F28*$D$14,[20]M04!F28*$E$14,[20]M05!F28*$F$14,[20]M06!F28*$G$14,[20]M07!F28*$H$14,[20]M08!F28*$I$14,[20]M09!F28*$J$14,[20]M10!F28*$K$14,[20]M11!F28*$L$14,[20]M12!F28*$M$14)/$N$14</f>
        <v>1.572323761368623</v>
      </c>
      <c r="G30" s="173">
        <f>SUM([20]M01!G28*$B$14,[20]M02!G28*$C$14,[20]M03!G28*$D$14,[20]M04!G28*$E$14,[20]M05!G28*$F$14,[20]M06!G28*$G$14,[20]M07!G28*$H$14,[20]M08!G28*$I$14,[20]M09!G28*$J$14,[20]M10!G28*$K$14,[20]M11!G28*$L$14,[20]M12!G28*$M$14)/$N$14</f>
        <v>2.1380258231748415</v>
      </c>
      <c r="H30" s="173">
        <f>SUM([20]M01!H28*$B$14,[20]M02!H28*$C$14,[20]M03!H28*$D$14,[20]M04!H28*$E$14,[20]M05!H28*$F$14,[20]M06!H28*$G$14,[20]M07!H28*$H$14,[20]M08!H28*$I$14,[20]M09!H28*$J$14,[20]M10!H28*$K$14,[20]M11!H28*$L$14,[20]M12!H28*$M$14)/$N$14</f>
        <v>2.4308759210111566</v>
      </c>
      <c r="I30" s="173">
        <f>SUM([20]M01!I28*$B$14,[20]M02!I28*$C$14,[20]M03!I28*$D$14,[20]M04!I28*$E$14,[20]M05!I28*$F$14,[20]M06!I28*$G$14,[20]M07!I28*$H$14,[20]M08!I28*$I$14,[20]M09!I28*$J$14,[20]M10!I28*$K$14,[20]M11!I28*$L$14,[20]M12!I28*$M$14)/$N$14</f>
        <v>0</v>
      </c>
      <c r="J30" s="173">
        <f>SUM([20]M01!J28*$B$14,[20]M02!J28*$C$14,[20]M03!J28*$D$14,[20]M04!J28*$E$14,[20]M05!J28*$F$14,[20]M06!J28*$G$14,[20]M07!J28*$H$14,[20]M08!J28*$I$14,[20]M09!J28*$J$14,[20]M10!J28*$K$14,[20]M11!J28*$L$14,[20]M12!J28*$M$14)/$N$14</f>
        <v>2.5055622893425551</v>
      </c>
      <c r="K30" s="174">
        <f>SUM([20]M01!K28*$B$14,[20]M02!K28*$C$14,[20]M03!K28*$D$14,[20]M04!K28*$E$14,[20]M05!K28*$F$14,[20]M06!K28*$G$14,[20]M07!K28*$H$14,[20]M08!K28*$I$14,[20]M09!K28*$J$14,[20]M10!K28*$K$14,[20]M11!K28*$L$14,[20]M12!K28*$M$14)/$N$14</f>
        <v>0.67131880076673467</v>
      </c>
      <c r="L30" s="155"/>
      <c r="N30" s="166"/>
    </row>
    <row r="31" spans="1:14" ht="20.25" customHeight="1">
      <c r="A31" s="154" t="s">
        <v>168</v>
      </c>
      <c r="L31" s="155"/>
      <c r="N31" s="166"/>
    </row>
    <row r="32" spans="1:14" ht="15" customHeight="1">
      <c r="A32" s="175" t="s">
        <v>169</v>
      </c>
      <c r="B32" s="176">
        <f>SUM([20]M01!B30,[20]M02!B30,[20]M03!B30,[20]M04!B30,[20]M05!B30,[20]M06!B30,[20]M07!B30,[20]M08!B30,[20]M09!B30,[20]M10!B30,[20]M11!B30,[20]M12!B30)</f>
        <v>5.1103937970473527</v>
      </c>
      <c r="L32" s="155"/>
      <c r="N32" s="166"/>
    </row>
    <row r="33" spans="1:14" ht="15" customHeight="1">
      <c r="A33" s="177" t="s">
        <v>170</v>
      </c>
      <c r="B33" s="178">
        <f>SUM([20]M01!B31,[20]M02!B31,[20]M03!B31,[20]M04!B31,[20]M05!B31,[20]M06!B31,[20]M07!B31,[20]M08!B31,[20]M09!B31,[20]M10!B31,[20]M11!B31,[20]M12!B31)</f>
        <v>16.748679661312611</v>
      </c>
      <c r="L33" s="155"/>
      <c r="N33" s="166"/>
    </row>
    <row r="34" spans="1:14" ht="20.25" hidden="1" customHeight="1">
      <c r="A34" s="154" t="s">
        <v>171</v>
      </c>
      <c r="L34" s="155"/>
      <c r="N34" s="166"/>
    </row>
    <row r="35" spans="1:14" ht="15" hidden="1" customHeight="1">
      <c r="A35" s="175" t="s">
        <v>169</v>
      </c>
      <c r="B35" s="176" t="e">
        <f>SUM([20]M01!#REF!,[20]M02!#REF!,[20]M03!#REF!,[20]M04!#REF!,[20]M05!#REF!,[20]M06!#REF!,[20]M07!#REF!,[20]M08!#REF!,[20]M09!#REF!,[20]M10!#REF!,[20]M11!#REF!,[20]M12!#REF!)</f>
        <v>#REF!</v>
      </c>
      <c r="L35" s="155"/>
      <c r="N35" s="166"/>
    </row>
    <row r="36" spans="1:14" ht="15" hidden="1" customHeight="1">
      <c r="A36" s="177" t="s">
        <v>170</v>
      </c>
      <c r="B36" s="178" t="e">
        <f>SUM([20]M01!#REF!,[20]M02!#REF!,[20]M03!#REF!,[20]M04!#REF!,[20]M05!#REF!,[20]M06!#REF!,[20]M07!#REF!,[20]M08!#REF!,[20]M09!#REF!,[20]M10!#REF!,[20]M11!#REF!,[20]M12!#REF!)</f>
        <v>#REF!</v>
      </c>
      <c r="L36" s="155"/>
      <c r="N36" s="166"/>
    </row>
    <row r="37" spans="1:14" ht="20.25" customHeight="1">
      <c r="A37" s="154" t="s">
        <v>172</v>
      </c>
      <c r="L37" s="155"/>
      <c r="N37" s="166"/>
    </row>
    <row r="38" spans="1:14" ht="15" customHeight="1">
      <c r="A38" s="179" t="s">
        <v>167</v>
      </c>
      <c r="B38" s="180">
        <f>SUM([20]M01!B33*$B$14,[20]M02!B33*$C$14,[20]M03!B33*$D$14,[20]M04!B33*$E$14,[20]M05!B33*$F$14,[20]M06!B33*$G$14,[20]M07!B33*$H$14,[20]M08!B33*$I$14,[20]M09!B33*$J$14,[20]M10!B33*$K$14,[20]M11!B33*$L$14,[20]M12!B33*$M$14)/$N$14</f>
        <v>0</v>
      </c>
      <c r="C38" s="181">
        <f>SUM([20]M01!C33*$B$14,[20]M02!C33*$C$14,[20]M03!C33*$D$14,[20]M04!C33*$E$14,[20]M05!C33*$F$14,[20]M06!C33*$G$14,[20]M07!C33*$H$14,[20]M08!C33*$I$14,[20]M09!C33*$J$14,[20]M10!C33*$K$14,[20]M11!C33*$L$14,[20]M12!C33*$M$14)/$N$14</f>
        <v>0</v>
      </c>
      <c r="D38" s="181">
        <f>SUM([20]M01!D33*$B$14,[20]M02!D33*$C$14,[20]M03!D33*$D$14,[20]M04!D33*$E$14,[20]M05!D33*$F$14,[20]M06!D33*$G$14,[20]M07!D33*$H$14,[20]M08!D33*$I$14,[20]M09!D33*$J$14,[20]M10!D33*$K$14,[20]M11!D33*$L$14,[20]M12!D33*$M$14)/$N$14</f>
        <v>0</v>
      </c>
      <c r="E38" s="181">
        <f>SUM([20]M01!E33*$B$14,[20]M02!E33*$C$14,[20]M03!E33*$D$14,[20]M04!E33*$E$14,[20]M05!E33*$F$14,[20]M06!E33*$G$14,[20]M07!E33*$H$14,[20]M08!E33*$I$14,[20]M09!E33*$J$14,[20]M10!E33*$K$14,[20]M11!E33*$L$14,[20]M12!E33*$M$14)/$N$14</f>
        <v>0</v>
      </c>
      <c r="F38" s="181">
        <f>SUM([20]M01!F33*$B$14,[20]M02!F33*$C$14,[20]M03!F33*$D$14,[20]M04!F33*$E$14,[20]M05!F33*$F$14,[20]M06!F33*$G$14,[20]M07!F33*$H$14,[20]M08!F33*$I$14,[20]M09!F33*$J$14,[20]M10!F33*$K$14,[20]M11!F33*$L$14,[20]M12!F33*$M$14)/$N$14</f>
        <v>0</v>
      </c>
      <c r="G38" s="181">
        <f>SUM([20]M01!G33*$B$14,[20]M02!G33*$C$14,[20]M03!G33*$D$14,[20]M04!G33*$E$14,[20]M05!G33*$F$14,[20]M06!G33*$G$14,[20]M07!G33*$H$14,[20]M08!G33*$I$14,[20]M09!G33*$J$14,[20]M10!G33*$K$14,[20]M11!G33*$L$14,[20]M12!G33*$M$14)/$N$14</f>
        <v>0</v>
      </c>
      <c r="H38" s="181">
        <f>SUM([20]M01!H33*$B$14,[20]M02!H33*$C$14,[20]M03!H33*$D$14,[20]M04!H33*$E$14,[20]M05!H33*$F$14,[20]M06!H33*$G$14,[20]M07!H33*$H$14,[20]M08!H33*$I$14,[20]M09!H33*$J$14,[20]M10!H33*$K$14,[20]M11!H33*$L$14,[20]M12!H33*$M$14)/$N$14</f>
        <v>0</v>
      </c>
      <c r="I38" s="181">
        <f>SUM([20]M01!I33*$B$14,[20]M02!I33*$C$14,[20]M03!I33*$D$14,[20]M04!I33*$E$14,[20]M05!I33*$F$14,[20]M06!I33*$G$14,[20]M07!I33*$H$14,[20]M08!I33*$I$14,[20]M09!I33*$J$14,[20]M10!I33*$K$14,[20]M11!I33*$L$14,[20]M12!I33*$M$14)/$N$14</f>
        <v>0</v>
      </c>
      <c r="J38" s="181">
        <f>SUM([20]M01!J33*$B$14,[20]M02!J33*$C$14,[20]M03!J33*$D$14,[20]M04!J33*$E$14,[20]M05!J33*$F$14,[20]M06!J33*$G$14,[20]M07!J33*$H$14,[20]M08!J33*$I$14,[20]M09!J33*$J$14,[20]M10!J33*$K$14,[20]M11!J33*$L$14,[20]M12!J33*$M$14)/$N$14</f>
        <v>0</v>
      </c>
      <c r="K38" s="182">
        <f>SUM([20]M01!K33*$B$14,[20]M02!K33*$C$14,[20]M03!K33*$D$14,[20]M04!K33*$E$14,[20]M05!K33*$F$14,[20]M06!K33*$G$14,[20]M07!K33*$H$14,[20]M08!K33*$I$14,[20]M09!K33*$J$14,[20]M10!K33*$K$14,[20]M11!K33*$L$14,[20]M12!K33*$M$14)/$N$14</f>
        <v>0</v>
      </c>
      <c r="L38" s="155"/>
      <c r="N38" s="166"/>
    </row>
    <row r="39" spans="1:14" ht="20.25" customHeight="1">
      <c r="A39" s="154" t="s">
        <v>173</v>
      </c>
      <c r="L39" s="155"/>
      <c r="N39" s="166"/>
    </row>
    <row r="40" spans="1:14" ht="15" customHeight="1">
      <c r="A40" s="177" t="s">
        <v>170</v>
      </c>
      <c r="B40" s="178">
        <f>SUM([20]M01!I34,[20]M02!I34,[20]M03!I34,[20]M04!I34,[20]M05!I34,[20]M06!I34,[20]M07!I34,[20]M08!I34,[20]M09!I34,[20]M10!I34,[20]M11!I34,[20]M12!I34)</f>
        <v>0</v>
      </c>
      <c r="L40" s="155"/>
      <c r="N40" s="166"/>
    </row>
    <row r="41" spans="1:14" ht="9.9" customHeight="1">
      <c r="L41" s="155"/>
      <c r="N41" s="166"/>
    </row>
    <row r="42" spans="1:14" ht="9.9" customHeight="1" thickBot="1">
      <c r="L42" s="155"/>
      <c r="N42" s="166"/>
    </row>
    <row r="43" spans="1:14" ht="20.25" customHeight="1" thickTop="1">
      <c r="A43" s="183" t="s">
        <v>174</v>
      </c>
      <c r="B43" s="184"/>
      <c r="C43" s="184"/>
      <c r="D43" s="184"/>
      <c r="E43" s="184"/>
      <c r="F43" s="184"/>
      <c r="G43" s="184"/>
      <c r="H43" s="184"/>
      <c r="I43" s="184"/>
      <c r="J43" s="184"/>
      <c r="K43" s="185"/>
      <c r="L43" s="186"/>
      <c r="N43" s="166"/>
    </row>
    <row r="44" spans="1:14" ht="15" customHeight="1">
      <c r="A44" s="187" t="s">
        <v>110</v>
      </c>
      <c r="B44" s="188">
        <f>IFERROR(B54/B25,0)</f>
        <v>1.8125855423298005</v>
      </c>
      <c r="C44" s="189">
        <f t="shared" ref="C44:K44" si="0">IFERROR(C54/C25,0)</f>
        <v>1.8949704810505181</v>
      </c>
      <c r="D44" s="189">
        <f t="shared" si="0"/>
        <v>2.2087680808660677</v>
      </c>
      <c r="E44" s="189">
        <f t="shared" si="0"/>
        <v>1.5490880304895775</v>
      </c>
      <c r="F44" s="189">
        <f t="shared" si="0"/>
        <v>0.65231288783350627</v>
      </c>
      <c r="G44" s="189">
        <f t="shared" si="0"/>
        <v>0.6553717672484427</v>
      </c>
      <c r="H44" s="189">
        <f t="shared" si="0"/>
        <v>0</v>
      </c>
      <c r="I44" s="189">
        <f t="shared" si="0"/>
        <v>0.81843377661580952</v>
      </c>
      <c r="J44" s="189">
        <f t="shared" si="0"/>
        <v>0.54167317485183386</v>
      </c>
      <c r="K44" s="190">
        <f t="shared" si="0"/>
        <v>2.7617139245640474</v>
      </c>
      <c r="L44" s="186"/>
      <c r="N44" s="166"/>
    </row>
    <row r="45" spans="1:14" ht="15" customHeight="1">
      <c r="A45" s="191" t="s">
        <v>167</v>
      </c>
      <c r="B45" s="192">
        <f t="shared" ref="B45:K45" si="1">IFERROR(B55/B26,0)</f>
        <v>0</v>
      </c>
      <c r="C45" s="192">
        <f t="shared" si="1"/>
        <v>0</v>
      </c>
      <c r="D45" s="192">
        <f t="shared" si="1"/>
        <v>0</v>
      </c>
      <c r="E45" s="192">
        <f t="shared" si="1"/>
        <v>0.51218620464155173</v>
      </c>
      <c r="F45" s="192">
        <f t="shared" si="1"/>
        <v>1.5156270473690014</v>
      </c>
      <c r="G45" s="192">
        <f t="shared" si="1"/>
        <v>2.1020603791162631</v>
      </c>
      <c r="H45" s="192">
        <f t="shared" si="1"/>
        <v>2.3570062865801482</v>
      </c>
      <c r="I45" s="192">
        <f t="shared" si="1"/>
        <v>0</v>
      </c>
      <c r="J45" s="192">
        <f t="shared" si="1"/>
        <v>2.4324318663320859</v>
      </c>
      <c r="K45" s="193">
        <f t="shared" si="1"/>
        <v>0.43784539131165634</v>
      </c>
      <c r="L45" s="186"/>
      <c r="N45" s="166"/>
    </row>
    <row r="46" spans="1:14" ht="20.25" customHeight="1">
      <c r="A46" s="194" t="s">
        <v>175</v>
      </c>
      <c r="B46" s="195"/>
      <c r="C46" s="195"/>
      <c r="D46" s="195"/>
      <c r="E46" s="195"/>
      <c r="F46" s="195"/>
      <c r="G46" s="195"/>
      <c r="H46" s="195"/>
      <c r="I46" s="196"/>
      <c r="J46" s="196"/>
      <c r="K46" s="197"/>
      <c r="L46" s="186"/>
      <c r="N46" s="198"/>
    </row>
    <row r="47" spans="1:14" ht="15" customHeight="1">
      <c r="A47" s="199" t="s">
        <v>169</v>
      </c>
      <c r="B47" s="200">
        <f>B32</f>
        <v>5.1103937970473527</v>
      </c>
      <c r="C47" s="201"/>
      <c r="D47" s="201"/>
      <c r="E47" s="196"/>
      <c r="F47" s="196"/>
      <c r="G47" s="196"/>
      <c r="H47" s="195"/>
      <c r="I47" s="196"/>
      <c r="J47" s="196"/>
      <c r="K47" s="197"/>
      <c r="L47" s="186"/>
      <c r="N47" s="202"/>
    </row>
    <row r="48" spans="1:14" ht="15" customHeight="1">
      <c r="A48" s="203" t="s">
        <v>170</v>
      </c>
      <c r="B48" s="204">
        <f>B33+B40</f>
        <v>16.748679661312611</v>
      </c>
      <c r="C48" s="201"/>
      <c r="D48" s="201"/>
      <c r="E48" s="196"/>
      <c r="F48" s="196"/>
      <c r="G48" s="196"/>
      <c r="H48" s="195"/>
      <c r="I48" s="196"/>
      <c r="J48" s="196"/>
      <c r="K48" s="197"/>
      <c r="L48" s="186"/>
      <c r="N48" s="202"/>
    </row>
    <row r="49" spans="1:14" ht="9.9" customHeight="1" thickBot="1">
      <c r="A49" s="205"/>
      <c r="B49" s="206"/>
      <c r="C49" s="207"/>
      <c r="D49" s="207"/>
      <c r="E49" s="207"/>
      <c r="F49" s="207"/>
      <c r="G49" s="207"/>
      <c r="H49" s="207"/>
      <c r="I49" s="207"/>
      <c r="J49" s="207"/>
      <c r="K49" s="208"/>
      <c r="L49" s="186"/>
      <c r="N49" s="166"/>
    </row>
    <row r="50" spans="1:14" ht="9.9" customHeight="1" thickTop="1">
      <c r="B50" s="209"/>
      <c r="L50" s="155"/>
      <c r="N50" s="166"/>
    </row>
    <row r="51" spans="1:14" ht="20.25" customHeight="1">
      <c r="A51" s="210" t="s">
        <v>176</v>
      </c>
      <c r="B51" s="211"/>
      <c r="C51" s="211"/>
      <c r="D51" s="211"/>
      <c r="E51" s="211"/>
      <c r="F51" s="211"/>
      <c r="G51" s="211"/>
      <c r="H51" s="211"/>
      <c r="I51" s="211"/>
      <c r="J51" s="211"/>
      <c r="K51" s="211"/>
      <c r="L51" s="212">
        <f>ROUND(SUM(L54:L55,L57:L58),3)</f>
        <v>113135.28200000001</v>
      </c>
      <c r="M51" s="212">
        <f>ROUND(B3,3)</f>
        <v>113135.28200000001</v>
      </c>
      <c r="N51" s="252"/>
    </row>
    <row r="52" spans="1:14" ht="20.25" customHeight="1">
      <c r="A52" s="213" t="s">
        <v>177</v>
      </c>
      <c r="B52" s="211"/>
      <c r="C52" s="211"/>
      <c r="D52" s="211"/>
      <c r="E52" s="211"/>
      <c r="F52" s="211"/>
      <c r="G52" s="211"/>
      <c r="H52" s="211"/>
      <c r="I52" s="211"/>
      <c r="J52" s="211"/>
      <c r="K52" s="211"/>
      <c r="L52" s="165"/>
      <c r="M52" s="214">
        <f>M53+M56</f>
        <v>1.0000000034841741</v>
      </c>
      <c r="N52" s="166"/>
    </row>
    <row r="53" spans="1:14" ht="20.25" customHeight="1">
      <c r="A53" s="215" t="s">
        <v>19</v>
      </c>
      <c r="B53" s="216">
        <v>1</v>
      </c>
      <c r="C53" s="217">
        <v>2</v>
      </c>
      <c r="D53" s="217">
        <v>3</v>
      </c>
      <c r="E53" s="217">
        <v>4</v>
      </c>
      <c r="F53" s="217">
        <v>5</v>
      </c>
      <c r="G53" s="217">
        <v>6</v>
      </c>
      <c r="H53" s="217">
        <v>7</v>
      </c>
      <c r="I53" s="217">
        <v>8</v>
      </c>
      <c r="J53" s="217">
        <v>9</v>
      </c>
      <c r="K53" s="218">
        <v>10</v>
      </c>
      <c r="L53" s="219">
        <f>L54+L55</f>
        <v>49047.222983338666</v>
      </c>
      <c r="M53" s="214">
        <f>L53/$M$51</f>
        <v>0.43352720845596748</v>
      </c>
      <c r="N53" s="220"/>
    </row>
    <row r="54" spans="1:14" ht="15" customHeight="1">
      <c r="A54" s="221" t="s">
        <v>110</v>
      </c>
      <c r="B54" s="222">
        <f>SUM([20]M01!B38,[20]M02!B38,[20]M03!B38,[20]M04!B38,[20]M05!B38,[20]M06!B38,[20]M07!B38,[20]M08!B38,[20]M09!B38,[20]M10!B38,[20]M11!B38,[20]M12!B38)</f>
        <v>3171.244562259732</v>
      </c>
      <c r="C54" s="223">
        <f>SUM([20]M01!C38,[20]M02!C38,[20]M03!C38,[20]M04!C38,[20]M05!C38,[20]M06!C38,[20]M07!C38,[20]M08!C38,[20]M09!C38,[20]M10!C38,[20]M11!C38,[20]M12!C38)</f>
        <v>4989.7036227685512</v>
      </c>
      <c r="D54" s="223">
        <f>SUM([20]M01!D38,[20]M02!D38,[20]M03!D38,[20]M04!D38,[20]M05!D38,[20]M06!D38,[20]M07!D38,[20]M08!D38,[20]M09!D38,[20]M10!D38,[20]M11!D38,[20]M12!D38)</f>
        <v>2614.2647689918649</v>
      </c>
      <c r="E54" s="223">
        <f>SUM([20]M01!E38,[20]M02!E38,[20]M03!E38,[20]M04!E38,[20]M05!E38,[20]M06!E38,[20]M07!E38,[20]M08!E38,[20]M09!E38,[20]M10!E38,[20]M11!E38,[20]M12!E38)</f>
        <v>5501.4057489825836</v>
      </c>
      <c r="F54" s="223">
        <f>SUM([20]M01!F38,[20]M02!F38,[20]M03!F38,[20]M04!F38,[20]M05!F38,[20]M06!F38,[20]M07!F38,[20]M08!F38,[20]M09!F38,[20]M10!F38,[20]M11!F38,[20]M12!F38)</f>
        <v>501.35336732094493</v>
      </c>
      <c r="G54" s="223">
        <f>SUM([20]M01!G38,[20]M02!G38,[20]M03!G38,[20]M04!G38,[20]M05!G38,[20]M06!G38,[20]M07!G38,[20]M08!G38,[20]M09!G38,[20]M10!G38,[20]M11!G38,[20]M12!G38)</f>
        <v>211.255156941932</v>
      </c>
      <c r="H54" s="223">
        <f>SUM([20]M01!H38,[20]M02!H38,[20]M03!H38,[20]M04!H38,[20]M05!H38,[20]M06!H38,[20]M07!H38,[20]M08!H38,[20]M09!H38,[20]M10!H38,[20]M11!H38,[20]M12!H38)</f>
        <v>0</v>
      </c>
      <c r="I54" s="223">
        <f>SUM([20]M01!I38,[20]M02!I38,[20]M03!I38,[20]M04!I38,[20]M05!I38,[20]M06!I38,[20]M07!I38,[20]M08!I38,[20]M09!I38,[20]M10!I38,[20]M11!I38,[20]M12!I38)</f>
        <v>407.21008868764284</v>
      </c>
      <c r="J54" s="223">
        <f>SUM([20]M01!J38,[20]M02!J38,[20]M03!J38,[20]M04!J38,[20]M05!J38,[20]M06!J38,[20]M07!J38,[20]M08!J38,[20]M09!J38,[20]M10!J38,[20]M11!J38,[20]M12!J38)</f>
        <v>178.95126676018072</v>
      </c>
      <c r="K54" s="224">
        <f>SUM([20]M01!K38,[20]M02!K38,[20]M03!K38,[20]M04!K38,[20]M05!K38,[20]M06!K38,[20]M07!K38,[20]M08!K38,[20]M09!K38,[20]M10!K38,[20]M11!K38,[20]M12!K38)</f>
        <v>4495.8617597889634</v>
      </c>
      <c r="L54" s="225">
        <f>SUM(B54:K54)</f>
        <v>22071.250342502401</v>
      </c>
      <c r="M54" s="226">
        <f>L54/(L55+L54)</f>
        <v>0.45</v>
      </c>
      <c r="N54" s="227"/>
    </row>
    <row r="55" spans="1:14" ht="15" customHeight="1">
      <c r="A55" s="228" t="s">
        <v>167</v>
      </c>
      <c r="B55" s="229">
        <f>SUM([20]M01!B39,[20]M02!B39,[20]M03!B39,[20]M04!B39,[20]M05!B39,[20]M06!B39,[20]M07!B39,[20]M08!B39,[20]M09!B39,[20]M10!B39,[20]M11!B39,[20]M12!B39)</f>
        <v>0</v>
      </c>
      <c r="C55" s="230">
        <f>SUM([20]M01!C39,[20]M02!C39,[20]M03!C39,[20]M04!C39,[20]M05!C39,[20]M06!C39,[20]M07!C39,[20]M08!C39,[20]M09!C39,[20]M10!C39,[20]M11!C39,[20]M12!C39)</f>
        <v>0</v>
      </c>
      <c r="D55" s="230">
        <f>SUM([20]M01!D39,[20]M02!D39,[20]M03!D39,[20]M04!D39,[20]M05!D39,[20]M06!D39,[20]M07!D39,[20]M08!D39,[20]M09!D39,[20]M10!D39,[20]M11!D39,[20]M12!D39)</f>
        <v>0</v>
      </c>
      <c r="E55" s="230">
        <f>SUM([20]M01!E39,[20]M02!E39,[20]M03!E39,[20]M04!E39,[20]M05!E39,[20]M06!E39,[20]M07!E39,[20]M08!E39,[20]M09!E39,[20]M10!E39,[20]M11!E39,[20]M12!E39)</f>
        <v>340.07512187689071</v>
      </c>
      <c r="F55" s="230">
        <f>SUM([20]M01!F39,[20]M02!F39,[20]M03!F39,[20]M04!F39,[20]M05!F39,[20]M06!F39,[20]M07!F39,[20]M08!F39,[20]M09!F39,[20]M10!F39,[20]M11!F39,[20]M12!F39)</f>
        <v>1287.8057193064346</v>
      </c>
      <c r="G55" s="230">
        <f>SUM([20]M01!G39,[20]M02!G39,[20]M03!G39,[20]M04!G39,[20]M05!G39,[20]M06!G39,[20]M07!G39,[20]M08!G39,[20]M09!G39,[20]M10!G39,[20]M11!G39,[20]M12!G39)</f>
        <v>2632.9670485617239</v>
      </c>
      <c r="H55" s="230">
        <f>SUM([20]M01!H39,[20]M02!H39,[20]M03!H39,[20]M04!H39,[20]M05!H39,[20]M06!H39,[20]M07!H39,[20]M08!H39,[20]M09!H39,[20]M10!H39,[20]M11!H39,[20]M12!H39)</f>
        <v>19926.305800914408</v>
      </c>
      <c r="I55" s="230">
        <f>SUM([20]M01!I39,[20]M02!I39,[20]M03!I39,[20]M04!I39,[20]M05!I39,[20]M06!I39,[20]M07!I39,[20]M08!I39,[20]M09!I39,[20]M10!I39,[20]M11!I39,[20]M12!I39)</f>
        <v>0</v>
      </c>
      <c r="J55" s="230">
        <f>SUM([20]M01!J39,[20]M02!J39,[20]M03!J39,[20]M04!J39,[20]M05!J39,[20]M06!J39,[20]M07!J39,[20]M08!J39,[20]M09!J39,[20]M10!J39,[20]M11!J39,[20]M12!J39)</f>
        <v>2766.2640453960139</v>
      </c>
      <c r="K55" s="231">
        <f>SUM([20]M01!K39,[20]M02!K39,[20]M03!K39,[20]M04!K39,[20]M05!K39,[20]M06!K39,[20]M07!K39,[20]M08!K39,[20]M09!K39,[20]M10!K39,[20]M11!K39,[20]M12!K39)</f>
        <v>22.55490478079388</v>
      </c>
      <c r="L55" s="232">
        <f>SUM(B55:K55)</f>
        <v>26975.972640836262</v>
      </c>
      <c r="M55" s="233">
        <f>L55/(L54+L55)</f>
        <v>0.54999999999999993</v>
      </c>
      <c r="N55" s="108"/>
    </row>
    <row r="56" spans="1:14" ht="20.25" customHeight="1">
      <c r="A56" s="213" t="s">
        <v>178</v>
      </c>
      <c r="B56" s="211"/>
      <c r="C56" s="211"/>
      <c r="D56" s="211"/>
      <c r="E56" s="211"/>
      <c r="F56" s="211"/>
      <c r="G56" s="211"/>
      <c r="H56" s="211"/>
      <c r="I56" s="211"/>
      <c r="J56" s="211"/>
      <c r="K56" s="211"/>
      <c r="L56" s="219">
        <f>L57+L58</f>
        <v>64088.059410844355</v>
      </c>
      <c r="M56" s="214">
        <f>L56/$M$51</f>
        <v>0.56647279502820658</v>
      </c>
      <c r="N56" s="220"/>
    </row>
    <row r="57" spans="1:14" ht="15" customHeight="1">
      <c r="A57" s="221" t="s">
        <v>110</v>
      </c>
      <c r="B57" s="222">
        <f>SUM([20]M01!B41,[20]M02!B41,[20]M03!B41,[20]M04!B41,[20]M05!B41,[20]M06!B41,[20]M07!B41,[20]M08!B41,[20]M09!B41,[20]M10!B41,[20]M11!B41,[20]M12!B41)</f>
        <v>3449.8424095475225</v>
      </c>
      <c r="C57" s="223">
        <f>SUM([20]M01!C41,[20]M02!C41,[20]M03!C41,[20]M04!C41,[20]M05!C41,[20]M06!C41,[20]M07!C41,[20]M08!C41,[20]M09!C41,[20]M10!C41,[20]M11!C41,[20]M12!C41)</f>
        <v>3647.6499910406101</v>
      </c>
      <c r="D57" s="223">
        <f>SUM([20]M01!D41,[20]M02!D41,[20]M03!D41,[20]M04!D41,[20]M05!D41,[20]M06!D41,[20]M07!D41,[20]M08!D41,[20]M09!D41,[20]M10!D41,[20]M11!D41,[20]M12!D41)</f>
        <v>913.38068334627371</v>
      </c>
      <c r="E57" s="223">
        <f>SUM([20]M01!E41,[20]M02!E41,[20]M03!E41,[20]M04!E41,[20]M05!E41,[20]M06!E41,[20]M07!E41,[20]M08!E41,[20]M09!E41,[20]M10!E41,[20]M11!E41,[20]M12!E41)</f>
        <v>3346.9042159560486</v>
      </c>
      <c r="F57" s="223">
        <f>SUM([20]M01!F41,[20]M02!F41,[20]M03!F41,[20]M04!F41,[20]M05!F41,[20]M06!F41,[20]M07!F41,[20]M08!F41,[20]M09!F41,[20]M10!F41,[20]M11!F41,[20]M12!F41)</f>
        <v>4658.2573609676992</v>
      </c>
      <c r="G57" s="223">
        <f>SUM([20]M01!G41,[20]M02!G41,[20]M03!G41,[20]M04!G41,[20]M05!G41,[20]M06!G41,[20]M07!G41,[20]M08!G41,[20]M09!G41,[20]M10!G41,[20]M11!G41,[20]M12!G41)</f>
        <v>1417.4486387019745</v>
      </c>
      <c r="H57" s="223">
        <f>SUM([20]M01!H41,[20]M02!H41,[20]M03!H41,[20]M04!H41,[20]M05!H41,[20]M06!H41,[20]M07!H41,[20]M08!H41,[20]M09!H41,[20]M10!H41,[20]M11!H41,[20]M12!H41)</f>
        <v>788.68707469831804</v>
      </c>
      <c r="I57" s="223">
        <f>SUM([20]M01!I41,[20]M02!I41,[20]M03!I41,[20]M04!I41,[20]M05!I41,[20]M06!I41,[20]M07!I41,[20]M08!I41,[20]M09!I41,[20]M10!I41,[20]M11!I41,[20]M12!I41)</f>
        <v>1328.7023872323118</v>
      </c>
      <c r="J57" s="223">
        <f>SUM([20]M01!J41,[20]M02!J41,[20]M03!J41,[20]M04!J41,[20]M05!J41,[20]M06!J41,[20]M07!J41,[20]M08!J41,[20]M09!J41,[20]M10!J41,[20]M11!J41,[20]M12!J41)</f>
        <v>8000.0659695877775</v>
      </c>
      <c r="K57" s="224">
        <f>SUM([20]M01!K41,[20]M02!K41,[20]M03!K41,[20]M04!K41,[20]M05!K41,[20]M06!K41,[20]M07!K41,[20]M08!K41,[20]M09!K41,[20]M10!K41,[20]M11!K41,[20]M12!K41)</f>
        <v>1288.688003801431</v>
      </c>
      <c r="L57" s="225">
        <f>SUM(B57:K57)</f>
        <v>28839.626734879967</v>
      </c>
      <c r="M57" s="226">
        <f>L57/(L58+L57)</f>
        <v>0.45000000000000012</v>
      </c>
      <c r="N57" s="227"/>
    </row>
    <row r="58" spans="1:14" ht="15" customHeight="1">
      <c r="A58" s="228" t="s">
        <v>167</v>
      </c>
      <c r="B58" s="229">
        <f>SUM([20]M01!B42,[20]M02!B42,[20]M03!B42,[20]M04!B42,[20]M05!B42,[20]M06!B42,[20]M07!B42,[20]M08!B42,[20]M09!B42,[20]M10!B42,[20]M11!B42,[20]M12!B42)</f>
        <v>389.04389323190577</v>
      </c>
      <c r="C58" s="230">
        <f>SUM([20]M01!C42,[20]M02!C42,[20]M03!C42,[20]M04!C42,[20]M05!C42,[20]M06!C42,[20]M07!C42,[20]M08!C42,[20]M09!C42,[20]M10!C42,[20]M11!C42,[20]M12!C42)</f>
        <v>0</v>
      </c>
      <c r="D58" s="230">
        <f>SUM([20]M01!D42,[20]M02!D42,[20]M03!D42,[20]M04!D42,[20]M05!D42,[20]M06!D42,[20]M07!D42,[20]M08!D42,[20]M09!D42,[20]M10!D42,[20]M11!D42,[20]M12!D42)</f>
        <v>0.74529535588358131</v>
      </c>
      <c r="E58" s="230">
        <f>SUM([20]M01!E42,[20]M02!E42,[20]M03!E42,[20]M04!E42,[20]M05!E42,[20]M06!E42,[20]M07!E42,[20]M08!E42,[20]M09!E42,[20]M10!E42,[20]M11!E42,[20]M12!E42)</f>
        <v>2499.7164387999915</v>
      </c>
      <c r="F58" s="230">
        <f>SUM([20]M01!F42,[20]M02!F42,[20]M03!F42,[20]M04!F42,[20]M05!F42,[20]M06!F42,[20]M07!F42,[20]M08!F42,[20]M09!F42,[20]M10!F42,[20]M11!F42,[20]M12!F42)</f>
        <v>5615.7897483733614</v>
      </c>
      <c r="G58" s="230">
        <f>SUM([20]M01!G42,[20]M02!G42,[20]M03!G42,[20]M04!G42,[20]M05!G42,[20]M06!G42,[20]M07!G42,[20]M08!G42,[20]M09!G42,[20]M10!G42,[20]M11!G42,[20]M12!G42)</f>
        <v>3794.1173131923279</v>
      </c>
      <c r="H58" s="230">
        <f>SUM([20]M01!H42,[20]M02!H42,[20]M03!H42,[20]M04!H42,[20]M05!H42,[20]M06!H42,[20]M07!H42,[20]M08!H42,[20]M09!H42,[20]M10!H42,[20]M11!H42,[20]M12!H42)</f>
        <v>19851.57062773412</v>
      </c>
      <c r="I58" s="230">
        <f>SUM([20]M01!I42,[20]M02!I42,[20]M03!I42,[20]M04!I42,[20]M05!I42,[20]M06!I42,[20]M07!I42,[20]M08!I42,[20]M09!I42,[20]M10!I42,[20]M11!I42,[20]M12!I42)</f>
        <v>21.940770356319529</v>
      </c>
      <c r="J58" s="230">
        <f>SUM([20]M01!J42,[20]M02!J42,[20]M03!J42,[20]M04!J42,[20]M05!J42,[20]M06!J42,[20]M07!J42,[20]M08!J42,[20]M09!J42,[20]M10!J42,[20]M11!J42,[20]M12!J42)</f>
        <v>2107.7790312634097</v>
      </c>
      <c r="K58" s="231">
        <f>SUM([20]M01!K42,[20]M02!K42,[20]M03!K42,[20]M04!K42,[20]M05!K42,[20]M06!K42,[20]M07!K42,[20]M08!K42,[20]M09!K42,[20]M10!K42,[20]M11!K42,[20]M12!K42)</f>
        <v>967.7295576570715</v>
      </c>
      <c r="L58" s="232">
        <f>SUM(B58:K58)</f>
        <v>35248.432675964388</v>
      </c>
      <c r="M58" s="233">
        <f>L58/(L57+L58)</f>
        <v>0.54999999999999993</v>
      </c>
      <c r="N58" s="166"/>
    </row>
    <row r="59" spans="1:14" ht="20.25" customHeight="1">
      <c r="A59" s="213" t="s">
        <v>179</v>
      </c>
      <c r="B59" s="211"/>
      <c r="C59" s="211"/>
      <c r="D59" s="211"/>
      <c r="E59" s="211"/>
      <c r="F59" s="211"/>
      <c r="G59" s="211"/>
      <c r="H59" s="211"/>
      <c r="I59" s="211"/>
      <c r="J59" s="211"/>
      <c r="K59" s="211"/>
      <c r="L59" s="219">
        <f>L60+L61</f>
        <v>0</v>
      </c>
      <c r="M59" s="214">
        <f>IFERROR(L59/B7,0)</f>
        <v>0</v>
      </c>
      <c r="N59" s="166"/>
    </row>
    <row r="60" spans="1:14" ht="15" customHeight="1">
      <c r="A60" s="221" t="s">
        <v>180</v>
      </c>
      <c r="B60" s="222">
        <f>SUM([20]M01!B44,[20]M02!B44,[20]M03!B44,[20]M04!B44,[20]M05!B44,[20]M06!B44,[20]M07!B44,[20]M08!B44,[20]M09!B44,[20]M10!B44,[20]M11!B44,[20]M12!B44)</f>
        <v>0</v>
      </c>
      <c r="C60" s="223">
        <f>SUM([20]M01!C44,[20]M02!C44,[20]M03!C44,[20]M04!C44,[20]M05!C44,[20]M06!C44,[20]M07!C44,[20]M08!C44,[20]M09!C44,[20]M10!C44,[20]M11!C44,[20]M12!C44)</f>
        <v>0</v>
      </c>
      <c r="D60" s="223">
        <f>SUM([20]M01!D44,[20]M02!D44,[20]M03!D44,[20]M04!D44,[20]M05!D44,[20]M06!D44,[20]M07!D44,[20]M08!D44,[20]M09!D44,[20]M10!D44,[20]M11!D44,[20]M12!D44)</f>
        <v>0</v>
      </c>
      <c r="E60" s="223">
        <f>SUM([20]M01!E44,[20]M02!E44,[20]M03!E44,[20]M04!E44,[20]M05!E44,[20]M06!E44,[20]M07!E44,[20]M08!E44,[20]M09!E44,[20]M10!E44,[20]M11!E44,[20]M12!E44)</f>
        <v>0</v>
      </c>
      <c r="F60" s="223">
        <f>SUM([20]M01!F44,[20]M02!F44,[20]M03!F44,[20]M04!F44,[20]M05!F44,[20]M06!F44,[20]M07!F44,[20]M08!F44,[20]M09!F44,[20]M10!F44,[20]M11!F44,[20]M12!F44)</f>
        <v>0</v>
      </c>
      <c r="G60" s="223">
        <f>SUM([20]M01!G44,[20]M02!G44,[20]M03!G44,[20]M04!G44,[20]M05!G44,[20]M06!G44,[20]M07!G44,[20]M08!G44,[20]M09!G44,[20]M10!G44,[20]M11!G44,[20]M12!G44)</f>
        <v>0</v>
      </c>
      <c r="H60" s="223">
        <f>SUM([20]M01!H44,[20]M02!H44,[20]M03!H44,[20]M04!H44,[20]M05!H44,[20]M06!H44,[20]M07!H44,[20]M08!H44,[20]M09!H44,[20]M10!H44,[20]M11!H44,[20]M12!H44)</f>
        <v>0</v>
      </c>
      <c r="I60" s="223">
        <f>SUM([20]M01!I44,[20]M02!I44,[20]M03!I44,[20]M04!I44,[20]M05!I44,[20]M06!I44,[20]M07!I44,[20]M08!I44,[20]M09!I44,[20]M10!I44,[20]M11!I44,[20]M12!I44)</f>
        <v>0</v>
      </c>
      <c r="J60" s="223">
        <f>SUM([20]M01!J44,[20]M02!J44,[20]M03!J44,[20]M04!J44,[20]M05!J44,[20]M06!J44,[20]M07!J44,[20]M08!J44,[20]M09!J44,[20]M10!J44,[20]M11!J44,[20]M12!J44)</f>
        <v>0</v>
      </c>
      <c r="K60" s="224">
        <f>SUM([20]M01!K44,[20]M02!K44,[20]M03!K44,[20]M04!K44,[20]M05!K44,[20]M06!K44,[20]M07!K44,[20]M08!K44,[20]M09!K44,[20]M10!K44,[20]M11!K44,[20]M12!K44)</f>
        <v>0</v>
      </c>
      <c r="L60" s="225">
        <f>SUM(B60:K60)</f>
        <v>0</v>
      </c>
      <c r="M60" s="226" t="e">
        <f>L60/(L61+L60)</f>
        <v>#DIV/0!</v>
      </c>
      <c r="N60" s="166"/>
    </row>
    <row r="61" spans="1:14" ht="15" customHeight="1">
      <c r="A61" s="228" t="s">
        <v>181</v>
      </c>
      <c r="B61" s="229">
        <f>SUM([20]M01!B45,[20]M02!B45,[20]M03!B45,[20]M04!B45,[20]M05!B45,[20]M06!B45,[20]M07!B45,[20]M08!B45,[20]M09!B45,[20]M10!B45,[20]M11!B45,[20]M12!B45)</f>
        <v>0</v>
      </c>
      <c r="C61" s="230">
        <f>SUM([20]M01!C45,[20]M02!C45,[20]M03!C45,[20]M04!C45,[20]M05!C45,[20]M06!C45,[20]M07!C45,[20]M08!C45,[20]M09!C45,[20]M10!C45,[20]M11!C45,[20]M12!C45)</f>
        <v>0</v>
      </c>
      <c r="D61" s="230">
        <f>SUM([20]M01!D45,[20]M02!D45,[20]M03!D45,[20]M04!D45,[20]M05!D45,[20]M06!D45,[20]M07!D45,[20]M08!D45,[20]M09!D45,[20]M10!D45,[20]M11!D45,[20]M12!D45)</f>
        <v>0</v>
      </c>
      <c r="E61" s="230">
        <f>SUM([20]M01!E45,[20]M02!E45,[20]M03!E45,[20]M04!E45,[20]M05!E45,[20]M06!E45,[20]M07!E45,[20]M08!E45,[20]M09!E45,[20]M10!E45,[20]M11!E45,[20]M12!E45)</f>
        <v>0</v>
      </c>
      <c r="F61" s="230">
        <f>SUM([20]M01!F45,[20]M02!F45,[20]M03!F45,[20]M04!F45,[20]M05!F45,[20]M06!F45,[20]M07!F45,[20]M08!F45,[20]M09!F45,[20]M10!F45,[20]M11!F45,[20]M12!F45)</f>
        <v>0</v>
      </c>
      <c r="G61" s="230">
        <f>SUM([20]M01!G45,[20]M02!G45,[20]M03!G45,[20]M04!G45,[20]M05!G45,[20]M06!G45,[20]M07!G45,[20]M08!G45,[20]M09!G45,[20]M10!G45,[20]M11!G45,[20]M12!G45)</f>
        <v>0</v>
      </c>
      <c r="H61" s="230">
        <f>SUM([20]M01!H45,[20]M02!H45,[20]M03!H45,[20]M04!H45,[20]M05!H45,[20]M06!H45,[20]M07!H45,[20]M08!H45,[20]M09!H45,[20]M10!H45,[20]M11!H45,[20]M12!H45)</f>
        <v>0</v>
      </c>
      <c r="I61" s="230">
        <f>SUM([20]M01!I45,[20]M02!I45,[20]M03!I45,[20]M04!I45,[20]M05!I45,[20]M06!I45,[20]M07!I45,[20]M08!I45,[20]M09!I45,[20]M10!I45,[20]M11!I45,[20]M12!I45)</f>
        <v>0</v>
      </c>
      <c r="J61" s="230">
        <f>SUM([20]M01!J45,[20]M02!J45,[20]M03!J45,[20]M04!J45,[20]M05!J45,[20]M06!J45,[20]M07!J45,[20]M08!J45,[20]M09!J45,[20]M10!J45,[20]M11!J45,[20]M12!J45)</f>
        <v>0</v>
      </c>
      <c r="K61" s="231">
        <f>SUM([20]M01!K45,[20]M02!K45,[20]M03!K45,[20]M04!K45,[20]M05!K45,[20]M06!K45,[20]M07!K45,[20]M08!K45,[20]M09!K45,[20]M10!K45,[20]M11!K45,[20]M12!K45)</f>
        <v>0</v>
      </c>
      <c r="L61" s="232">
        <f>SUM(B61:K61)</f>
        <v>0</v>
      </c>
      <c r="M61" s="233" t="e">
        <f>L61/(L60+L61)</f>
        <v>#DIV/0!</v>
      </c>
      <c r="N61" s="166"/>
    </row>
    <row r="62" spans="1:14" ht="20.25" hidden="1" customHeight="1">
      <c r="A62" s="213" t="s">
        <v>182</v>
      </c>
      <c r="B62" s="234"/>
      <c r="C62" s="234"/>
      <c r="D62" s="234"/>
      <c r="E62" s="234"/>
      <c r="F62" s="234"/>
      <c r="G62" s="235">
        <f>SUM([20]M01!G46,[20]M02!G46,[20]M03!G46,[20]M04!G46,[20]M05!G46,[20]M06!G46,[20]M07!G46,[20]M08!G46,[20]M09!G46,[20]M10!G46,[20]M11!G46,[20]M12!G46)</f>
        <v>0</v>
      </c>
      <c r="H62" s="236">
        <f>G62/L51</f>
        <v>0</v>
      </c>
      <c r="I62" s="234"/>
      <c r="J62" s="234"/>
      <c r="K62" s="234"/>
      <c r="L62" s="212"/>
      <c r="N62" s="166"/>
    </row>
    <row r="63" spans="1:14" ht="15" customHeight="1">
      <c r="A63" s="234"/>
      <c r="B63" s="234"/>
      <c r="C63" s="234"/>
      <c r="D63" s="234"/>
      <c r="E63" s="234"/>
      <c r="F63" s="234"/>
      <c r="G63" s="234"/>
      <c r="H63" s="234"/>
      <c r="I63" s="234"/>
      <c r="J63" s="234"/>
      <c r="K63" s="234"/>
      <c r="L63" s="212"/>
      <c r="N63" s="166"/>
    </row>
    <row r="64" spans="1:14" ht="20.25" customHeight="1">
      <c r="A64" s="237" t="s">
        <v>183</v>
      </c>
      <c r="B64" s="238"/>
      <c r="C64" s="238"/>
      <c r="D64" s="238"/>
      <c r="E64" s="238"/>
      <c r="F64" s="238"/>
      <c r="G64" s="238"/>
      <c r="H64" s="238"/>
      <c r="I64" s="238"/>
      <c r="J64" s="238"/>
      <c r="K64" s="238"/>
      <c r="L64" s="219">
        <f>L65+L66</f>
        <v>113135.28239418301</v>
      </c>
      <c r="M64" s="239">
        <f>L64/(B3+B7)</f>
        <v>0.99999999999985512</v>
      </c>
      <c r="N64" s="240"/>
    </row>
    <row r="65" spans="1:14" ht="15" customHeight="1">
      <c r="A65" s="241" t="s">
        <v>110</v>
      </c>
      <c r="B65" s="242">
        <f>B54+B57</f>
        <v>6621.0869718072545</v>
      </c>
      <c r="C65" s="243">
        <f t="shared" ref="C65:K65" si="2">C54+C57</f>
        <v>8637.3536138091622</v>
      </c>
      <c r="D65" s="243">
        <f t="shared" si="2"/>
        <v>3527.6454523381385</v>
      </c>
      <c r="E65" s="243">
        <f t="shared" si="2"/>
        <v>8848.3099649386313</v>
      </c>
      <c r="F65" s="243">
        <f t="shared" si="2"/>
        <v>5159.6107282886442</v>
      </c>
      <c r="G65" s="243">
        <f t="shared" si="2"/>
        <v>1628.7037956439065</v>
      </c>
      <c r="H65" s="243">
        <f t="shared" si="2"/>
        <v>788.68707469831804</v>
      </c>
      <c r="I65" s="243">
        <f t="shared" si="2"/>
        <v>1735.9124759199547</v>
      </c>
      <c r="J65" s="243">
        <f t="shared" si="2"/>
        <v>8179.0172363479578</v>
      </c>
      <c r="K65" s="244">
        <f t="shared" si="2"/>
        <v>5784.5497635903939</v>
      </c>
      <c r="L65" s="225">
        <f>SUM(B65:K65)</f>
        <v>50910.877077382363</v>
      </c>
      <c r="M65" s="226">
        <f>L65/(L66+L65)</f>
        <v>0.45000000000000007</v>
      </c>
      <c r="N65" s="240"/>
    </row>
    <row r="66" spans="1:14" ht="15" customHeight="1">
      <c r="A66" s="245" t="s">
        <v>167</v>
      </c>
      <c r="B66" s="246">
        <f>B55+B58+B60+B61</f>
        <v>389.04389323190577</v>
      </c>
      <c r="C66" s="247">
        <f t="shared" ref="C66:K66" si="3">C55+C58+C60+C61</f>
        <v>0</v>
      </c>
      <c r="D66" s="247">
        <f t="shared" si="3"/>
        <v>0.74529535588358131</v>
      </c>
      <c r="E66" s="247">
        <f t="shared" si="3"/>
        <v>2839.791560676882</v>
      </c>
      <c r="F66" s="247">
        <f t="shared" si="3"/>
        <v>6903.5954676797955</v>
      </c>
      <c r="G66" s="247">
        <f t="shared" si="3"/>
        <v>6427.0843617540522</v>
      </c>
      <c r="H66" s="247">
        <f t="shared" si="3"/>
        <v>39777.876428648524</v>
      </c>
      <c r="I66" s="247">
        <f t="shared" si="3"/>
        <v>21.940770356319529</v>
      </c>
      <c r="J66" s="247">
        <f t="shared" si="3"/>
        <v>4874.0430766594236</v>
      </c>
      <c r="K66" s="248">
        <f t="shared" si="3"/>
        <v>990.28446243786539</v>
      </c>
      <c r="L66" s="232">
        <f>SUM(B66:K66)</f>
        <v>62224.40531680065</v>
      </c>
      <c r="M66" s="233">
        <f>L66/(L65+L66)</f>
        <v>0.54999999999999993</v>
      </c>
      <c r="N66" s="240"/>
    </row>
    <row r="67" spans="1:14" ht="15" customHeight="1">
      <c r="B67" s="236">
        <f>B65/$L$64</f>
        <v>5.8523626155262819E-2</v>
      </c>
      <c r="C67" s="236">
        <f t="shared" ref="C67:K67" si="4">C65/$L$64</f>
        <v>7.6345357796651969E-2</v>
      </c>
      <c r="D67" s="236">
        <f t="shared" si="4"/>
        <v>3.1180772060542598E-2</v>
      </c>
      <c r="E67" s="236">
        <f t="shared" si="4"/>
        <v>7.8209995835866478E-2</v>
      </c>
      <c r="F67" s="236">
        <f t="shared" si="4"/>
        <v>4.5605673306331286E-2</v>
      </c>
      <c r="G67" s="236">
        <f t="shared" si="4"/>
        <v>1.4396073100955536E-2</v>
      </c>
      <c r="H67" s="236">
        <f t="shared" si="4"/>
        <v>6.9711858052415076E-3</v>
      </c>
      <c r="I67" s="236">
        <f t="shared" si="4"/>
        <v>1.5343688009472885E-2</v>
      </c>
      <c r="J67" s="236">
        <f t="shared" si="4"/>
        <v>7.2294133742034944E-2</v>
      </c>
      <c r="K67" s="236">
        <f t="shared" si="4"/>
        <v>5.1129494187640033E-2</v>
      </c>
      <c r="N67" s="166"/>
    </row>
    <row r="68" spans="1:14" ht="15" customHeight="1">
      <c r="B68" s="236">
        <f t="shared" ref="B68:K68" si="5">B66/$L$64</f>
        <v>3.4387494776068985E-3</v>
      </c>
      <c r="C68" s="236">
        <f t="shared" si="5"/>
        <v>0</v>
      </c>
      <c r="D68" s="236">
        <f t="shared" si="5"/>
        <v>6.5876474616189367E-6</v>
      </c>
      <c r="E68" s="236">
        <f t="shared" si="5"/>
        <v>2.5100848299317927E-2</v>
      </c>
      <c r="F68" s="236">
        <f t="shared" si="5"/>
        <v>6.1020711855621371E-2</v>
      </c>
      <c r="G68" s="236">
        <f t="shared" si="5"/>
        <v>5.6808841819663045E-2</v>
      </c>
      <c r="H68" s="236">
        <f t="shared" si="5"/>
        <v>0.35159567896825927</v>
      </c>
      <c r="I68" s="236">
        <f t="shared" si="5"/>
        <v>1.9393393371197913E-4</v>
      </c>
      <c r="J68" s="236">
        <f t="shared" si="5"/>
        <v>4.3081547802898565E-2</v>
      </c>
      <c r="K68" s="236">
        <f t="shared" si="5"/>
        <v>8.7531001954592909E-3</v>
      </c>
      <c r="N68" s="166"/>
    </row>
    <row r="69" spans="1:14" ht="15" customHeight="1">
      <c r="B69" s="249"/>
      <c r="C69" s="249"/>
      <c r="D69" s="249"/>
      <c r="E69" s="249"/>
      <c r="F69" s="249"/>
      <c r="G69" s="249"/>
      <c r="H69" s="249"/>
      <c r="I69" s="249"/>
      <c r="J69" s="249"/>
      <c r="K69" s="249"/>
      <c r="L69" s="250"/>
      <c r="M69" s="251"/>
    </row>
    <row r="70" spans="1:14" ht="15" customHeight="1">
      <c r="B70" s="249"/>
      <c r="C70" s="249"/>
      <c r="D70" s="249"/>
      <c r="E70" s="249"/>
      <c r="F70" s="249"/>
      <c r="G70" s="249"/>
      <c r="H70" s="249"/>
      <c r="I70" s="249"/>
      <c r="J70" s="249"/>
      <c r="K70" s="249"/>
    </row>
    <row r="71" spans="1:14" ht="15" customHeight="1">
      <c r="B71" s="249"/>
      <c r="C71" s="249"/>
      <c r="D71" s="249"/>
      <c r="E71" s="249"/>
      <c r="F71" s="249"/>
      <c r="G71" s="249"/>
      <c r="H71" s="249"/>
      <c r="I71" s="249"/>
      <c r="J71" s="249"/>
      <c r="K71" s="249"/>
      <c r="L71" s="250"/>
    </row>
    <row r="72" spans="1:14" ht="15" customHeight="1">
      <c r="B72" s="249"/>
      <c r="C72" s="249"/>
      <c r="D72" s="249"/>
      <c r="E72" s="249"/>
      <c r="F72" s="249"/>
      <c r="G72" s="249"/>
      <c r="H72" s="249"/>
      <c r="I72" s="249"/>
      <c r="J72" s="249"/>
      <c r="K72" s="249"/>
      <c r="L72" s="250"/>
    </row>
  </sheetData>
  <conditionalFormatting sqref="B19:L20 B38:K38">
    <cfRule type="cellIs" dxfId="79" priority="18" operator="equal">
      <formula>0</formula>
    </cfRule>
  </conditionalFormatting>
  <conditionalFormatting sqref="B25:K27">
    <cfRule type="cellIs" dxfId="78" priority="17" operator="equal">
      <formula>0</formula>
    </cfRule>
  </conditionalFormatting>
  <conditionalFormatting sqref="B29:K30">
    <cfRule type="cellIs" dxfId="77" priority="16" operator="equal">
      <formula>0</formula>
    </cfRule>
  </conditionalFormatting>
  <conditionalFormatting sqref="B54:K55">
    <cfRule type="cellIs" dxfId="76" priority="15" operator="equal">
      <formula>0</formula>
    </cfRule>
  </conditionalFormatting>
  <conditionalFormatting sqref="L25:L27">
    <cfRule type="cellIs" dxfId="75" priority="14" operator="equal">
      <formula>0</formula>
    </cfRule>
  </conditionalFormatting>
  <conditionalFormatting sqref="B57:K58">
    <cfRule type="cellIs" dxfId="74" priority="13" operator="equal">
      <formula>0</formula>
    </cfRule>
  </conditionalFormatting>
  <conditionalFormatting sqref="B60:K61">
    <cfRule type="cellIs" dxfId="73" priority="12" operator="equal">
      <formula>0</formula>
    </cfRule>
  </conditionalFormatting>
  <conditionalFormatting sqref="B22:L23">
    <cfRule type="cellIs" dxfId="72" priority="11" operator="equal">
      <formula>0</formula>
    </cfRule>
  </conditionalFormatting>
  <conditionalFormatting sqref="N12:N13">
    <cfRule type="cellIs" dxfId="71" priority="10" stopIfTrue="1" operator="notEqual">
      <formula>8760</formula>
    </cfRule>
  </conditionalFormatting>
  <conditionalFormatting sqref="N14">
    <cfRule type="cellIs" dxfId="70" priority="9" stopIfTrue="1" operator="notEqual">
      <formula>1</formula>
    </cfRule>
  </conditionalFormatting>
  <conditionalFormatting sqref="L54:L55">
    <cfRule type="cellIs" dxfId="69" priority="7" operator="equal">
      <formula>0</formula>
    </cfRule>
  </conditionalFormatting>
  <conditionalFormatting sqref="M51">
    <cfRule type="cellIs" dxfId="68" priority="8" stopIfTrue="1" operator="notEqual">
      <formula>$L$51</formula>
    </cfRule>
  </conditionalFormatting>
  <conditionalFormatting sqref="L57:L58">
    <cfRule type="cellIs" dxfId="67" priority="6" operator="equal">
      <formula>0</formula>
    </cfRule>
  </conditionalFormatting>
  <conditionalFormatting sqref="L60:L61">
    <cfRule type="cellIs" dxfId="66" priority="5" operator="equal">
      <formula>0</formula>
    </cfRule>
  </conditionalFormatting>
  <conditionalFormatting sqref="B65:K66">
    <cfRule type="cellIs" dxfId="65" priority="4" operator="equal">
      <formula>0</formula>
    </cfRule>
  </conditionalFormatting>
  <conditionalFormatting sqref="L65:L66">
    <cfRule type="cellIs" dxfId="64" priority="3" operator="equal">
      <formula>0</formula>
    </cfRule>
  </conditionalFormatting>
  <conditionalFormatting sqref="L51">
    <cfRule type="cellIs" dxfId="63" priority="2" stopIfTrue="1" operator="notEqual">
      <formula>$M$51</formula>
    </cfRule>
  </conditionalFormatting>
  <conditionalFormatting sqref="B44:K45">
    <cfRule type="cellIs" dxfId="62" priority="1" operator="equal">
      <formula>0</formula>
    </cfRule>
  </conditionalFormatting>
  <printOptions horizontalCentered="1"/>
  <pageMargins left="0.39370078740157483" right="0.39370078740157483" top="0.98425196850393704" bottom="0.39370078740157483" header="0.59055118110236227" footer="0.31496062992125984"/>
  <pageSetup paperSize="9" scale="76" orientation="portrait" r:id="rId1"/>
  <headerFooter>
    <oddHeader>&amp;C&amp;Z&amp;F</oddHeader>
  </headerFooter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CF2D25-C7E2-45C8-B844-E5D1249FBAA2}">
  <sheetPr>
    <pageSetUpPr fitToPage="1"/>
  </sheetPr>
  <dimension ref="A1:N72"/>
  <sheetViews>
    <sheetView topLeftCell="A46" zoomScaleNormal="100" workbookViewId="0">
      <selection sqref="A1:N68"/>
    </sheetView>
  </sheetViews>
  <sheetFormatPr baseColWidth="10" defaultColWidth="10.6640625" defaultRowHeight="15" customHeight="1"/>
  <cols>
    <col min="1" max="1" width="12.6640625" style="97" customWidth="1"/>
    <col min="2" max="256" width="10.6640625" style="97"/>
    <col min="257" max="257" width="12.6640625" style="97" customWidth="1"/>
    <col min="258" max="512" width="10.6640625" style="97"/>
    <col min="513" max="513" width="12.6640625" style="97" customWidth="1"/>
    <col min="514" max="768" width="10.6640625" style="97"/>
    <col min="769" max="769" width="12.6640625" style="97" customWidth="1"/>
    <col min="770" max="1024" width="10.6640625" style="97"/>
    <col min="1025" max="1025" width="12.6640625" style="97" customWidth="1"/>
    <col min="1026" max="1280" width="10.6640625" style="97"/>
    <col min="1281" max="1281" width="12.6640625" style="97" customWidth="1"/>
    <col min="1282" max="1536" width="10.6640625" style="97"/>
    <col min="1537" max="1537" width="12.6640625" style="97" customWidth="1"/>
    <col min="1538" max="1792" width="10.6640625" style="97"/>
    <col min="1793" max="1793" width="12.6640625" style="97" customWidth="1"/>
    <col min="1794" max="2048" width="10.6640625" style="97"/>
    <col min="2049" max="2049" width="12.6640625" style="97" customWidth="1"/>
    <col min="2050" max="2304" width="10.6640625" style="97"/>
    <col min="2305" max="2305" width="12.6640625" style="97" customWidth="1"/>
    <col min="2306" max="2560" width="10.6640625" style="97"/>
    <col min="2561" max="2561" width="12.6640625" style="97" customWidth="1"/>
    <col min="2562" max="2816" width="10.6640625" style="97"/>
    <col min="2817" max="2817" width="12.6640625" style="97" customWidth="1"/>
    <col min="2818" max="3072" width="10.6640625" style="97"/>
    <col min="3073" max="3073" width="12.6640625" style="97" customWidth="1"/>
    <col min="3074" max="3328" width="10.6640625" style="97"/>
    <col min="3329" max="3329" width="12.6640625" style="97" customWidth="1"/>
    <col min="3330" max="3584" width="10.6640625" style="97"/>
    <col min="3585" max="3585" width="12.6640625" style="97" customWidth="1"/>
    <col min="3586" max="3840" width="10.6640625" style="97"/>
    <col min="3841" max="3841" width="12.6640625" style="97" customWidth="1"/>
    <col min="3842" max="4096" width="10.6640625" style="97"/>
    <col min="4097" max="4097" width="12.6640625" style="97" customWidth="1"/>
    <col min="4098" max="4352" width="10.6640625" style="97"/>
    <col min="4353" max="4353" width="12.6640625" style="97" customWidth="1"/>
    <col min="4354" max="4608" width="10.6640625" style="97"/>
    <col min="4609" max="4609" width="12.6640625" style="97" customWidth="1"/>
    <col min="4610" max="4864" width="10.6640625" style="97"/>
    <col min="4865" max="4865" width="12.6640625" style="97" customWidth="1"/>
    <col min="4866" max="5120" width="10.6640625" style="97"/>
    <col min="5121" max="5121" width="12.6640625" style="97" customWidth="1"/>
    <col min="5122" max="5376" width="10.6640625" style="97"/>
    <col min="5377" max="5377" width="12.6640625" style="97" customWidth="1"/>
    <col min="5378" max="5632" width="10.6640625" style="97"/>
    <col min="5633" max="5633" width="12.6640625" style="97" customWidth="1"/>
    <col min="5634" max="5888" width="10.6640625" style="97"/>
    <col min="5889" max="5889" width="12.6640625" style="97" customWidth="1"/>
    <col min="5890" max="6144" width="10.6640625" style="97"/>
    <col min="6145" max="6145" width="12.6640625" style="97" customWidth="1"/>
    <col min="6146" max="6400" width="10.6640625" style="97"/>
    <col min="6401" max="6401" width="12.6640625" style="97" customWidth="1"/>
    <col min="6402" max="6656" width="10.6640625" style="97"/>
    <col min="6657" max="6657" width="12.6640625" style="97" customWidth="1"/>
    <col min="6658" max="6912" width="10.6640625" style="97"/>
    <col min="6913" max="6913" width="12.6640625" style="97" customWidth="1"/>
    <col min="6914" max="7168" width="10.6640625" style="97"/>
    <col min="7169" max="7169" width="12.6640625" style="97" customWidth="1"/>
    <col min="7170" max="7424" width="10.6640625" style="97"/>
    <col min="7425" max="7425" width="12.6640625" style="97" customWidth="1"/>
    <col min="7426" max="7680" width="10.6640625" style="97"/>
    <col min="7681" max="7681" width="12.6640625" style="97" customWidth="1"/>
    <col min="7682" max="7936" width="10.6640625" style="97"/>
    <col min="7937" max="7937" width="12.6640625" style="97" customWidth="1"/>
    <col min="7938" max="8192" width="10.6640625" style="97"/>
    <col min="8193" max="8193" width="12.6640625" style="97" customWidth="1"/>
    <col min="8194" max="8448" width="10.6640625" style="97"/>
    <col min="8449" max="8449" width="12.6640625" style="97" customWidth="1"/>
    <col min="8450" max="8704" width="10.6640625" style="97"/>
    <col min="8705" max="8705" width="12.6640625" style="97" customWidth="1"/>
    <col min="8706" max="8960" width="10.6640625" style="97"/>
    <col min="8961" max="8961" width="12.6640625" style="97" customWidth="1"/>
    <col min="8962" max="9216" width="10.6640625" style="97"/>
    <col min="9217" max="9217" width="12.6640625" style="97" customWidth="1"/>
    <col min="9218" max="9472" width="10.6640625" style="97"/>
    <col min="9473" max="9473" width="12.6640625" style="97" customWidth="1"/>
    <col min="9474" max="9728" width="10.6640625" style="97"/>
    <col min="9729" max="9729" width="12.6640625" style="97" customWidth="1"/>
    <col min="9730" max="9984" width="10.6640625" style="97"/>
    <col min="9985" max="9985" width="12.6640625" style="97" customWidth="1"/>
    <col min="9986" max="10240" width="10.6640625" style="97"/>
    <col min="10241" max="10241" width="12.6640625" style="97" customWidth="1"/>
    <col min="10242" max="10496" width="10.6640625" style="97"/>
    <col min="10497" max="10497" width="12.6640625" style="97" customWidth="1"/>
    <col min="10498" max="10752" width="10.6640625" style="97"/>
    <col min="10753" max="10753" width="12.6640625" style="97" customWidth="1"/>
    <col min="10754" max="11008" width="10.6640625" style="97"/>
    <col min="11009" max="11009" width="12.6640625" style="97" customWidth="1"/>
    <col min="11010" max="11264" width="10.6640625" style="97"/>
    <col min="11265" max="11265" width="12.6640625" style="97" customWidth="1"/>
    <col min="11266" max="11520" width="10.6640625" style="97"/>
    <col min="11521" max="11521" width="12.6640625" style="97" customWidth="1"/>
    <col min="11522" max="11776" width="10.6640625" style="97"/>
    <col min="11777" max="11777" width="12.6640625" style="97" customWidth="1"/>
    <col min="11778" max="12032" width="10.6640625" style="97"/>
    <col min="12033" max="12033" width="12.6640625" style="97" customWidth="1"/>
    <col min="12034" max="12288" width="10.6640625" style="97"/>
    <col min="12289" max="12289" width="12.6640625" style="97" customWidth="1"/>
    <col min="12290" max="12544" width="10.6640625" style="97"/>
    <col min="12545" max="12545" width="12.6640625" style="97" customWidth="1"/>
    <col min="12546" max="12800" width="10.6640625" style="97"/>
    <col min="12801" max="12801" width="12.6640625" style="97" customWidth="1"/>
    <col min="12802" max="13056" width="10.6640625" style="97"/>
    <col min="13057" max="13057" width="12.6640625" style="97" customWidth="1"/>
    <col min="13058" max="13312" width="10.6640625" style="97"/>
    <col min="13313" max="13313" width="12.6640625" style="97" customWidth="1"/>
    <col min="13314" max="13568" width="10.6640625" style="97"/>
    <col min="13569" max="13569" width="12.6640625" style="97" customWidth="1"/>
    <col min="13570" max="13824" width="10.6640625" style="97"/>
    <col min="13825" max="13825" width="12.6640625" style="97" customWidth="1"/>
    <col min="13826" max="14080" width="10.6640625" style="97"/>
    <col min="14081" max="14081" width="12.6640625" style="97" customWidth="1"/>
    <col min="14082" max="14336" width="10.6640625" style="97"/>
    <col min="14337" max="14337" width="12.6640625" style="97" customWidth="1"/>
    <col min="14338" max="14592" width="10.6640625" style="97"/>
    <col min="14593" max="14593" width="12.6640625" style="97" customWidth="1"/>
    <col min="14594" max="14848" width="10.6640625" style="97"/>
    <col min="14849" max="14849" width="12.6640625" style="97" customWidth="1"/>
    <col min="14850" max="15104" width="10.6640625" style="97"/>
    <col min="15105" max="15105" width="12.6640625" style="97" customWidth="1"/>
    <col min="15106" max="15360" width="10.6640625" style="97"/>
    <col min="15361" max="15361" width="12.6640625" style="97" customWidth="1"/>
    <col min="15362" max="15616" width="10.6640625" style="97"/>
    <col min="15617" max="15617" width="12.6640625" style="97" customWidth="1"/>
    <col min="15618" max="15872" width="10.6640625" style="97"/>
    <col min="15873" max="15873" width="12.6640625" style="97" customWidth="1"/>
    <col min="15874" max="16128" width="10.6640625" style="97"/>
    <col min="16129" max="16129" width="12.6640625" style="97" customWidth="1"/>
    <col min="16130" max="16384" width="10.6640625" style="97"/>
  </cols>
  <sheetData>
    <row r="1" spans="1:14" ht="22.2" customHeight="1">
      <c r="A1" s="95" t="s">
        <v>0</v>
      </c>
      <c r="B1" s="96">
        <f>[21]Input!B1</f>
        <v>3</v>
      </c>
      <c r="C1" s="96" t="str">
        <f>[21]Input!C1</f>
        <v>2027-2028</v>
      </c>
    </row>
    <row r="2" spans="1:14" ht="15" customHeight="1">
      <c r="A2" s="98"/>
      <c r="B2" s="99" t="s">
        <v>2</v>
      </c>
      <c r="C2" s="100"/>
      <c r="D2" s="99" t="s">
        <v>3</v>
      </c>
      <c r="E2" s="101"/>
      <c r="F2" s="102" t="s">
        <v>115</v>
      </c>
    </row>
    <row r="3" spans="1:14" ht="15" customHeight="1">
      <c r="A3" s="103" t="s">
        <v>5</v>
      </c>
      <c r="B3" s="104">
        <f>[21]Input!B3</f>
        <v>109937.69127504321</v>
      </c>
      <c r="C3" s="105">
        <f>C4+C5</f>
        <v>1</v>
      </c>
      <c r="D3" s="106">
        <f>[21]Input!D3</f>
        <v>3865.329999999999</v>
      </c>
      <c r="E3" s="105">
        <f>E4+E5</f>
        <v>1</v>
      </c>
      <c r="F3" s="107" t="s">
        <v>6</v>
      </c>
      <c r="H3" s="108" t="s">
        <v>9</v>
      </c>
      <c r="I3" s="109">
        <v>0.45</v>
      </c>
      <c r="J3" s="110">
        <f>I3*B3</f>
        <v>49471.961073769446</v>
      </c>
      <c r="K3" s="111" t="s">
        <v>8</v>
      </c>
      <c r="L3" s="112">
        <f>L54+L57</f>
        <v>49471.961073767859</v>
      </c>
      <c r="M3" s="113">
        <f>L3/(L4+L3)</f>
        <v>0.45</v>
      </c>
    </row>
    <row r="4" spans="1:14" ht="15" customHeight="1">
      <c r="A4" s="114" t="s">
        <v>10</v>
      </c>
      <c r="B4" s="115">
        <f>[21]Input!B4</f>
        <v>94024.209766947402</v>
      </c>
      <c r="C4" s="116">
        <f>B4/B3</f>
        <v>0.85524999366883825</v>
      </c>
      <c r="D4" s="117">
        <f>[21]Input!D4</f>
        <v>3590.5699999999988</v>
      </c>
      <c r="E4" s="116">
        <f>D4/D3</f>
        <v>0.92891680658572484</v>
      </c>
      <c r="F4" s="118">
        <f>[21]Input!F4</f>
        <v>26.18642994481306</v>
      </c>
      <c r="H4" s="108" t="s">
        <v>11</v>
      </c>
      <c r="I4" s="109">
        <v>0.55000000000000004</v>
      </c>
      <c r="J4" s="110">
        <f>I4*B3</f>
        <v>60465.730201273771</v>
      </c>
      <c r="K4" s="111" t="s">
        <v>8</v>
      </c>
      <c r="L4" s="112">
        <f>L55+L58</f>
        <v>60465.730201271836</v>
      </c>
      <c r="M4" s="113">
        <f>L4/(L3+L4)</f>
        <v>0.55000000000000004</v>
      </c>
    </row>
    <row r="5" spans="1:14" ht="15" customHeight="1">
      <c r="A5" s="119" t="s">
        <v>12</v>
      </c>
      <c r="B5" s="120">
        <f>[21]Input!B5</f>
        <v>15913.481508095811</v>
      </c>
      <c r="C5" s="121">
        <f>B5/B3</f>
        <v>0.14475000633116175</v>
      </c>
      <c r="D5" s="122">
        <f>[21]Input!D5</f>
        <v>274.76000000000005</v>
      </c>
      <c r="E5" s="121">
        <f>D5/D3</f>
        <v>7.1083193414275131E-2</v>
      </c>
      <c r="F5" s="123">
        <f>[21]Input!F5</f>
        <v>57.917751885630395</v>
      </c>
    </row>
    <row r="6" spans="1:14" ht="15" customHeight="1">
      <c r="B6" s="124"/>
    </row>
    <row r="7" spans="1:14" ht="15" customHeight="1">
      <c r="A7" s="95" t="s">
        <v>116</v>
      </c>
      <c r="B7" s="104">
        <f>[21]Input!B7</f>
        <v>0</v>
      </c>
      <c r="C7" s="105">
        <f>[21]Input!C7</f>
        <v>1</v>
      </c>
      <c r="D7" s="106">
        <f>[21]Input!D7</f>
        <v>0</v>
      </c>
      <c r="E7" s="105">
        <f>[21]Input!E7</f>
        <v>1</v>
      </c>
      <c r="F7" s="125">
        <f>[21]Input!F7</f>
        <v>0</v>
      </c>
      <c r="G7" s="97" t="str">
        <f>[21]Input!G7</f>
        <v>(230 kV)</v>
      </c>
    </row>
    <row r="9" spans="1:14" ht="15" customHeight="1">
      <c r="A9" s="126" t="s">
        <v>117</v>
      </c>
      <c r="B9" s="127" t="s">
        <v>118</v>
      </c>
      <c r="C9" s="128" t="s">
        <v>119</v>
      </c>
      <c r="D9" s="128" t="s">
        <v>120</v>
      </c>
      <c r="E9" s="128" t="s">
        <v>121</v>
      </c>
      <c r="F9" s="128" t="s">
        <v>122</v>
      </c>
      <c r="G9" s="128" t="s">
        <v>123</v>
      </c>
      <c r="H9" s="129" t="s">
        <v>124</v>
      </c>
      <c r="I9" s="129" t="s">
        <v>125</v>
      </c>
      <c r="J9" s="129" t="s">
        <v>126</v>
      </c>
      <c r="K9" s="129" t="s">
        <v>127</v>
      </c>
      <c r="L9" s="129" t="s">
        <v>128</v>
      </c>
      <c r="M9" s="130" t="s">
        <v>129</v>
      </c>
    </row>
    <row r="10" spans="1:14" ht="15" customHeight="1">
      <c r="A10" s="131"/>
      <c r="B10" s="132" t="s">
        <v>130</v>
      </c>
      <c r="C10" s="133" t="s">
        <v>131</v>
      </c>
      <c r="D10" s="133" t="s">
        <v>132</v>
      </c>
      <c r="E10" s="133" t="s">
        <v>133</v>
      </c>
      <c r="F10" s="133" t="s">
        <v>134</v>
      </c>
      <c r="G10" s="133" t="s">
        <v>135</v>
      </c>
      <c r="H10" s="133" t="s">
        <v>136</v>
      </c>
      <c r="I10" s="133" t="s">
        <v>137</v>
      </c>
      <c r="J10" s="133" t="s">
        <v>138</v>
      </c>
      <c r="K10" s="133" t="s">
        <v>139</v>
      </c>
      <c r="L10" s="133" t="s">
        <v>140</v>
      </c>
      <c r="M10" s="134" t="s">
        <v>141</v>
      </c>
    </row>
    <row r="11" spans="1:14" ht="15" customHeight="1">
      <c r="A11" s="126" t="s">
        <v>142</v>
      </c>
      <c r="B11" s="127" t="s">
        <v>143</v>
      </c>
      <c r="C11" s="128" t="s">
        <v>143</v>
      </c>
      <c r="D11" s="128" t="s">
        <v>143</v>
      </c>
      <c r="E11" s="128" t="s">
        <v>143</v>
      </c>
      <c r="F11" s="128" t="s">
        <v>143</v>
      </c>
      <c r="G11" s="128" t="s">
        <v>143</v>
      </c>
      <c r="H11" s="129" t="s">
        <v>144</v>
      </c>
      <c r="I11" s="129" t="s">
        <v>144</v>
      </c>
      <c r="J11" s="129" t="s">
        <v>144</v>
      </c>
      <c r="K11" s="129" t="s">
        <v>144</v>
      </c>
      <c r="L11" s="129" t="s">
        <v>144</v>
      </c>
      <c r="M11" s="130" t="s">
        <v>143</v>
      </c>
    </row>
    <row r="12" spans="1:14" ht="15" customHeight="1">
      <c r="A12" s="135">
        <f>SUM(B12:M12)</f>
        <v>8784</v>
      </c>
      <c r="B12" s="136">
        <f>24*31</f>
        <v>744</v>
      </c>
      <c r="C12" s="137">
        <f>24*31</f>
        <v>744</v>
      </c>
      <c r="D12" s="137">
        <f>24*30</f>
        <v>720</v>
      </c>
      <c r="E12" s="137">
        <f>24*31</f>
        <v>744</v>
      </c>
      <c r="F12" s="137">
        <f>24*30</f>
        <v>720</v>
      </c>
      <c r="G12" s="137">
        <f>24*31</f>
        <v>744</v>
      </c>
      <c r="H12" s="137">
        <f>24*31</f>
        <v>744</v>
      </c>
      <c r="I12" s="137">
        <f>24*29</f>
        <v>696</v>
      </c>
      <c r="J12" s="137">
        <f>24*31</f>
        <v>744</v>
      </c>
      <c r="K12" s="137">
        <f>24*30</f>
        <v>720</v>
      </c>
      <c r="L12" s="137">
        <f>24*31</f>
        <v>744</v>
      </c>
      <c r="M12" s="138">
        <f>24*30</f>
        <v>720</v>
      </c>
      <c r="N12" s="139">
        <f>SUM(B12:M12)</f>
        <v>8784</v>
      </c>
    </row>
    <row r="13" spans="1:14" ht="15" customHeight="1">
      <c r="A13" s="140" t="s">
        <v>145</v>
      </c>
      <c r="B13" s="114">
        <f>[22]M01!$H$13</f>
        <v>744</v>
      </c>
      <c r="C13" s="97">
        <f>[22]M02!$H$13</f>
        <v>744</v>
      </c>
      <c r="D13" s="97">
        <f>[22]M03!$H$13</f>
        <v>720</v>
      </c>
      <c r="E13" s="97">
        <f>[22]M04!$H$13</f>
        <v>744</v>
      </c>
      <c r="F13" s="97">
        <f>[22]M05!$H$13</f>
        <v>720</v>
      </c>
      <c r="G13" s="97">
        <f>[22]M06!$H$13</f>
        <v>744</v>
      </c>
      <c r="H13" s="97">
        <f>[22]M07!$H$13</f>
        <v>744</v>
      </c>
      <c r="I13" s="97">
        <f>[22]M08!$H$13</f>
        <v>696</v>
      </c>
      <c r="J13" s="97">
        <f>[22]M09!$H$13</f>
        <v>744</v>
      </c>
      <c r="K13" s="97">
        <f>[22]M10!$H$13</f>
        <v>720</v>
      </c>
      <c r="L13" s="97">
        <f>[22]M11!$H$13</f>
        <v>744</v>
      </c>
      <c r="M13" s="141">
        <f>[22]M12!$H$13</f>
        <v>720</v>
      </c>
      <c r="N13" s="139">
        <f>SUM(B13:M13)</f>
        <v>8784</v>
      </c>
    </row>
    <row r="14" spans="1:14" ht="15" customHeight="1">
      <c r="A14" s="131" t="s">
        <v>146</v>
      </c>
      <c r="B14" s="142">
        <f>[22]M01!$I$13</f>
        <v>8.4699453551912565E-2</v>
      </c>
      <c r="C14" s="143">
        <f>[22]M02!$I$13</f>
        <v>8.4699453551912565E-2</v>
      </c>
      <c r="D14" s="143">
        <f>[22]M03!$I$13</f>
        <v>8.1967213114754106E-2</v>
      </c>
      <c r="E14" s="143">
        <f>[22]M04!$I$13</f>
        <v>8.4699453551912565E-2</v>
      </c>
      <c r="F14" s="143">
        <f>[22]M05!$I$13</f>
        <v>8.1967213114754092E-2</v>
      </c>
      <c r="G14" s="143">
        <f>[22]M06!$I$13</f>
        <v>8.4699453551912579E-2</v>
      </c>
      <c r="H14" s="143">
        <f>[22]M07!$I$13</f>
        <v>8.4699453551912579E-2</v>
      </c>
      <c r="I14" s="143">
        <f>[22]M08!$I$13</f>
        <v>7.9234972677595619E-2</v>
      </c>
      <c r="J14" s="143">
        <f>[22]M09!$I$13</f>
        <v>8.4699453551912565E-2</v>
      </c>
      <c r="K14" s="143">
        <f>[22]M10!$I$13</f>
        <v>8.1967213114754106E-2</v>
      </c>
      <c r="L14" s="143">
        <f>[22]M11!$I$13</f>
        <v>8.4699453551912565E-2</v>
      </c>
      <c r="M14" s="144">
        <f>[22]M12!$I$13</f>
        <v>8.1967213114754092E-2</v>
      </c>
      <c r="N14" s="145">
        <f>SUM(B14:M14)</f>
        <v>0.99999999999999989</v>
      </c>
    </row>
    <row r="16" spans="1:14" ht="20.25" customHeight="1">
      <c r="A16" s="146" t="s">
        <v>25</v>
      </c>
      <c r="B16" s="147">
        <v>1</v>
      </c>
      <c r="C16" s="147">
        <v>2</v>
      </c>
      <c r="D16" s="147">
        <v>3</v>
      </c>
      <c r="E16" s="147">
        <v>4</v>
      </c>
      <c r="F16" s="147">
        <v>5</v>
      </c>
      <c r="G16" s="147">
        <v>6</v>
      </c>
      <c r="H16" s="147">
        <v>7</v>
      </c>
      <c r="I16" s="147">
        <v>8</v>
      </c>
      <c r="J16" s="147">
        <v>9</v>
      </c>
      <c r="K16" s="148">
        <v>10</v>
      </c>
      <c r="L16" s="149" t="s">
        <v>20</v>
      </c>
    </row>
    <row r="17" spans="1:14" ht="25.2" customHeight="1">
      <c r="A17" s="150" t="s">
        <v>147</v>
      </c>
      <c r="B17" s="151" t="s">
        <v>148</v>
      </c>
      <c r="C17" s="151" t="s">
        <v>149</v>
      </c>
      <c r="D17" s="151" t="s">
        <v>150</v>
      </c>
      <c r="E17" s="151" t="s">
        <v>151</v>
      </c>
      <c r="F17" s="151" t="s">
        <v>152</v>
      </c>
      <c r="G17" s="151" t="s">
        <v>153</v>
      </c>
      <c r="H17" s="151" t="s">
        <v>154</v>
      </c>
      <c r="I17" s="151" t="s">
        <v>155</v>
      </c>
      <c r="J17" s="151" t="s">
        <v>156</v>
      </c>
      <c r="K17" s="152" t="s">
        <v>157</v>
      </c>
      <c r="L17" s="153"/>
    </row>
    <row r="18" spans="1:14" ht="20.25" customHeight="1">
      <c r="A18" s="154" t="s">
        <v>158</v>
      </c>
      <c r="L18" s="155"/>
    </row>
    <row r="19" spans="1:14" ht="15" customHeight="1">
      <c r="A19" s="126" t="s">
        <v>159</v>
      </c>
      <c r="B19" s="156">
        <f>[21]Input!B11</f>
        <v>792.31</v>
      </c>
      <c r="C19" s="157">
        <f>[21]Input!C11</f>
        <v>730.88000000000011</v>
      </c>
      <c r="D19" s="157">
        <f>[21]Input!D11</f>
        <v>178.73000000000005</v>
      </c>
      <c r="E19" s="157">
        <f>[21]Input!E11</f>
        <v>654.92099999999982</v>
      </c>
      <c r="F19" s="157">
        <f>[21]Input!F11</f>
        <v>1521.0099999999998</v>
      </c>
      <c r="G19" s="157">
        <f>[21]Input!G11</f>
        <v>321.21000000000004</v>
      </c>
      <c r="H19" s="157">
        <f>[21]Input!H11</f>
        <v>154.33000000000001</v>
      </c>
      <c r="I19" s="157">
        <f>[21]Input!I11</f>
        <v>260</v>
      </c>
      <c r="J19" s="157">
        <f>[21]Input!J11</f>
        <v>1565.45</v>
      </c>
      <c r="K19" s="158">
        <f>[21]Input!K11</f>
        <v>252.17</v>
      </c>
      <c r="L19" s="159">
        <f>SUM(B19:K19)</f>
        <v>6431.0109999999995</v>
      </c>
    </row>
    <row r="20" spans="1:14" ht="15" customHeight="1">
      <c r="A20" s="131" t="s">
        <v>22</v>
      </c>
      <c r="B20" s="160">
        <f>[21]Input!B12</f>
        <v>23.818168817194277</v>
      </c>
      <c r="C20" s="161">
        <f>[21]Input!C12</f>
        <v>0</v>
      </c>
      <c r="D20" s="161">
        <f>[21]Input!D12</f>
        <v>4.5628709032387936E-2</v>
      </c>
      <c r="E20" s="161">
        <f>[21]Input!E12</f>
        <v>155.06627029726724</v>
      </c>
      <c r="F20" s="161">
        <f>[21]Input!F12</f>
        <v>343.2742066542113</v>
      </c>
      <c r="G20" s="161">
        <f>[21]Input!G12</f>
        <v>233.21737299498511</v>
      </c>
      <c r="H20" s="161">
        <f>[21]Input!H12</f>
        <v>1224.6824787760868</v>
      </c>
      <c r="I20" s="161">
        <f>[21]Input!I12</f>
        <v>1.33</v>
      </c>
      <c r="J20" s="161">
        <f>[21]Input!J12</f>
        <v>127.87605038516638</v>
      </c>
      <c r="K20" s="162">
        <f>[21]Input!K12</f>
        <v>59.246646392995132</v>
      </c>
      <c r="L20" s="163">
        <f>SUM(B20:K20)</f>
        <v>2168.5568230269382</v>
      </c>
    </row>
    <row r="21" spans="1:14" ht="20.25" customHeight="1">
      <c r="A21" s="154" t="s">
        <v>160</v>
      </c>
      <c r="L21" s="155"/>
    </row>
    <row r="22" spans="1:14" ht="15" customHeight="1">
      <c r="A22" s="126" t="s">
        <v>161</v>
      </c>
      <c r="B22" s="156">
        <f>SUM([22]M01!B21*$B$14,[22]M02!B21*$C$14,[22]M03!B21*$D$14,[22]M04!B21*$E$14,[22]M05!B21*$F$14,[22]M06!B21*$G$14,[22]M07!B21*$H$14,[22]M08!B21*$I$14,[22]M09!B21*$J$14,[22]M10!B21*$K$14,[22]M11!B21*$L$14,[22]M12!B21*$M$14)/$N$14</f>
        <v>137.28996470856106</v>
      </c>
      <c r="C22" s="157">
        <f>SUM([22]M01!C21*$B$14,[22]M02!C21*$C$14,[22]M03!C21*$D$14,[22]M04!C21*$E$14,[22]M05!C21*$F$14,[22]M06!C21*$G$14,[22]M07!C21*$H$14,[22]M08!C21*$I$14,[22]M09!C21*$J$14,[22]M10!C21*$K$14,[22]M11!C21*$L$14,[22]M12!C21*$M$14)/$N$14</f>
        <v>186.75051798724959</v>
      </c>
      <c r="D22" s="157">
        <f>SUM([22]M01!D21*$B$14,[22]M02!D21*$C$14,[22]M03!D21*$D$14,[22]M04!D21*$E$14,[22]M05!D21*$F$14,[22]M06!D21*$G$14,[22]M07!D21*$H$14,[22]M08!D21*$I$14,[22]M09!D21*$J$14,[22]M10!D21*$K$14,[22]M11!D21*$L$14,[22]M12!D21*$M$14)/$N$14</f>
        <v>96.45741120218581</v>
      </c>
      <c r="E22" s="157">
        <f>SUM([22]M01!E21*$B$14,[22]M02!E21*$C$14,[22]M03!E21*$D$14,[22]M04!E21*$E$14,[22]M05!E21*$F$14,[22]M06!E21*$G$14,[22]M07!E21*$H$14,[22]M08!E21*$I$14,[22]M09!E21*$J$14,[22]M10!E21*$K$14,[22]M11!E21*$L$14,[22]M12!E21*$M$14)/$N$14</f>
        <v>412.66445810564676</v>
      </c>
      <c r="F22" s="157">
        <f>SUM([22]M01!F21*$B$14,[22]M02!F21*$C$14,[22]M03!F21*$D$14,[22]M04!F21*$E$14,[22]M05!F21*$F$14,[22]M06!F21*$G$14,[22]M07!F21*$H$14,[22]M08!F21*$I$14,[22]M09!F21*$J$14,[22]M10!F21*$K$14,[22]M11!F21*$L$14,[22]M12!F21*$M$14)/$N$14</f>
        <v>290.39487135701285</v>
      </c>
      <c r="G22" s="157">
        <f>SUM([22]M01!G21*$B$14,[22]M02!G21*$C$14,[22]M03!G21*$D$14,[22]M04!G21*$E$14,[22]M05!G21*$F$14,[22]M06!G21*$G$14,[22]M07!G21*$H$14,[22]M08!G21*$I$14,[22]M09!G21*$J$14,[22]M10!G21*$K$14,[22]M11!G21*$L$14,[22]M12!G21*$M$14)/$N$14</f>
        <v>115.46458333333337</v>
      </c>
      <c r="H22" s="157">
        <f>SUM([22]M01!H21*$B$14,[22]M02!H21*$C$14,[22]M03!H21*$D$14,[22]M04!H21*$E$14,[22]M05!H21*$F$14,[22]M06!H21*$G$14,[22]M07!H21*$H$14,[22]M08!H21*$I$14,[22]M09!H21*$J$14,[22]M10!H21*$K$14,[22]M11!H21*$L$14,[22]M12!H21*$M$14)/$N$14</f>
        <v>1.1016165755919856</v>
      </c>
      <c r="I22" s="157">
        <f>SUM([22]M01!I21*$B$14,[22]M02!I21*$C$14,[22]M03!I21*$D$14,[22]M04!I21*$E$14,[22]M05!I21*$F$14,[22]M06!I21*$G$14,[22]M07!I21*$H$14,[22]M08!I21*$I$14,[22]M09!I21*$J$14,[22]M10!I21*$K$14,[22]M11!I21*$L$14,[22]M12!I21*$M$14)/$N$14</f>
        <v>39.068214936247728</v>
      </c>
      <c r="J22" s="157">
        <f>SUM([22]M01!J21*$B$14,[22]M02!J21*$C$14,[22]M03!J21*$D$14,[22]M04!J21*$E$14,[22]M05!J21*$F$14,[22]M06!J21*$G$14,[22]M07!J21*$H$14,[22]M08!J21*$I$14,[22]M09!J21*$J$14,[22]M10!J21*$K$14,[22]M11!J21*$L$14,[22]M12!J21*$M$14)/$N$14</f>
        <v>117.57587090163938</v>
      </c>
      <c r="K22" s="158">
        <f>SUM([22]M01!K21*$B$14,[22]M02!K21*$C$14,[22]M03!K21*$D$14,[22]M04!K21*$E$14,[22]M05!K21*$F$14,[22]M06!K21*$G$14,[22]M07!K21*$H$14,[22]M08!K21*$I$14,[22]M09!K21*$J$14,[22]M10!K21*$K$14,[22]M11!K21*$L$14,[22]M12!K21*$M$14)/$N$14</f>
        <v>126.64534949908925</v>
      </c>
      <c r="L22" s="159">
        <f>SUM(B22:K22)</f>
        <v>1523.4128586065578</v>
      </c>
    </row>
    <row r="23" spans="1:14" ht="15" customHeight="1">
      <c r="A23" s="131" t="s">
        <v>162</v>
      </c>
      <c r="B23" s="160">
        <f>SUM([22]M01!B22*$B$14,[22]M02!B22*$C$14,[22]M03!B22*$D$14,[22]M04!B22*$E$14,[22]M05!B22*$F$14,[22]M06!B22*$G$14,[22]M07!B22*$H$14,[22]M08!B22*$I$14,[22]M09!B22*$J$14,[22]M10!B22*$K$14,[22]M11!B22*$L$14,[22]M12!B22*$M$14)/$N$14</f>
        <v>12.528773907103828</v>
      </c>
      <c r="C23" s="161">
        <f>SUM([22]M01!C22*$B$14,[22]M02!C22*$C$14,[22]M03!C22*$D$14,[22]M04!C22*$E$14,[22]M05!C22*$F$14,[22]M06!C22*$G$14,[22]M07!C22*$H$14,[22]M08!C22*$I$14,[22]M09!C22*$J$14,[22]M10!C22*$K$14,[22]M11!C22*$L$14,[22]M12!C22*$M$14)/$N$14</f>
        <v>0</v>
      </c>
      <c r="D23" s="161">
        <f>SUM([22]M01!D22*$B$14,[22]M02!D22*$C$14,[22]M03!D22*$D$14,[22]M04!D22*$E$14,[22]M05!D22*$F$14,[22]M06!D22*$G$14,[22]M07!D22*$H$14,[22]M08!D22*$I$14,[22]M09!D22*$J$14,[22]M10!D22*$K$14,[22]M11!D22*$L$14,[22]M12!D22*$M$14)/$N$14</f>
        <v>6.9945355191256872E-2</v>
      </c>
      <c r="E23" s="161">
        <f>SUM([22]M01!E22*$B$14,[22]M02!E22*$C$14,[22]M03!E22*$D$14,[22]M04!E22*$E$14,[22]M05!E22*$F$14,[22]M06!E22*$G$14,[22]M07!E22*$H$14,[22]M08!E22*$I$14,[22]M09!E22*$J$14,[22]M10!E22*$K$14,[22]M11!E22*$L$14,[22]M12!E22*$M$14)/$N$14</f>
        <v>140.95125227686705</v>
      </c>
      <c r="F23" s="161">
        <f>SUM([22]M01!F22*$B$14,[22]M02!F22*$C$14,[22]M03!F22*$D$14,[22]M04!F22*$E$14,[22]M05!F22*$F$14,[22]M06!F22*$G$14,[22]M07!F22*$H$14,[22]M08!F22*$I$14,[22]M09!F22*$J$14,[22]M10!F22*$K$14,[22]M11!F22*$L$14,[22]M12!F22*$M$14)/$N$14</f>
        <v>68.739395491803293</v>
      </c>
      <c r="G23" s="161">
        <f>SUM([22]M01!G22*$B$14,[22]M02!G22*$C$14,[22]M03!G22*$D$14,[22]M04!G22*$E$14,[22]M05!G22*$F$14,[22]M06!G22*$G$14,[22]M07!G22*$H$14,[22]M08!G22*$I$14,[22]M09!G22*$J$14,[22]M10!G22*$K$14,[22]M11!G22*$L$14,[22]M12!G22*$M$14)/$N$14</f>
        <v>154.37137978142079</v>
      </c>
      <c r="H23" s="161">
        <f>SUM([22]M01!H22*$B$14,[22]M02!H22*$C$14,[22]M03!H22*$D$14,[22]M04!H22*$E$14,[22]M05!H22*$F$14,[22]M06!H22*$G$14,[22]M07!H22*$H$14,[22]M08!H22*$I$14,[22]M09!H22*$J$14,[22]M10!H22*$K$14,[22]M11!H22*$L$14,[22]M12!H22*$M$14)/$N$14</f>
        <v>1000.5640824225867</v>
      </c>
      <c r="I23" s="161">
        <f>SUM([22]M01!I22*$B$14,[22]M02!I22*$C$14,[22]M03!I22*$D$14,[22]M04!I22*$E$14,[22]M05!I22*$F$14,[22]M06!I22*$G$14,[22]M07!I22*$H$14,[22]M08!I22*$I$14,[22]M09!I22*$J$14,[22]M10!I22*$K$14,[22]M11!I22*$L$14,[22]M12!I22*$M$14)/$N$14</f>
        <v>0</v>
      </c>
      <c r="J23" s="161">
        <f>SUM([22]M01!J22*$B$14,[22]M02!J22*$C$14,[22]M03!J22*$D$14,[22]M04!J22*$E$14,[22]M05!J22*$F$14,[22]M06!J22*$G$14,[22]M07!J22*$H$14,[22]M08!J22*$I$14,[22]M09!J22*$J$14,[22]M10!J22*$K$14,[22]M11!J22*$L$14,[22]M12!J22*$M$14)/$N$14</f>
        <v>136.8704178051002</v>
      </c>
      <c r="K23" s="162">
        <f>SUM([22]M01!K22*$B$14,[22]M02!K22*$C$14,[22]M03!K22*$D$14,[22]M04!K22*$E$14,[22]M05!K22*$F$14,[22]M06!K22*$G$14,[22]M07!K22*$H$14,[22]M08!K22*$I$14,[22]M09!K22*$J$14,[22]M10!K22*$K$14,[22]M11!K22*$L$14,[22]M12!K22*$M$14)/$N$14</f>
        <v>9.5542805100182164</v>
      </c>
      <c r="L23" s="163">
        <f>SUM(B23:K23)</f>
        <v>1523.6495275500915</v>
      </c>
    </row>
    <row r="24" spans="1:14" ht="20.25" customHeight="1">
      <c r="A24" s="154" t="s">
        <v>163</v>
      </c>
      <c r="B24" s="38"/>
      <c r="C24" s="38"/>
      <c r="D24" s="38"/>
      <c r="E24" s="38"/>
      <c r="F24" s="38"/>
      <c r="G24" s="38"/>
      <c r="H24" s="38"/>
      <c r="I24" s="38"/>
      <c r="J24" s="38"/>
      <c r="K24" s="38"/>
      <c r="L24" s="155"/>
    </row>
    <row r="25" spans="1:14" ht="15" customHeight="1">
      <c r="A25" s="126" t="s">
        <v>164</v>
      </c>
      <c r="B25" s="156">
        <f>SUM([22]M01!B24,[22]M02!B24,[22]M03!B24,[22]M04!B24,[22]M05!B24,[22]M06!B24,[22]M07!B24,[22]M08!B24,[22]M09!B24,[22]M10!B24,[22]M11!B24,[22]M12!B24)</f>
        <v>1205.95505</v>
      </c>
      <c r="C25" s="157">
        <f>SUM([22]M01!C24,[22]M02!C24,[22]M03!C24,[22]M04!C24,[22]M05!C24,[22]M06!C24,[22]M07!C24,[22]M08!C24,[22]M09!C24,[22]M10!C24,[22]M11!C24,[22]M12!C24)</f>
        <v>1640.4165499999999</v>
      </c>
      <c r="D25" s="157">
        <f>SUM([22]M01!D24,[22]M02!D24,[22]M03!D24,[22]M04!D24,[22]M05!D24,[22]M06!D24,[22]M07!D24,[22]M08!D24,[22]M09!D24,[22]M10!D24,[22]M11!D24,[22]M12!D24)</f>
        <v>847.28190000000006</v>
      </c>
      <c r="E25" s="157">
        <f>SUM([22]M01!E24,[22]M02!E24,[22]M03!E24,[22]M04!E24,[22]M05!E24,[22]M06!E24,[22]M07!E24,[22]M08!E24,[22]M09!E24,[22]M10!E24,[22]M11!E24,[22]M12!E24)</f>
        <v>3624.8445999999999</v>
      </c>
      <c r="F25" s="157">
        <f>SUM([22]M01!F24,[22]M02!F24,[22]M03!F24,[22]M04!F24,[22]M05!F24,[22]M06!F24,[22]M07!F24,[22]M08!F24,[22]M09!F24,[22]M10!F24,[22]M11!F24,[22]M12!F24)</f>
        <v>2550.8285499999997</v>
      </c>
      <c r="G25" s="157">
        <f>SUM([22]M01!G24,[22]M02!G24,[22]M03!G24,[22]M04!G24,[22]M05!G24,[22]M06!G24,[22]M07!G24,[22]M08!G24,[22]M09!G24,[22]M10!G24,[22]M11!G24,[22]M12!G24)</f>
        <v>1014.2409</v>
      </c>
      <c r="H25" s="157">
        <f>SUM([22]M01!H24,[22]M02!H24,[22]M03!H24,[22]M04!H24,[22]M05!H24,[22]M06!H24,[22]M07!H24,[22]M08!H24,[22]M09!H24,[22]M10!H24,[22]M11!H24,[22]M12!H24)</f>
        <v>9.6766000000000005</v>
      </c>
      <c r="I25" s="157">
        <f>SUM([22]M01!I24,[22]M02!I24,[22]M03!I24,[22]M04!I24,[22]M05!I24,[22]M06!I24,[22]M07!I24,[22]M08!I24,[22]M09!I24,[22]M10!I24,[22]M11!I24,[22]M12!I24)</f>
        <v>343.17520000000002</v>
      </c>
      <c r="J25" s="157">
        <f>SUM([22]M01!J24,[22]M02!J24,[22]M03!J24,[22]M04!J24,[22]M05!J24,[22]M06!J24,[22]M07!J24,[22]M08!J24,[22]M09!J24,[22]M10!J24,[22]M11!J24,[22]M12!J24)</f>
        <v>1032.7864500000001</v>
      </c>
      <c r="K25" s="158">
        <f>SUM([22]M01!K24,[22]M02!K24,[22]M03!K24,[22]M04!K24,[22]M05!K24,[22]M06!K24,[22]M07!K24,[22]M08!K24,[22]M09!K24,[22]M10!K24,[22]M11!K24,[22]M12!K24)</f>
        <v>1112.4527499999999</v>
      </c>
      <c r="L25" s="159">
        <f>SUM(B25:K25)</f>
        <v>13381.65855</v>
      </c>
    </row>
    <row r="26" spans="1:14" ht="15" customHeight="1">
      <c r="A26" s="131" t="s">
        <v>165</v>
      </c>
      <c r="B26" s="160">
        <f>SUM([22]M01!B25,[22]M02!B25,[22]M03!B25,[22]M04!B25,[22]M05!B25,[22]M06!B25,[22]M07!B25,[22]M08!B25,[22]M09!B25,[22]M10!B25,[22]M11!B25,[22]M12!B25)</f>
        <v>110.05275</v>
      </c>
      <c r="C26" s="161">
        <f>SUM([22]M01!C25,[22]M02!C25,[22]M03!C25,[22]M04!C25,[22]M05!C25,[22]M06!C25,[22]M07!C25,[22]M08!C25,[22]M09!C25,[22]M10!C25,[22]M11!C25,[22]M12!C25)</f>
        <v>0</v>
      </c>
      <c r="D26" s="161">
        <f>SUM([22]M01!D25,[22]M02!D25,[22]M03!D25,[22]M04!D25,[22]M05!D25,[22]M06!D25,[22]M07!D25,[22]M08!D25,[22]M09!D25,[22]M10!D25,[22]M11!D25,[22]M12!D25)</f>
        <v>0.61440000000000006</v>
      </c>
      <c r="E26" s="161">
        <f>SUM([22]M01!E25,[22]M02!E25,[22]M03!E25,[22]M04!E25,[22]M05!E25,[22]M06!E25,[22]M07!E25,[22]M08!E25,[22]M09!E25,[22]M10!E25,[22]M11!E25,[22]M12!E25)</f>
        <v>1238.1158000000003</v>
      </c>
      <c r="F26" s="161">
        <f>SUM([22]M01!F25,[22]M02!F25,[22]M03!F25,[22]M04!F25,[22]M05!F25,[22]M06!F25,[22]M07!F25,[22]M08!F25,[22]M09!F25,[22]M10!F25,[22]M11!F25,[22]M12!F25)</f>
        <v>603.80684999999994</v>
      </c>
      <c r="G26" s="161">
        <f>SUM([22]M01!G25,[22]M02!G25,[22]M03!G25,[22]M04!G25,[22]M05!G25,[22]M06!G25,[22]M07!G25,[22]M08!G25,[22]M09!G25,[22]M10!G25,[22]M11!G25,[22]M12!G25)</f>
        <v>1355.9982</v>
      </c>
      <c r="H26" s="161">
        <f>SUM([22]M01!H25,[22]M02!H25,[22]M03!H25,[22]M04!H25,[22]M05!H25,[22]M06!H25,[22]M07!H25,[22]M08!H25,[22]M09!H25,[22]M10!H25,[22]M11!H25,[22]M12!H25)</f>
        <v>8788.9549000000006</v>
      </c>
      <c r="I26" s="161">
        <f>SUM([22]M01!I25,[22]M02!I25,[22]M03!I25,[22]M04!I25,[22]M05!I25,[22]M06!I25,[22]M07!I25,[22]M08!I25,[22]M09!I25,[22]M10!I25,[22]M11!I25,[22]M12!I25)</f>
        <v>0</v>
      </c>
      <c r="J26" s="161">
        <f>SUM([22]M01!J25,[22]M02!J25,[22]M03!J25,[22]M04!J25,[22]M05!J25,[22]M06!J25,[22]M07!J25,[22]M08!J25,[22]M09!J25,[22]M10!J25,[22]M11!J25,[22]M12!J25)</f>
        <v>1202.2697499999997</v>
      </c>
      <c r="K26" s="162">
        <f>SUM([22]M01!K25,[22]M02!K25,[22]M03!K25,[22]M04!K25,[22]M05!K25,[22]M06!K25,[22]M07!K25,[22]M08!K25,[22]M09!K25,[22]M10!K25,[22]M11!K25,[22]M12!K25)</f>
        <v>83.924800000000005</v>
      </c>
      <c r="L26" s="163">
        <f>SUM(B26:K26)</f>
        <v>13383.737450000001</v>
      </c>
    </row>
    <row r="27" spans="1:14" ht="9.9" customHeight="1">
      <c r="B27" s="164"/>
      <c r="C27" s="164"/>
      <c r="D27" s="164"/>
      <c r="E27" s="164"/>
      <c r="F27" s="164"/>
      <c r="G27" s="164"/>
      <c r="H27" s="164"/>
      <c r="I27" s="164"/>
      <c r="J27" s="164"/>
      <c r="K27" s="164"/>
      <c r="L27" s="165"/>
      <c r="N27" s="166"/>
    </row>
    <row r="28" spans="1:14" ht="20.25" customHeight="1">
      <c r="A28" s="154" t="s">
        <v>166</v>
      </c>
      <c r="L28" s="155"/>
      <c r="N28" s="166"/>
    </row>
    <row r="29" spans="1:14" ht="15" customHeight="1">
      <c r="A29" s="167" t="s">
        <v>110</v>
      </c>
      <c r="B29" s="168">
        <f>SUM([22]M01!B27*$B$14,[22]M02!B27*$C$14,[22]M03!B27*$D$14,[22]M04!B27*$E$14,[22]M05!B27*$F$14,[22]M06!B27*$G$14,[22]M07!B27*$H$14,[22]M08!B27*$I$14,[22]M09!B27*$J$14,[22]M10!B27*$K$14,[22]M11!B27*$L$14,[22]M12!B27*$M$14)/$N$14</f>
        <v>1.8964089872022125</v>
      </c>
      <c r="C29" s="169">
        <f>SUM([22]M01!C27*$B$14,[22]M02!C27*$C$14,[22]M03!C27*$D$14,[22]M04!C27*$E$14,[22]M05!C27*$F$14,[22]M06!C27*$G$14,[22]M07!C27*$H$14,[22]M08!C27*$I$14,[22]M09!C27*$J$14,[22]M10!C27*$K$14,[22]M11!C27*$L$14,[22]M12!C27*$M$14)/$N$14</f>
        <v>2.2159092349728362</v>
      </c>
      <c r="D29" s="169">
        <f>SUM([22]M01!D27*$B$14,[22]M02!D27*$C$14,[22]M03!D27*$D$14,[22]M04!D27*$E$14,[22]M05!D27*$F$14,[22]M06!D27*$G$14,[22]M07!D27*$H$14,[22]M08!D27*$I$14,[22]M09!D27*$J$14,[22]M10!D27*$K$14,[22]M11!D27*$L$14,[22]M12!D27*$M$14)/$N$14</f>
        <v>2.4983914227015473</v>
      </c>
      <c r="E29" s="169">
        <f>SUM([22]M01!E27*$B$14,[22]M02!E27*$C$14,[22]M03!E27*$D$14,[22]M04!E27*$E$14,[22]M05!E27*$F$14,[22]M06!E27*$G$14,[22]M07!E27*$H$14,[22]M08!E27*$I$14,[22]M09!E27*$J$14,[22]M10!E27*$K$14,[22]M11!E27*$L$14,[22]M12!E27*$M$14)/$N$14</f>
        <v>1.6480952671979747</v>
      </c>
      <c r="F29" s="169">
        <f>SUM([22]M01!F27*$B$14,[22]M02!F27*$C$14,[22]M03!F27*$D$14,[22]M04!F27*$E$14,[22]M05!F27*$F$14,[22]M06!F27*$G$14,[22]M07!F27*$H$14,[22]M08!F27*$I$14,[22]M09!F27*$J$14,[22]M10!F27*$K$14,[22]M11!F27*$L$14,[22]M12!F27*$M$14)/$N$14</f>
        <v>0.66039488150173609</v>
      </c>
      <c r="G29" s="169">
        <f>SUM([22]M01!G27*$B$14,[22]M02!G27*$C$14,[22]M03!G27*$D$14,[22]M04!G27*$E$14,[22]M05!G27*$F$14,[22]M06!G27*$G$14,[22]M07!G27*$H$14,[22]M08!G27*$I$14,[22]M09!G27*$J$14,[22]M10!G27*$K$14,[22]M11!G27*$L$14,[22]M12!G27*$M$14)/$N$14</f>
        <v>0.69419790482860766</v>
      </c>
      <c r="H29" s="169">
        <f>SUM([22]M01!H27*$B$14,[22]M02!H27*$C$14,[22]M03!H27*$D$14,[22]M04!H27*$E$14,[22]M05!H27*$F$14,[22]M06!H27*$G$14,[22]M07!H27*$H$14,[22]M08!H27*$I$14,[22]M09!H27*$J$14,[22]M10!H27*$K$14,[22]M11!H27*$L$14,[22]M12!H27*$M$14)/$N$14</f>
        <v>7.4750807660340975E-3</v>
      </c>
      <c r="I29" s="169">
        <f>SUM([22]M01!I27*$B$14,[22]M02!I27*$C$14,[22]M03!I27*$D$14,[22]M04!I27*$E$14,[22]M05!I27*$F$14,[22]M06!I27*$G$14,[22]M07!I27*$H$14,[22]M08!I27*$I$14,[22]M09!I27*$J$14,[22]M10!I27*$K$14,[22]M11!I27*$L$14,[22]M12!I27*$M$14)/$N$14</f>
        <v>0.2873696558525804</v>
      </c>
      <c r="J29" s="169">
        <f>SUM([22]M01!J27*$B$14,[22]M02!J27*$C$14,[22]M03!J27*$D$14,[22]M04!J27*$E$14,[22]M05!J27*$F$14,[22]M06!J27*$G$14,[22]M07!J27*$H$14,[22]M08!J27*$I$14,[22]M09!J27*$J$14,[22]M10!J27*$K$14,[22]M11!J27*$L$14,[22]M12!J27*$M$14)/$N$14</f>
        <v>1.1878775132232644</v>
      </c>
      <c r="K29" s="170">
        <f>SUM([22]M01!K27*$B$14,[22]M02!K27*$C$14,[22]M03!K27*$D$14,[22]M04!K27*$E$14,[22]M05!K27*$F$14,[22]M06!K27*$G$14,[22]M07!K27*$H$14,[22]M08!K27*$I$14,[22]M09!K27*$J$14,[22]M10!K27*$K$14,[22]M11!K27*$L$14,[22]M12!K27*$M$14)/$N$14</f>
        <v>3.1695566886155526</v>
      </c>
      <c r="L29" s="155"/>
      <c r="N29" s="166"/>
    </row>
    <row r="30" spans="1:14" ht="15" customHeight="1">
      <c r="A30" s="171" t="s">
        <v>167</v>
      </c>
      <c r="B30" s="172">
        <f>SUM([22]M01!B28*$B$14,[22]M02!B28*$C$14,[22]M03!B28*$D$14,[22]M04!B28*$E$14,[22]M05!B28*$F$14,[22]M06!B28*$G$14,[22]M07!B28*$H$14,[22]M08!B28*$I$14,[22]M09!B28*$J$14,[22]M10!B28*$K$14,[22]M11!B28*$L$14,[22]M12!B28*$M$14)/$N$14</f>
        <v>3.3117718237985723E-5</v>
      </c>
      <c r="C30" s="173">
        <f>SUM([22]M01!C28*$B$14,[22]M02!C28*$C$14,[22]M03!C28*$D$14,[22]M04!C28*$E$14,[22]M05!C28*$F$14,[22]M06!C28*$G$14,[22]M07!C28*$H$14,[22]M08!C28*$I$14,[22]M09!C28*$J$14,[22]M10!C28*$K$14,[22]M11!C28*$L$14,[22]M12!C28*$M$14)/$N$14</f>
        <v>0</v>
      </c>
      <c r="D30" s="173">
        <f>SUM([22]M01!D28*$B$14,[22]M02!D28*$C$14,[22]M03!D28*$D$14,[22]M04!D28*$E$14,[22]M05!D28*$F$14,[22]M06!D28*$G$14,[22]M07!D28*$H$14,[22]M08!D28*$I$14,[22]M09!D28*$J$14,[22]M10!D28*$K$14,[22]M11!D28*$L$14,[22]M12!D28*$M$14)/$N$14</f>
        <v>0</v>
      </c>
      <c r="E30" s="173">
        <f>SUM([22]M01!E28*$B$14,[22]M02!E28*$C$14,[22]M03!E28*$D$14,[22]M04!E28*$E$14,[22]M05!E28*$F$14,[22]M06!E28*$G$14,[22]M07!E28*$H$14,[22]M08!E28*$I$14,[22]M09!E28*$J$14,[22]M10!E28*$K$14,[22]M11!E28*$L$14,[22]M12!E28*$M$14)/$N$14</f>
        <v>1.1032667178035025</v>
      </c>
      <c r="F30" s="173">
        <f>SUM([22]M01!F28*$B$14,[22]M02!F28*$C$14,[22]M03!F28*$D$14,[22]M04!F28*$E$14,[22]M05!F28*$F$14,[22]M06!F28*$G$14,[22]M07!F28*$H$14,[22]M08!F28*$I$14,[22]M09!F28*$J$14,[22]M10!F28*$K$14,[22]M11!F28*$L$14,[22]M12!F28*$M$14)/$N$14</f>
        <v>1.8677257781726926</v>
      </c>
      <c r="G30" s="173">
        <f>SUM([22]M01!G28*$B$14,[22]M02!G28*$C$14,[22]M03!G28*$D$14,[22]M04!G28*$E$14,[22]M05!G28*$F$14,[22]M06!G28*$G$14,[22]M07!G28*$H$14,[22]M08!G28*$I$14,[22]M09!G28*$J$14,[22]M10!G28*$K$14,[22]M11!G28*$L$14,[22]M12!G28*$M$14)/$N$14</f>
        <v>1.7044564506068458</v>
      </c>
      <c r="H30" s="173">
        <f>SUM([22]M01!H28*$B$14,[22]M02!H28*$C$14,[22]M03!H28*$D$14,[22]M04!H28*$E$14,[22]M05!H28*$F$14,[22]M06!H28*$G$14,[22]M07!H28*$H$14,[22]M08!H28*$I$14,[22]M09!H28*$J$14,[22]M10!H28*$K$14,[22]M11!H28*$L$14,[22]M12!H28*$M$14)/$N$14</f>
        <v>1.8915729466170534</v>
      </c>
      <c r="I30" s="173">
        <f>SUM([22]M01!I28*$B$14,[22]M02!I28*$C$14,[22]M03!I28*$D$14,[22]M04!I28*$E$14,[22]M05!I28*$F$14,[22]M06!I28*$G$14,[22]M07!I28*$H$14,[22]M08!I28*$I$14,[22]M09!I28*$J$14,[22]M10!I28*$K$14,[22]M11!I28*$L$14,[22]M12!I28*$M$14)/$N$14</f>
        <v>0</v>
      </c>
      <c r="J30" s="173">
        <f>SUM([22]M01!J28*$B$14,[22]M02!J28*$C$14,[22]M03!J28*$D$14,[22]M04!J28*$E$14,[22]M05!J28*$F$14,[22]M06!J28*$G$14,[22]M07!J28*$H$14,[22]M08!J28*$I$14,[22]M09!J28*$J$14,[22]M10!J28*$K$14,[22]M11!J28*$L$14,[22]M12!J28*$M$14)/$N$14</f>
        <v>1.9200174264744816</v>
      </c>
      <c r="K30" s="174">
        <f>SUM([22]M01!K28*$B$14,[22]M02!K28*$C$14,[22]M03!K28*$D$14,[22]M04!K28*$E$14,[22]M05!K28*$F$14,[22]M06!K28*$G$14,[22]M07!K28*$H$14,[22]M08!K28*$I$14,[22]M09!K28*$J$14,[22]M10!K28*$K$14,[22]M11!K28*$L$14,[22]M12!K28*$M$14)/$N$14</f>
        <v>0.69737083987852688</v>
      </c>
      <c r="L30" s="155"/>
      <c r="N30" s="166"/>
    </row>
    <row r="31" spans="1:14" ht="20.25" customHeight="1">
      <c r="A31" s="154" t="s">
        <v>168</v>
      </c>
      <c r="L31" s="155"/>
      <c r="N31" s="166"/>
    </row>
    <row r="32" spans="1:14" ht="15" customHeight="1">
      <c r="A32" s="175" t="s">
        <v>169</v>
      </c>
      <c r="B32" s="176">
        <f>SUM([22]M01!B30,[22]M02!B30,[22]M03!B30,[22]M04!B30,[22]M05!B30,[22]M06!B30,[22]M07!B30,[22]M08!B30,[22]M09!B30,[22]M10!B30,[22]M11!B30,[22]M12!B30)</f>
        <v>5.1561301312093191</v>
      </c>
      <c r="L32" s="155"/>
      <c r="N32" s="166"/>
    </row>
    <row r="33" spans="1:14" ht="15" customHeight="1">
      <c r="A33" s="177" t="s">
        <v>170</v>
      </c>
      <c r="B33" s="178">
        <f>SUM([22]M01!B31,[22]M02!B31,[22]M03!B31,[22]M04!B31,[22]M05!B31,[22]M06!B31,[22]M07!B31,[22]M08!B31,[22]M09!B31,[22]M10!B31,[22]M11!B31,[22]M12!B31)</f>
        <v>17.074881987923209</v>
      </c>
      <c r="L33" s="155"/>
      <c r="N33" s="166"/>
    </row>
    <row r="34" spans="1:14" ht="20.25" hidden="1" customHeight="1">
      <c r="A34" s="154" t="s">
        <v>171</v>
      </c>
      <c r="L34" s="155"/>
      <c r="N34" s="166"/>
    </row>
    <row r="35" spans="1:14" ht="15" hidden="1" customHeight="1">
      <c r="A35" s="175" t="s">
        <v>169</v>
      </c>
      <c r="B35" s="176" t="e">
        <f>SUM([22]M01!#REF!,[22]M02!#REF!,[22]M03!#REF!,[22]M04!#REF!,[22]M05!#REF!,[22]M06!#REF!,[22]M07!#REF!,[22]M08!#REF!,[22]M09!#REF!,[22]M10!#REF!,[22]M11!#REF!,[22]M12!#REF!)</f>
        <v>#REF!</v>
      </c>
      <c r="L35" s="155"/>
      <c r="N35" s="166"/>
    </row>
    <row r="36" spans="1:14" ht="15" hidden="1" customHeight="1">
      <c r="A36" s="177" t="s">
        <v>170</v>
      </c>
      <c r="B36" s="178" t="e">
        <f>SUM([22]M01!#REF!,[22]M02!#REF!,[22]M03!#REF!,[22]M04!#REF!,[22]M05!#REF!,[22]M06!#REF!,[22]M07!#REF!,[22]M08!#REF!,[22]M09!#REF!,[22]M10!#REF!,[22]M11!#REF!,[22]M12!#REF!)</f>
        <v>#REF!</v>
      </c>
      <c r="L36" s="155"/>
      <c r="N36" s="166"/>
    </row>
    <row r="37" spans="1:14" ht="20.25" customHeight="1">
      <c r="A37" s="154" t="s">
        <v>172</v>
      </c>
      <c r="L37" s="155"/>
      <c r="N37" s="166"/>
    </row>
    <row r="38" spans="1:14" ht="15" customHeight="1">
      <c r="A38" s="179" t="s">
        <v>167</v>
      </c>
      <c r="B38" s="180">
        <f>SUM([22]M01!B33*$B$14,[22]M02!B33*$C$14,[22]M03!B33*$D$14,[22]M04!B33*$E$14,[22]M05!B33*$F$14,[22]M06!B33*$G$14,[22]M07!B33*$H$14,[22]M08!B33*$I$14,[22]M09!B33*$J$14,[22]M10!B33*$K$14,[22]M11!B33*$L$14,[22]M12!B33*$M$14)/$N$14</f>
        <v>0</v>
      </c>
      <c r="C38" s="181">
        <f>SUM([22]M01!C33*$B$14,[22]M02!C33*$C$14,[22]M03!C33*$D$14,[22]M04!C33*$E$14,[22]M05!C33*$F$14,[22]M06!C33*$G$14,[22]M07!C33*$H$14,[22]M08!C33*$I$14,[22]M09!C33*$J$14,[22]M10!C33*$K$14,[22]M11!C33*$L$14,[22]M12!C33*$M$14)/$N$14</f>
        <v>0</v>
      </c>
      <c r="D38" s="181">
        <f>SUM([22]M01!D33*$B$14,[22]M02!D33*$C$14,[22]M03!D33*$D$14,[22]M04!D33*$E$14,[22]M05!D33*$F$14,[22]M06!D33*$G$14,[22]M07!D33*$H$14,[22]M08!D33*$I$14,[22]M09!D33*$J$14,[22]M10!D33*$K$14,[22]M11!D33*$L$14,[22]M12!D33*$M$14)/$N$14</f>
        <v>0</v>
      </c>
      <c r="E38" s="181">
        <f>SUM([22]M01!E33*$B$14,[22]M02!E33*$C$14,[22]M03!E33*$D$14,[22]M04!E33*$E$14,[22]M05!E33*$F$14,[22]M06!E33*$G$14,[22]M07!E33*$H$14,[22]M08!E33*$I$14,[22]M09!E33*$J$14,[22]M10!E33*$K$14,[22]M11!E33*$L$14,[22]M12!E33*$M$14)/$N$14</f>
        <v>0</v>
      </c>
      <c r="F38" s="181">
        <f>SUM([22]M01!F33*$B$14,[22]M02!F33*$C$14,[22]M03!F33*$D$14,[22]M04!F33*$E$14,[22]M05!F33*$F$14,[22]M06!F33*$G$14,[22]M07!F33*$H$14,[22]M08!F33*$I$14,[22]M09!F33*$J$14,[22]M10!F33*$K$14,[22]M11!F33*$L$14,[22]M12!F33*$M$14)/$N$14</f>
        <v>0</v>
      </c>
      <c r="G38" s="181">
        <f>SUM([22]M01!G33*$B$14,[22]M02!G33*$C$14,[22]M03!G33*$D$14,[22]M04!G33*$E$14,[22]M05!G33*$F$14,[22]M06!G33*$G$14,[22]M07!G33*$H$14,[22]M08!G33*$I$14,[22]M09!G33*$J$14,[22]M10!G33*$K$14,[22]M11!G33*$L$14,[22]M12!G33*$M$14)/$N$14</f>
        <v>0</v>
      </c>
      <c r="H38" s="181">
        <f>SUM([22]M01!H33*$B$14,[22]M02!H33*$C$14,[22]M03!H33*$D$14,[22]M04!H33*$E$14,[22]M05!H33*$F$14,[22]M06!H33*$G$14,[22]M07!H33*$H$14,[22]M08!H33*$I$14,[22]M09!H33*$J$14,[22]M10!H33*$K$14,[22]M11!H33*$L$14,[22]M12!H33*$M$14)/$N$14</f>
        <v>0</v>
      </c>
      <c r="I38" s="181">
        <f>SUM([22]M01!I33*$B$14,[22]M02!I33*$C$14,[22]M03!I33*$D$14,[22]M04!I33*$E$14,[22]M05!I33*$F$14,[22]M06!I33*$G$14,[22]M07!I33*$H$14,[22]M08!I33*$I$14,[22]M09!I33*$J$14,[22]M10!I33*$K$14,[22]M11!I33*$L$14,[22]M12!I33*$M$14)/$N$14</f>
        <v>0</v>
      </c>
      <c r="J38" s="181">
        <f>SUM([22]M01!J33*$B$14,[22]M02!J33*$C$14,[22]M03!J33*$D$14,[22]M04!J33*$E$14,[22]M05!J33*$F$14,[22]M06!J33*$G$14,[22]M07!J33*$H$14,[22]M08!J33*$I$14,[22]M09!J33*$J$14,[22]M10!J33*$K$14,[22]M11!J33*$L$14,[22]M12!J33*$M$14)/$N$14</f>
        <v>0</v>
      </c>
      <c r="K38" s="182">
        <f>SUM([22]M01!K33*$B$14,[22]M02!K33*$C$14,[22]M03!K33*$D$14,[22]M04!K33*$E$14,[22]M05!K33*$F$14,[22]M06!K33*$G$14,[22]M07!K33*$H$14,[22]M08!K33*$I$14,[22]M09!K33*$J$14,[22]M10!K33*$K$14,[22]M11!K33*$L$14,[22]M12!K33*$M$14)/$N$14</f>
        <v>0</v>
      </c>
      <c r="L38" s="155"/>
      <c r="N38" s="166"/>
    </row>
    <row r="39" spans="1:14" ht="20.25" customHeight="1">
      <c r="A39" s="154" t="s">
        <v>173</v>
      </c>
      <c r="L39" s="155"/>
      <c r="N39" s="166"/>
    </row>
    <row r="40" spans="1:14" ht="15" customHeight="1">
      <c r="A40" s="177" t="s">
        <v>170</v>
      </c>
      <c r="B40" s="178">
        <f>SUM([22]M01!I34,[22]M02!I34,[22]M03!I34,[22]M04!I34,[22]M05!I34,[22]M06!I34,[22]M07!I34,[22]M08!I34,[22]M09!I34,[22]M10!I34,[22]M11!I34,[22]M12!I34)</f>
        <v>0</v>
      </c>
      <c r="L40" s="155"/>
      <c r="N40" s="166"/>
    </row>
    <row r="41" spans="1:14" ht="9.9" customHeight="1">
      <c r="L41" s="155"/>
      <c r="N41" s="166"/>
    </row>
    <row r="42" spans="1:14" ht="9.9" customHeight="1" thickBot="1">
      <c r="L42" s="155"/>
      <c r="N42" s="166"/>
    </row>
    <row r="43" spans="1:14" ht="20.25" customHeight="1" thickTop="1">
      <c r="A43" s="183" t="s">
        <v>174</v>
      </c>
      <c r="B43" s="184"/>
      <c r="C43" s="184"/>
      <c r="D43" s="184"/>
      <c r="E43" s="184"/>
      <c r="F43" s="184"/>
      <c r="G43" s="184"/>
      <c r="H43" s="184"/>
      <c r="I43" s="184"/>
      <c r="J43" s="184"/>
      <c r="K43" s="185"/>
      <c r="L43" s="186"/>
      <c r="N43" s="166"/>
    </row>
    <row r="44" spans="1:14" ht="15" customHeight="1">
      <c r="A44" s="187" t="s">
        <v>110</v>
      </c>
      <c r="B44" s="188">
        <f>IFERROR(B54/B25,0)</f>
        <v>1.8353080607073007</v>
      </c>
      <c r="C44" s="189">
        <f t="shared" ref="C44:K44" si="0">IFERROR(C54/C25,0)</f>
        <v>1.8898039542703922</v>
      </c>
      <c r="D44" s="189">
        <f t="shared" si="0"/>
        <v>2.1785784499277563</v>
      </c>
      <c r="E44" s="189">
        <f t="shared" si="0"/>
        <v>1.4808086003746499</v>
      </c>
      <c r="F44" s="189">
        <f t="shared" si="0"/>
        <v>0.7228383887486397</v>
      </c>
      <c r="G44" s="189">
        <f t="shared" si="0"/>
        <v>0.77525696787013965</v>
      </c>
      <c r="H44" s="189">
        <f t="shared" si="0"/>
        <v>0.19067411854499541</v>
      </c>
      <c r="I44" s="189">
        <f t="shared" si="0"/>
        <v>0.37073541017681871</v>
      </c>
      <c r="J44" s="189">
        <f t="shared" si="0"/>
        <v>0.56787663867307303</v>
      </c>
      <c r="K44" s="190">
        <f t="shared" si="0"/>
        <v>2.9698415351768168</v>
      </c>
      <c r="L44" s="186"/>
      <c r="N44" s="166"/>
    </row>
    <row r="45" spans="1:14" ht="15" customHeight="1">
      <c r="A45" s="191" t="s">
        <v>167</v>
      </c>
      <c r="B45" s="192">
        <f t="shared" ref="B45:K45" si="1">IFERROR(B55/B26,0)</f>
        <v>4.1860128436572889E-5</v>
      </c>
      <c r="C45" s="192">
        <f t="shared" si="1"/>
        <v>0</v>
      </c>
      <c r="D45" s="192">
        <f t="shared" si="1"/>
        <v>0</v>
      </c>
      <c r="E45" s="192">
        <f t="shared" si="1"/>
        <v>1.070423326158056</v>
      </c>
      <c r="F45" s="192">
        <f t="shared" si="1"/>
        <v>2.2083072348542006</v>
      </c>
      <c r="G45" s="192">
        <f t="shared" si="1"/>
        <v>1.6757864616542317</v>
      </c>
      <c r="H45" s="192">
        <f t="shared" si="1"/>
        <v>1.8501860097488929</v>
      </c>
      <c r="I45" s="192">
        <f t="shared" si="1"/>
        <v>0</v>
      </c>
      <c r="J45" s="192">
        <f t="shared" si="1"/>
        <v>1.8324515832472241</v>
      </c>
      <c r="K45" s="193">
        <f t="shared" si="1"/>
        <v>0.50651011721601502</v>
      </c>
      <c r="L45" s="186"/>
      <c r="N45" s="166"/>
    </row>
    <row r="46" spans="1:14" ht="20.25" customHeight="1">
      <c r="A46" s="194" t="s">
        <v>175</v>
      </c>
      <c r="B46" s="195"/>
      <c r="C46" s="195"/>
      <c r="D46" s="195"/>
      <c r="E46" s="195"/>
      <c r="F46" s="195"/>
      <c r="G46" s="195"/>
      <c r="H46" s="195"/>
      <c r="I46" s="196"/>
      <c r="J46" s="196"/>
      <c r="K46" s="197"/>
      <c r="L46" s="186"/>
      <c r="N46" s="198"/>
    </row>
    <row r="47" spans="1:14" ht="15" customHeight="1">
      <c r="A47" s="199" t="s">
        <v>169</v>
      </c>
      <c r="B47" s="200">
        <f>B32</f>
        <v>5.1561301312093191</v>
      </c>
      <c r="C47" s="201"/>
      <c r="D47" s="201"/>
      <c r="E47" s="196"/>
      <c r="F47" s="196"/>
      <c r="G47" s="196"/>
      <c r="H47" s="195"/>
      <c r="I47" s="196"/>
      <c r="J47" s="196"/>
      <c r="K47" s="197"/>
      <c r="L47" s="186"/>
      <c r="N47" s="202"/>
    </row>
    <row r="48" spans="1:14" ht="15" customHeight="1">
      <c r="A48" s="203" t="s">
        <v>170</v>
      </c>
      <c r="B48" s="204">
        <f>B33+B40</f>
        <v>17.074881987923209</v>
      </c>
      <c r="C48" s="201"/>
      <c r="D48" s="201"/>
      <c r="E48" s="196"/>
      <c r="F48" s="196"/>
      <c r="G48" s="196"/>
      <c r="H48" s="195"/>
      <c r="I48" s="196"/>
      <c r="J48" s="196"/>
      <c r="K48" s="197"/>
      <c r="L48" s="186"/>
      <c r="N48" s="202"/>
    </row>
    <row r="49" spans="1:14" ht="9.9" customHeight="1" thickBot="1">
      <c r="A49" s="205"/>
      <c r="B49" s="206"/>
      <c r="C49" s="207"/>
      <c r="D49" s="207"/>
      <c r="E49" s="207"/>
      <c r="F49" s="207"/>
      <c r="G49" s="207"/>
      <c r="H49" s="207"/>
      <c r="I49" s="207"/>
      <c r="J49" s="207"/>
      <c r="K49" s="208"/>
      <c r="L49" s="186"/>
      <c r="N49" s="166"/>
    </row>
    <row r="50" spans="1:14" ht="9.9" customHeight="1" thickTop="1">
      <c r="B50" s="209"/>
      <c r="L50" s="155"/>
      <c r="N50" s="166"/>
    </row>
    <row r="51" spans="1:14" ht="20.25" customHeight="1">
      <c r="A51" s="210" t="s">
        <v>176</v>
      </c>
      <c r="B51" s="211"/>
      <c r="C51" s="211"/>
      <c r="D51" s="211"/>
      <c r="E51" s="211"/>
      <c r="F51" s="211"/>
      <c r="G51" s="211"/>
      <c r="H51" s="211"/>
      <c r="I51" s="211"/>
      <c r="J51" s="211"/>
      <c r="K51" s="211"/>
      <c r="L51" s="212">
        <f>ROUND(SUM(L54:L55,L57:L58),3)</f>
        <v>109937.69100000001</v>
      </c>
      <c r="M51" s="212">
        <f>ROUND(B3,3)</f>
        <v>109937.69100000001</v>
      </c>
      <c r="N51" s="252"/>
    </row>
    <row r="52" spans="1:14" ht="20.25" customHeight="1">
      <c r="A52" s="213" t="s">
        <v>177</v>
      </c>
      <c r="B52" s="211"/>
      <c r="C52" s="211"/>
      <c r="D52" s="211"/>
      <c r="E52" s="211"/>
      <c r="F52" s="211"/>
      <c r="G52" s="211"/>
      <c r="H52" s="211"/>
      <c r="I52" s="211"/>
      <c r="J52" s="211"/>
      <c r="K52" s="211"/>
      <c r="L52" s="165"/>
      <c r="M52" s="214">
        <f>M53+M56</f>
        <v>1.0000000025017779</v>
      </c>
      <c r="N52" s="166"/>
    </row>
    <row r="53" spans="1:14" ht="20.25" customHeight="1">
      <c r="A53" s="215" t="s">
        <v>19</v>
      </c>
      <c r="B53" s="216">
        <v>1</v>
      </c>
      <c r="C53" s="217">
        <v>2</v>
      </c>
      <c r="D53" s="217">
        <v>3</v>
      </c>
      <c r="E53" s="217">
        <v>4</v>
      </c>
      <c r="F53" s="217">
        <v>5</v>
      </c>
      <c r="G53" s="217">
        <v>6</v>
      </c>
      <c r="H53" s="217">
        <v>7</v>
      </c>
      <c r="I53" s="217">
        <v>8</v>
      </c>
      <c r="J53" s="217">
        <v>9</v>
      </c>
      <c r="K53" s="218">
        <v>10</v>
      </c>
      <c r="L53" s="219">
        <f>L54+L55</f>
        <v>42614.324298147607</v>
      </c>
      <c r="M53" s="214">
        <f>L53/$M$51</f>
        <v>0.38762251517677959</v>
      </c>
      <c r="N53" s="220"/>
    </row>
    <row r="54" spans="1:14" ht="15" customHeight="1">
      <c r="A54" s="221" t="s">
        <v>110</v>
      </c>
      <c r="B54" s="222">
        <f>SUM([22]M01!B38,[22]M02!B38,[22]M03!B38,[22]M04!B38,[22]M05!B38,[22]M06!B38,[22]M07!B38,[22]M08!B38,[22]M09!B38,[22]M10!B38,[22]M11!B38,[22]M12!B38)</f>
        <v>2213.2990241156758</v>
      </c>
      <c r="C54" s="223">
        <f>SUM([22]M01!C38,[22]M02!C38,[22]M03!C38,[22]M04!C38,[22]M05!C38,[22]M06!C38,[22]M07!C38,[22]M08!C38,[22]M09!C38,[22]M10!C38,[22]M11!C38,[22]M12!C38)</f>
        <v>3100.0656828405945</v>
      </c>
      <c r="D54" s="223">
        <f>SUM([22]M01!D38,[22]M02!D38,[22]M03!D38,[22]M04!D38,[22]M05!D38,[22]M06!D38,[22]M07!D38,[22]M08!D38,[22]M09!D38,[22]M10!D38,[22]M11!D38,[22]M12!D38)</f>
        <v>1845.8700883538443</v>
      </c>
      <c r="E54" s="223">
        <f>SUM([22]M01!E38,[22]M02!E38,[22]M03!E38,[22]M04!E38,[22]M05!E38,[22]M06!E38,[22]M07!E38,[22]M08!E38,[22]M09!E38,[22]M10!E38,[22]M11!E38,[22]M12!E38)</f>
        <v>5367.7010587016075</v>
      </c>
      <c r="F54" s="223">
        <f>SUM([22]M01!F38,[22]M02!F38,[22]M03!F38,[22]M04!F38,[22]M05!F38,[22]M06!F38,[22]M07!F38,[22]M08!F38,[22]M09!F38,[22]M10!F38,[22]M11!F38,[22]M12!F38)</f>
        <v>1843.8367990560287</v>
      </c>
      <c r="G54" s="223">
        <f>SUM([22]M01!G38,[22]M02!G38,[22]M03!G38,[22]M04!G38,[22]M05!G38,[22]M06!G38,[22]M07!G38,[22]M08!G38,[22]M09!G38,[22]M10!G38,[22]M11!G38,[22]M12!G38)</f>
        <v>786.29732482388158</v>
      </c>
      <c r="H54" s="223">
        <f>SUM([22]M01!H38,[22]M02!H38,[22]M03!H38,[22]M04!H38,[22]M05!H38,[22]M06!H38,[22]M07!H38,[22]M08!H38,[22]M09!H38,[22]M10!H38,[22]M11!H38,[22]M12!H38)</f>
        <v>1.8450771755125026</v>
      </c>
      <c r="I54" s="223">
        <f>SUM([22]M01!I38,[22]M02!I38,[22]M03!I38,[22]M04!I38,[22]M05!I38,[22]M06!I38,[22]M07!I38,[22]M08!I38,[22]M09!I38,[22]M10!I38,[22]M11!I38,[22]M12!I38)</f>
        <v>127.2271985345118</v>
      </c>
      <c r="J54" s="223">
        <f>SUM([22]M01!J38,[22]M02!J38,[22]M03!J38,[22]M04!J38,[22]M05!J38,[22]M06!J38,[22]M07!J38,[22]M08!J38,[22]M09!J38,[22]M10!J38,[22]M11!J38,[22]M12!J38)</f>
        <v>586.49529769309584</v>
      </c>
      <c r="K54" s="224">
        <f>SUM([22]M01!K38,[22]M02!K38,[22]M03!K38,[22]M04!K38,[22]M05!K38,[22]M06!K38,[22]M07!K38,[22]M08!K38,[22]M09!K38,[22]M10!K38,[22]M11!K38,[22]M12!K38)</f>
        <v>3303.8083828716713</v>
      </c>
      <c r="L54" s="225">
        <f>SUM(B54:K54)</f>
        <v>19176.445934166422</v>
      </c>
      <c r="M54" s="226">
        <f>L54/(L55+L54)</f>
        <v>0.44999999999999996</v>
      </c>
      <c r="N54" s="227"/>
    </row>
    <row r="55" spans="1:14" ht="15" customHeight="1">
      <c r="A55" s="228" t="s">
        <v>167</v>
      </c>
      <c r="B55" s="229">
        <f>SUM([22]M01!B39,[22]M02!B39,[22]M03!B39,[22]M04!B39,[22]M05!B39,[22]M06!B39,[22]M07!B39,[22]M08!B39,[22]M09!B39,[22]M10!B39,[22]M11!B39,[22]M12!B39)</f>
        <v>4.6068222497980468E-3</v>
      </c>
      <c r="C55" s="230">
        <f>SUM([22]M01!C39,[22]M02!C39,[22]M03!C39,[22]M04!C39,[22]M05!C39,[22]M06!C39,[22]M07!C39,[22]M08!C39,[22]M09!C39,[22]M10!C39,[22]M11!C39,[22]M12!C39)</f>
        <v>0</v>
      </c>
      <c r="D55" s="230">
        <f>SUM([22]M01!D39,[22]M02!D39,[22]M03!D39,[22]M04!D39,[22]M05!D39,[22]M06!D39,[22]M07!D39,[22]M08!D39,[22]M09!D39,[22]M10!D39,[22]M11!D39,[22]M12!D39)</f>
        <v>0</v>
      </c>
      <c r="E55" s="230">
        <f>SUM([22]M01!E39,[22]M02!E39,[22]M03!E39,[22]M04!E39,[22]M05!E39,[22]M06!E39,[22]M07!E39,[22]M08!E39,[22]M09!E39,[22]M10!E39,[22]M11!E39,[22]M12!E39)</f>
        <v>1325.3080328048427</v>
      </c>
      <c r="F55" s="230">
        <f>SUM([22]M01!F39,[22]M02!F39,[22]M03!F39,[22]M04!F39,[22]M05!F39,[22]M06!F39,[22]M07!F39,[22]M08!F39,[22]M09!F39,[22]M10!F39,[22]M11!F39,[22]M12!F39)</f>
        <v>1333.391035309525</v>
      </c>
      <c r="G55" s="230">
        <f>SUM([22]M01!G39,[22]M02!G39,[22]M03!G39,[22]M04!G39,[22]M05!G39,[22]M06!G39,[22]M07!G39,[22]M08!G39,[22]M09!G39,[22]M10!G39,[22]M11!G39,[22]M12!G39)</f>
        <v>2272.3634255875072</v>
      </c>
      <c r="H55" s="230">
        <f>SUM([22]M01!H39,[22]M02!H39,[22]M03!H39,[22]M04!H39,[22]M05!H39,[22]M06!H39,[22]M07!H39,[22]M08!H39,[22]M09!H39,[22]M10!H39,[22]M11!H39,[22]M12!H39)</f>
        <v>16261.201396293982</v>
      </c>
      <c r="I55" s="230">
        <f>SUM([22]M01!I39,[22]M02!I39,[22]M03!I39,[22]M04!I39,[22]M05!I39,[22]M06!I39,[22]M07!I39,[22]M08!I39,[22]M09!I39,[22]M10!I39,[22]M11!I39,[22]M12!I39)</f>
        <v>0</v>
      </c>
      <c r="J55" s="230">
        <f>SUM([22]M01!J39,[22]M02!J39,[22]M03!J39,[22]M04!J39,[22]M05!J39,[22]M06!J39,[22]M07!J39,[22]M08!J39,[22]M09!J39,[22]M10!J39,[22]M11!J39,[22]M12!J39)</f>
        <v>2203.1011068777439</v>
      </c>
      <c r="K55" s="231">
        <f>SUM([22]M01!K39,[22]M02!K39,[22]M03!K39,[22]M04!K39,[22]M05!K39,[22]M06!K39,[22]M07!K39,[22]M08!K39,[22]M09!K39,[22]M10!K39,[22]M11!K39,[22]M12!K39)</f>
        <v>42.508760285330617</v>
      </c>
      <c r="L55" s="232">
        <f>SUM(B55:K55)</f>
        <v>23437.878363981181</v>
      </c>
      <c r="M55" s="233">
        <f>L55/(L54+L55)</f>
        <v>0.54999999999999993</v>
      </c>
      <c r="N55" s="108"/>
    </row>
    <row r="56" spans="1:14" ht="20.25" customHeight="1">
      <c r="A56" s="213" t="s">
        <v>178</v>
      </c>
      <c r="B56" s="211"/>
      <c r="C56" s="211"/>
      <c r="D56" s="211"/>
      <c r="E56" s="211"/>
      <c r="F56" s="211"/>
      <c r="G56" s="211"/>
      <c r="H56" s="211"/>
      <c r="I56" s="211"/>
      <c r="J56" s="211"/>
      <c r="K56" s="211"/>
      <c r="L56" s="219">
        <f>L57+L58</f>
        <v>67323.366976892081</v>
      </c>
      <c r="M56" s="214">
        <f>L56/$M$51</f>
        <v>0.6123774873249983</v>
      </c>
      <c r="N56" s="220"/>
    </row>
    <row r="57" spans="1:14" ht="15" customHeight="1">
      <c r="A57" s="221" t="s">
        <v>110</v>
      </c>
      <c r="B57" s="222">
        <f>SUM([22]M01!B41,[22]M02!B41,[22]M03!B41,[22]M04!B41,[22]M05!B41,[22]M06!B41,[22]M07!B41,[22]M08!B41,[22]M09!B41,[22]M10!B41,[22]M11!B41,[22]M12!B41)</f>
        <v>3478.3264730830078</v>
      </c>
      <c r="C57" s="223">
        <f>SUM([22]M01!C41,[22]M02!C41,[22]M03!C41,[22]M04!C41,[22]M05!C41,[22]M06!C41,[22]M07!C41,[22]M08!C41,[22]M09!C41,[22]M10!C41,[22]M11!C41,[22]M12!C41)</f>
        <v>3680.2175962814713</v>
      </c>
      <c r="D57" s="223">
        <f>SUM([22]M01!D41,[22]M02!D41,[22]M03!D41,[22]M04!D41,[22]M05!D41,[22]M06!D41,[22]M07!D41,[22]M08!D41,[22]M09!D41,[22]M10!D41,[22]M11!D41,[22]M12!D41)</f>
        <v>921.55513835104193</v>
      </c>
      <c r="E57" s="223">
        <f>SUM([22]M01!E41,[22]M02!E41,[22]M03!E41,[22]M04!E41,[22]M05!E41,[22]M06!E41,[22]M07!E41,[22]M08!E41,[22]M09!E41,[22]M10!E41,[22]M11!E41,[22]M12!E41)</f>
        <v>3376.8579016617377</v>
      </c>
      <c r="F57" s="223">
        <f>SUM([22]M01!F41,[22]M02!F41,[22]M03!F41,[22]M04!F41,[22]M05!F41,[22]M06!F41,[22]M07!F41,[22]M08!F41,[22]M09!F41,[22]M10!F41,[22]M11!F41,[22]M12!F41)</f>
        <v>5900.7961856432348</v>
      </c>
      <c r="G57" s="223">
        <f>SUM([22]M01!G41,[22]M02!G41,[22]M03!G41,[22]M04!G41,[22]M05!G41,[22]M06!G41,[22]M07!G41,[22]M08!G41,[22]M09!G41,[22]M10!G41,[22]M11!G41,[22]M12!G41)</f>
        <v>1429.5371982282979</v>
      </c>
      <c r="H57" s="223">
        <f>SUM([22]M01!H41,[22]M02!H41,[22]M03!H41,[22]M04!H41,[22]M05!H41,[22]M06!H41,[22]M07!H41,[22]M08!H41,[22]M09!H41,[22]M10!H41,[22]M11!H41,[22]M12!H41)</f>
        <v>795.74556314953418</v>
      </c>
      <c r="I57" s="223">
        <f>SUM([22]M01!I41,[22]M02!I41,[22]M03!I41,[22]M04!I41,[22]M05!I41,[22]M06!I41,[22]M07!I41,[22]M08!I41,[22]M09!I41,[22]M10!I41,[22]M11!I41,[22]M12!I41)</f>
        <v>1340.5938341144231</v>
      </c>
      <c r="J57" s="223">
        <f>SUM([22]M01!J41,[22]M02!J41,[22]M03!J41,[22]M04!J41,[22]M05!J41,[22]M06!J41,[22]M07!J41,[22]M08!J41,[22]M09!J41,[22]M10!J41,[22]M11!J41,[22]M12!J41)</f>
        <v>8071.6639139016279</v>
      </c>
      <c r="K57" s="224">
        <f>SUM([22]M01!K41,[22]M02!K41,[22]M03!K41,[22]M04!K41,[22]M05!K41,[22]M06!K41,[22]M07!K41,[22]M08!K41,[22]M09!K41,[22]M10!K41,[22]M11!K41,[22]M12!K41)</f>
        <v>1300.2213351870537</v>
      </c>
      <c r="L57" s="225">
        <f>SUM(B57:K57)</f>
        <v>30295.515139601433</v>
      </c>
      <c r="M57" s="226">
        <f>L57/(L58+L57)</f>
        <v>0.44999999999999996</v>
      </c>
      <c r="N57" s="227"/>
    </row>
    <row r="58" spans="1:14" ht="15" customHeight="1">
      <c r="A58" s="228" t="s">
        <v>167</v>
      </c>
      <c r="B58" s="229">
        <f>SUM([22]M01!B42,[22]M02!B42,[22]M03!B42,[22]M04!B42,[22]M05!B42,[22]M06!B42,[22]M07!B42,[22]M08!B42,[22]M09!B42,[22]M10!B42,[22]M11!B42,[22]M12!B42)</f>
        <v>406.69242172202479</v>
      </c>
      <c r="C58" s="230">
        <f>SUM([22]M01!C42,[22]M02!C42,[22]M03!C42,[22]M04!C42,[22]M05!C42,[22]M06!C42,[22]M07!C42,[22]M08!C42,[22]M09!C42,[22]M10!C42,[22]M11!C42,[22]M12!C42)</f>
        <v>0</v>
      </c>
      <c r="D58" s="230">
        <f>SUM([22]M01!D42,[22]M02!D42,[22]M03!D42,[22]M04!D42,[22]M05!D42,[22]M06!D42,[22]M07!D42,[22]M08!D42,[22]M09!D42,[22]M10!D42,[22]M11!D42,[22]M12!D42)</f>
        <v>0.77910482198930964</v>
      </c>
      <c r="E58" s="230">
        <f>SUM([22]M01!E42,[22]M02!E42,[22]M03!E42,[22]M04!E42,[22]M05!E42,[22]M06!E42,[22]M07!E42,[22]M08!E42,[22]M09!E42,[22]M10!E42,[22]M11!E42,[22]M12!E42)</f>
        <v>2647.7382656332402</v>
      </c>
      <c r="F58" s="230">
        <f>SUM([22]M01!F42,[22]M02!F42,[22]M03!F42,[22]M04!F42,[22]M05!F42,[22]M06!F42,[22]M07!F42,[22]M08!F42,[22]M09!F42,[22]M10!F42,[22]M11!F42,[22]M12!F42)</f>
        <v>5861.3665681186212</v>
      </c>
      <c r="G58" s="230">
        <f>SUM([22]M01!G42,[22]M02!G42,[22]M03!G42,[22]M04!G42,[22]M05!G42,[22]M06!G42,[22]M07!G42,[22]M08!G42,[22]M09!G42,[22]M10!G42,[22]M11!G42,[22]M12!G42)</f>
        <v>3982.1591214228392</v>
      </c>
      <c r="H58" s="230">
        <f>SUM([22]M01!H42,[22]M02!H42,[22]M03!H42,[22]M04!H42,[22]M05!H42,[22]M06!H42,[22]M07!H42,[22]M08!H42,[22]M09!H42,[22]M10!H42,[22]M11!H42,[22]M12!H42)</f>
        <v>20911.308797778951</v>
      </c>
      <c r="I58" s="230">
        <f>SUM([22]M01!I42,[22]M02!I42,[22]M03!I42,[22]M04!I42,[22]M05!I42,[22]M06!I42,[22]M07!I42,[22]M08!I42,[22]M09!I42,[22]M10!I42,[22]M11!I42,[22]M12!I42)</f>
        <v>22.709593043937868</v>
      </c>
      <c r="J58" s="230">
        <f>SUM([22]M01!J42,[22]M02!J42,[22]M03!J42,[22]M04!J42,[22]M05!J42,[22]M06!J42,[22]M07!J42,[22]M08!J42,[22]M09!J42,[22]M10!J42,[22]M11!J42,[22]M12!J42)</f>
        <v>2183.4684694084381</v>
      </c>
      <c r="K58" s="231">
        <f>SUM([22]M01!K42,[22]M02!K42,[22]M03!K42,[22]M04!K42,[22]M05!K42,[22]M06!K42,[22]M07!K42,[22]M08!K42,[22]M09!K42,[22]M10!K42,[22]M11!K42,[22]M12!K42)</f>
        <v>1011.6294953406079</v>
      </c>
      <c r="L58" s="232">
        <f>SUM(B58:K58)</f>
        <v>37027.851837290655</v>
      </c>
      <c r="M58" s="233">
        <f>L58/(L57+L58)</f>
        <v>0.55000000000000016</v>
      </c>
      <c r="N58" s="166"/>
    </row>
    <row r="59" spans="1:14" ht="20.25" customHeight="1">
      <c r="A59" s="213" t="s">
        <v>179</v>
      </c>
      <c r="B59" s="211"/>
      <c r="C59" s="211"/>
      <c r="D59" s="211"/>
      <c r="E59" s="211"/>
      <c r="F59" s="211"/>
      <c r="G59" s="211"/>
      <c r="H59" s="211"/>
      <c r="I59" s="211"/>
      <c r="J59" s="211"/>
      <c r="K59" s="211"/>
      <c r="L59" s="219">
        <f>L60+L61</f>
        <v>0</v>
      </c>
      <c r="M59" s="214">
        <f>IFERROR(L59/B7,0)</f>
        <v>0</v>
      </c>
      <c r="N59" s="166"/>
    </row>
    <row r="60" spans="1:14" ht="15" customHeight="1">
      <c r="A60" s="221" t="s">
        <v>180</v>
      </c>
      <c r="B60" s="222">
        <f>SUM([22]M01!B44,[22]M02!B44,[22]M03!B44,[22]M04!B44,[22]M05!B44,[22]M06!B44,[22]M07!B44,[22]M08!B44,[22]M09!B44,[22]M10!B44,[22]M11!B44,[22]M12!B44)</f>
        <v>0</v>
      </c>
      <c r="C60" s="223">
        <f>SUM([22]M01!C44,[22]M02!C44,[22]M03!C44,[22]M04!C44,[22]M05!C44,[22]M06!C44,[22]M07!C44,[22]M08!C44,[22]M09!C44,[22]M10!C44,[22]M11!C44,[22]M12!C44)</f>
        <v>0</v>
      </c>
      <c r="D60" s="223">
        <f>SUM([22]M01!D44,[22]M02!D44,[22]M03!D44,[22]M04!D44,[22]M05!D44,[22]M06!D44,[22]M07!D44,[22]M08!D44,[22]M09!D44,[22]M10!D44,[22]M11!D44,[22]M12!D44)</f>
        <v>0</v>
      </c>
      <c r="E60" s="223">
        <f>SUM([22]M01!E44,[22]M02!E44,[22]M03!E44,[22]M04!E44,[22]M05!E44,[22]M06!E44,[22]M07!E44,[22]M08!E44,[22]M09!E44,[22]M10!E44,[22]M11!E44,[22]M12!E44)</f>
        <v>0</v>
      </c>
      <c r="F60" s="223">
        <f>SUM([22]M01!F44,[22]M02!F44,[22]M03!F44,[22]M04!F44,[22]M05!F44,[22]M06!F44,[22]M07!F44,[22]M08!F44,[22]M09!F44,[22]M10!F44,[22]M11!F44,[22]M12!F44)</f>
        <v>0</v>
      </c>
      <c r="G60" s="223">
        <f>SUM([22]M01!G44,[22]M02!G44,[22]M03!G44,[22]M04!G44,[22]M05!G44,[22]M06!G44,[22]M07!G44,[22]M08!G44,[22]M09!G44,[22]M10!G44,[22]M11!G44,[22]M12!G44)</f>
        <v>0</v>
      </c>
      <c r="H60" s="223">
        <f>SUM([22]M01!H44,[22]M02!H44,[22]M03!H44,[22]M04!H44,[22]M05!H44,[22]M06!H44,[22]M07!H44,[22]M08!H44,[22]M09!H44,[22]M10!H44,[22]M11!H44,[22]M12!H44)</f>
        <v>0</v>
      </c>
      <c r="I60" s="223">
        <f>SUM([22]M01!I44,[22]M02!I44,[22]M03!I44,[22]M04!I44,[22]M05!I44,[22]M06!I44,[22]M07!I44,[22]M08!I44,[22]M09!I44,[22]M10!I44,[22]M11!I44,[22]M12!I44)</f>
        <v>0</v>
      </c>
      <c r="J60" s="223">
        <f>SUM([22]M01!J44,[22]M02!J44,[22]M03!J44,[22]M04!J44,[22]M05!J44,[22]M06!J44,[22]M07!J44,[22]M08!J44,[22]M09!J44,[22]M10!J44,[22]M11!J44,[22]M12!J44)</f>
        <v>0</v>
      </c>
      <c r="K60" s="224">
        <f>SUM([22]M01!K44,[22]M02!K44,[22]M03!K44,[22]M04!K44,[22]M05!K44,[22]M06!K44,[22]M07!K44,[22]M08!K44,[22]M09!K44,[22]M10!K44,[22]M11!K44,[22]M12!K44)</f>
        <v>0</v>
      </c>
      <c r="L60" s="225">
        <f>SUM(B60:K60)</f>
        <v>0</v>
      </c>
      <c r="M60" s="226" t="e">
        <f>L60/(L61+L60)</f>
        <v>#DIV/0!</v>
      </c>
      <c r="N60" s="166"/>
    </row>
    <row r="61" spans="1:14" ht="15" customHeight="1">
      <c r="A61" s="228" t="s">
        <v>181</v>
      </c>
      <c r="B61" s="229">
        <f>SUM([22]M01!B45,[22]M02!B45,[22]M03!B45,[22]M04!B45,[22]M05!B45,[22]M06!B45,[22]M07!B45,[22]M08!B45,[22]M09!B45,[22]M10!B45,[22]M11!B45,[22]M12!B45)</f>
        <v>0</v>
      </c>
      <c r="C61" s="230">
        <f>SUM([22]M01!C45,[22]M02!C45,[22]M03!C45,[22]M04!C45,[22]M05!C45,[22]M06!C45,[22]M07!C45,[22]M08!C45,[22]M09!C45,[22]M10!C45,[22]M11!C45,[22]M12!C45)</f>
        <v>0</v>
      </c>
      <c r="D61" s="230">
        <f>SUM([22]M01!D45,[22]M02!D45,[22]M03!D45,[22]M04!D45,[22]M05!D45,[22]M06!D45,[22]M07!D45,[22]M08!D45,[22]M09!D45,[22]M10!D45,[22]M11!D45,[22]M12!D45)</f>
        <v>0</v>
      </c>
      <c r="E61" s="230">
        <f>SUM([22]M01!E45,[22]M02!E45,[22]M03!E45,[22]M04!E45,[22]M05!E45,[22]M06!E45,[22]M07!E45,[22]M08!E45,[22]M09!E45,[22]M10!E45,[22]M11!E45,[22]M12!E45)</f>
        <v>0</v>
      </c>
      <c r="F61" s="230">
        <f>SUM([22]M01!F45,[22]M02!F45,[22]M03!F45,[22]M04!F45,[22]M05!F45,[22]M06!F45,[22]M07!F45,[22]M08!F45,[22]M09!F45,[22]M10!F45,[22]M11!F45,[22]M12!F45)</f>
        <v>0</v>
      </c>
      <c r="G61" s="230">
        <f>SUM([22]M01!G45,[22]M02!G45,[22]M03!G45,[22]M04!G45,[22]M05!G45,[22]M06!G45,[22]M07!G45,[22]M08!G45,[22]M09!G45,[22]M10!G45,[22]M11!G45,[22]M12!G45)</f>
        <v>0</v>
      </c>
      <c r="H61" s="230">
        <f>SUM([22]M01!H45,[22]M02!H45,[22]M03!H45,[22]M04!H45,[22]M05!H45,[22]M06!H45,[22]M07!H45,[22]M08!H45,[22]M09!H45,[22]M10!H45,[22]M11!H45,[22]M12!H45)</f>
        <v>0</v>
      </c>
      <c r="I61" s="230">
        <f>SUM([22]M01!I45,[22]M02!I45,[22]M03!I45,[22]M04!I45,[22]M05!I45,[22]M06!I45,[22]M07!I45,[22]M08!I45,[22]M09!I45,[22]M10!I45,[22]M11!I45,[22]M12!I45)</f>
        <v>0</v>
      </c>
      <c r="J61" s="230">
        <f>SUM([22]M01!J45,[22]M02!J45,[22]M03!J45,[22]M04!J45,[22]M05!J45,[22]M06!J45,[22]M07!J45,[22]M08!J45,[22]M09!J45,[22]M10!J45,[22]M11!J45,[22]M12!J45)</f>
        <v>0</v>
      </c>
      <c r="K61" s="231">
        <f>SUM([22]M01!K45,[22]M02!K45,[22]M03!K45,[22]M04!K45,[22]M05!K45,[22]M06!K45,[22]M07!K45,[22]M08!K45,[22]M09!K45,[22]M10!K45,[22]M11!K45,[22]M12!K45)</f>
        <v>0</v>
      </c>
      <c r="L61" s="232">
        <f>SUM(B61:K61)</f>
        <v>0</v>
      </c>
      <c r="M61" s="233" t="e">
        <f>L61/(L60+L61)</f>
        <v>#DIV/0!</v>
      </c>
      <c r="N61" s="166"/>
    </row>
    <row r="62" spans="1:14" ht="20.25" hidden="1" customHeight="1">
      <c r="A62" s="213" t="s">
        <v>182</v>
      </c>
      <c r="B62" s="234"/>
      <c r="C62" s="234"/>
      <c r="D62" s="234"/>
      <c r="E62" s="234"/>
      <c r="F62" s="234"/>
      <c r="G62" s="235">
        <f>SUM([22]M01!G46,[22]M02!G46,[22]M03!G46,[22]M04!G46,[22]M05!G46,[22]M06!G46,[22]M07!G46,[22]M08!G46,[22]M09!G46,[22]M10!G46,[22]M11!G46,[22]M12!G46)</f>
        <v>0</v>
      </c>
      <c r="H62" s="236">
        <f>G62/L51</f>
        <v>0</v>
      </c>
      <c r="I62" s="234"/>
      <c r="J62" s="234"/>
      <c r="K62" s="234"/>
      <c r="L62" s="212"/>
      <c r="N62" s="166"/>
    </row>
    <row r="63" spans="1:14" ht="15" customHeight="1">
      <c r="A63" s="234"/>
      <c r="B63" s="234"/>
      <c r="C63" s="234"/>
      <c r="D63" s="234"/>
      <c r="E63" s="234"/>
      <c r="F63" s="234"/>
      <c r="G63" s="234"/>
      <c r="H63" s="234"/>
      <c r="I63" s="234"/>
      <c r="J63" s="234"/>
      <c r="K63" s="234"/>
      <c r="L63" s="212"/>
      <c r="N63" s="166"/>
    </row>
    <row r="64" spans="1:14" ht="20.25" customHeight="1">
      <c r="A64" s="237" t="s">
        <v>183</v>
      </c>
      <c r="B64" s="238"/>
      <c r="C64" s="238"/>
      <c r="D64" s="238"/>
      <c r="E64" s="238"/>
      <c r="F64" s="238"/>
      <c r="G64" s="238"/>
      <c r="H64" s="238"/>
      <c r="I64" s="238"/>
      <c r="J64" s="238"/>
      <c r="K64" s="238"/>
      <c r="L64" s="219">
        <f>L65+L66</f>
        <v>109937.69127503969</v>
      </c>
      <c r="M64" s="239">
        <f>L64/(B3+B7)</f>
        <v>0.99999999999996791</v>
      </c>
      <c r="N64" s="240"/>
    </row>
    <row r="65" spans="1:14" ht="15" customHeight="1">
      <c r="A65" s="241" t="s">
        <v>110</v>
      </c>
      <c r="B65" s="242">
        <f>B54+B57</f>
        <v>5691.6254971986837</v>
      </c>
      <c r="C65" s="243">
        <f t="shared" ref="C65:K65" si="2">C54+C57</f>
        <v>6780.2832791220662</v>
      </c>
      <c r="D65" s="243">
        <f t="shared" si="2"/>
        <v>2767.425226704886</v>
      </c>
      <c r="E65" s="243">
        <f t="shared" si="2"/>
        <v>8744.5589603633452</v>
      </c>
      <c r="F65" s="243">
        <f t="shared" si="2"/>
        <v>7744.632984699263</v>
      </c>
      <c r="G65" s="243">
        <f t="shared" si="2"/>
        <v>2215.8345230521795</v>
      </c>
      <c r="H65" s="243">
        <f t="shared" si="2"/>
        <v>797.59064032504671</v>
      </c>
      <c r="I65" s="243">
        <f t="shared" si="2"/>
        <v>1467.821032648935</v>
      </c>
      <c r="J65" s="243">
        <f t="shared" si="2"/>
        <v>8658.1592115947242</v>
      </c>
      <c r="K65" s="244">
        <f t="shared" si="2"/>
        <v>4604.0297180587249</v>
      </c>
      <c r="L65" s="225">
        <f>SUM(B65:K65)</f>
        <v>49471.961073767859</v>
      </c>
      <c r="M65" s="226">
        <f>L65/(L66+L65)</f>
        <v>0.45</v>
      </c>
      <c r="N65" s="240"/>
    </row>
    <row r="66" spans="1:14" ht="15" customHeight="1">
      <c r="A66" s="245" t="s">
        <v>167</v>
      </c>
      <c r="B66" s="246">
        <f>B55+B58+B60+B61</f>
        <v>406.69702854427459</v>
      </c>
      <c r="C66" s="247">
        <f t="shared" ref="C66:K66" si="3">C55+C58+C60+C61</f>
        <v>0</v>
      </c>
      <c r="D66" s="247">
        <f t="shared" si="3"/>
        <v>0.77910482198930964</v>
      </c>
      <c r="E66" s="247">
        <f t="shared" si="3"/>
        <v>3973.0462984380829</v>
      </c>
      <c r="F66" s="247">
        <f t="shared" si="3"/>
        <v>7194.7576034281465</v>
      </c>
      <c r="G66" s="247">
        <f t="shared" si="3"/>
        <v>6254.5225470103469</v>
      </c>
      <c r="H66" s="247">
        <f t="shared" si="3"/>
        <v>37172.510194072936</v>
      </c>
      <c r="I66" s="247">
        <f t="shared" si="3"/>
        <v>22.709593043937868</v>
      </c>
      <c r="J66" s="247">
        <f t="shared" si="3"/>
        <v>4386.5695762861815</v>
      </c>
      <c r="K66" s="248">
        <f t="shared" si="3"/>
        <v>1054.1382556259387</v>
      </c>
      <c r="L66" s="232">
        <f>SUM(B66:K66)</f>
        <v>60465.730201271836</v>
      </c>
      <c r="M66" s="233">
        <f>L66/(L65+L66)</f>
        <v>0.55000000000000004</v>
      </c>
      <c r="N66" s="240"/>
    </row>
    <row r="67" spans="1:14" ht="15" customHeight="1">
      <c r="B67" s="236">
        <f>B65/$L$64</f>
        <v>5.1771375505416981E-2</v>
      </c>
      <c r="C67" s="236">
        <f t="shared" ref="C67:K67" si="4">C65/$L$64</f>
        <v>6.1673873632285978E-2</v>
      </c>
      <c r="D67" s="236">
        <f t="shared" si="4"/>
        <v>2.5172670033441057E-2</v>
      </c>
      <c r="E67" s="236">
        <f t="shared" si="4"/>
        <v>7.9541046013840697E-2</v>
      </c>
      <c r="F67" s="236">
        <f t="shared" si="4"/>
        <v>7.044565785290062E-2</v>
      </c>
      <c r="G67" s="236">
        <f t="shared" si="4"/>
        <v>2.0155367075234042E-2</v>
      </c>
      <c r="H67" s="236">
        <f t="shared" si="4"/>
        <v>7.2549335089241787E-3</v>
      </c>
      <c r="I67" s="236">
        <f t="shared" si="4"/>
        <v>1.3351390370539734E-2</v>
      </c>
      <c r="J67" s="236">
        <f t="shared" si="4"/>
        <v>7.8755148586247214E-2</v>
      </c>
      <c r="K67" s="236">
        <f t="shared" si="4"/>
        <v>4.1878537421169461E-2</v>
      </c>
      <c r="N67" s="166"/>
    </row>
    <row r="68" spans="1:14" ht="15" customHeight="1">
      <c r="B68" s="236">
        <f t="shared" ref="B68:K68" si="5">B66/$L$64</f>
        <v>3.6993411797852744E-3</v>
      </c>
      <c r="C68" s="236">
        <f t="shared" si="5"/>
        <v>0</v>
      </c>
      <c r="D68" s="236">
        <f t="shared" si="5"/>
        <v>7.0867853686336051E-6</v>
      </c>
      <c r="E68" s="236">
        <f t="shared" si="5"/>
        <v>3.6139073436592402E-2</v>
      </c>
      <c r="F68" s="236">
        <f t="shared" si="5"/>
        <v>6.5443957572553169E-2</v>
      </c>
      <c r="G68" s="236">
        <f t="shared" si="5"/>
        <v>5.6891521683522718E-2</v>
      </c>
      <c r="H68" s="236">
        <f t="shared" si="5"/>
        <v>0.33812343849458848</v>
      </c>
      <c r="I68" s="236">
        <f t="shared" si="5"/>
        <v>2.0656785475987039E-4</v>
      </c>
      <c r="J68" s="236">
        <f t="shared" si="5"/>
        <v>3.9900506599797138E-2</v>
      </c>
      <c r="K68" s="236">
        <f t="shared" si="5"/>
        <v>9.5885063930323845E-3</v>
      </c>
      <c r="N68" s="166"/>
    </row>
    <row r="69" spans="1:14" ht="15" customHeight="1">
      <c r="B69" s="249"/>
      <c r="C69" s="249"/>
      <c r="D69" s="249"/>
      <c r="E69" s="249"/>
      <c r="F69" s="249"/>
      <c r="G69" s="249"/>
      <c r="H69" s="249"/>
      <c r="I69" s="249"/>
      <c r="J69" s="249"/>
      <c r="K69" s="249"/>
      <c r="L69" s="250"/>
      <c r="M69" s="251"/>
    </row>
    <row r="70" spans="1:14" ht="15" customHeight="1">
      <c r="B70" s="249"/>
      <c r="C70" s="249"/>
      <c r="D70" s="249"/>
      <c r="E70" s="249"/>
      <c r="F70" s="249"/>
      <c r="G70" s="249"/>
      <c r="H70" s="249"/>
      <c r="I70" s="249"/>
      <c r="J70" s="249"/>
      <c r="K70" s="249"/>
    </row>
    <row r="71" spans="1:14" ht="15" customHeight="1">
      <c r="B71" s="249"/>
      <c r="C71" s="249"/>
      <c r="D71" s="249"/>
      <c r="E71" s="249"/>
      <c r="F71" s="249"/>
      <c r="G71" s="249"/>
      <c r="H71" s="249"/>
      <c r="I71" s="249"/>
      <c r="J71" s="249"/>
      <c r="K71" s="249"/>
      <c r="L71" s="250"/>
    </row>
    <row r="72" spans="1:14" ht="15" customHeight="1">
      <c r="B72" s="249"/>
      <c r="C72" s="249"/>
      <c r="D72" s="249"/>
      <c r="E72" s="249"/>
      <c r="F72" s="249"/>
      <c r="G72" s="249"/>
      <c r="H72" s="249"/>
      <c r="I72" s="249"/>
      <c r="J72" s="249"/>
      <c r="K72" s="249"/>
      <c r="L72" s="250"/>
    </row>
  </sheetData>
  <conditionalFormatting sqref="B19:L20 B38:K38">
    <cfRule type="cellIs" dxfId="48" priority="18" operator="equal">
      <formula>0</formula>
    </cfRule>
  </conditionalFormatting>
  <conditionalFormatting sqref="B25:K27">
    <cfRule type="cellIs" dxfId="47" priority="17" operator="equal">
      <formula>0</formula>
    </cfRule>
  </conditionalFormatting>
  <conditionalFormatting sqref="B29:K30">
    <cfRule type="cellIs" dxfId="46" priority="16" operator="equal">
      <formula>0</formula>
    </cfRule>
  </conditionalFormatting>
  <conditionalFormatting sqref="B54:K55">
    <cfRule type="cellIs" dxfId="45" priority="15" operator="equal">
      <formula>0</formula>
    </cfRule>
  </conditionalFormatting>
  <conditionalFormatting sqref="L25:L27">
    <cfRule type="cellIs" dxfId="44" priority="14" operator="equal">
      <formula>0</formula>
    </cfRule>
  </conditionalFormatting>
  <conditionalFormatting sqref="B57:K58">
    <cfRule type="cellIs" dxfId="43" priority="13" operator="equal">
      <formula>0</formula>
    </cfRule>
  </conditionalFormatting>
  <conditionalFormatting sqref="B60:K61">
    <cfRule type="cellIs" dxfId="42" priority="12" operator="equal">
      <formula>0</formula>
    </cfRule>
  </conditionalFormatting>
  <conditionalFormatting sqref="B22:L23">
    <cfRule type="cellIs" dxfId="41" priority="11" operator="equal">
      <formula>0</formula>
    </cfRule>
  </conditionalFormatting>
  <conditionalFormatting sqref="N12:N13">
    <cfRule type="cellIs" dxfId="40" priority="10" stopIfTrue="1" operator="notEqual">
      <formula>8760</formula>
    </cfRule>
  </conditionalFormatting>
  <conditionalFormatting sqref="N14">
    <cfRule type="cellIs" dxfId="39" priority="9" stopIfTrue="1" operator="notEqual">
      <formula>1</formula>
    </cfRule>
  </conditionalFormatting>
  <conditionalFormatting sqref="L54:L55">
    <cfRule type="cellIs" dxfId="38" priority="8" operator="equal">
      <formula>0</formula>
    </cfRule>
  </conditionalFormatting>
  <conditionalFormatting sqref="M51">
    <cfRule type="cellIs" dxfId="37" priority="8" stopIfTrue="1" operator="notEqual">
      <formula>$L$51</formula>
    </cfRule>
  </conditionalFormatting>
  <conditionalFormatting sqref="L57:L58">
    <cfRule type="cellIs" dxfId="36" priority="6" operator="equal">
      <formula>0</formula>
    </cfRule>
  </conditionalFormatting>
  <conditionalFormatting sqref="L60:L61">
    <cfRule type="cellIs" dxfId="35" priority="5" operator="equal">
      <formula>0</formula>
    </cfRule>
  </conditionalFormatting>
  <conditionalFormatting sqref="B65:K66">
    <cfRule type="cellIs" dxfId="34" priority="4" operator="equal">
      <formula>0</formula>
    </cfRule>
  </conditionalFormatting>
  <conditionalFormatting sqref="L65:L66">
    <cfRule type="cellIs" dxfId="33" priority="3" operator="equal">
      <formula>0</formula>
    </cfRule>
  </conditionalFormatting>
  <conditionalFormatting sqref="L51">
    <cfRule type="cellIs" dxfId="32" priority="2" stopIfTrue="1" operator="notEqual">
      <formula>$M$51</formula>
    </cfRule>
  </conditionalFormatting>
  <conditionalFormatting sqref="B44:K45">
    <cfRule type="cellIs" dxfId="31" priority="1" operator="equal">
      <formula>0</formula>
    </cfRule>
  </conditionalFormatting>
  <printOptions horizontalCentered="1"/>
  <pageMargins left="0.39370078740157483" right="0.39370078740157483" top="0.98425196850393704" bottom="0.39370078740157483" header="0.59055118110236227" footer="0.31496062992125984"/>
  <pageSetup paperSize="9" scale="76" orientation="portrait" r:id="rId1"/>
  <headerFooter>
    <oddHeader>&amp;C&amp;Z&amp;F</oddHeader>
  </headerFooter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6885B0-3FF9-4658-8EFD-47A3D45D2247}">
  <sheetPr>
    <pageSetUpPr fitToPage="1"/>
  </sheetPr>
  <dimension ref="A1:N72"/>
  <sheetViews>
    <sheetView topLeftCell="A48" zoomScaleNormal="100" workbookViewId="0">
      <selection activeCell="H72" sqref="H72"/>
    </sheetView>
  </sheetViews>
  <sheetFormatPr baseColWidth="10" defaultColWidth="10.6640625" defaultRowHeight="15" customHeight="1"/>
  <cols>
    <col min="1" max="1" width="12.6640625" style="97" customWidth="1"/>
    <col min="2" max="256" width="10.6640625" style="97"/>
    <col min="257" max="257" width="12.6640625" style="97" customWidth="1"/>
    <col min="258" max="512" width="10.6640625" style="97"/>
    <col min="513" max="513" width="12.6640625" style="97" customWidth="1"/>
    <col min="514" max="768" width="10.6640625" style="97"/>
    <col min="769" max="769" width="12.6640625" style="97" customWidth="1"/>
    <col min="770" max="1024" width="10.6640625" style="97"/>
    <col min="1025" max="1025" width="12.6640625" style="97" customWidth="1"/>
    <col min="1026" max="1280" width="10.6640625" style="97"/>
    <col min="1281" max="1281" width="12.6640625" style="97" customWidth="1"/>
    <col min="1282" max="1536" width="10.6640625" style="97"/>
    <col min="1537" max="1537" width="12.6640625" style="97" customWidth="1"/>
    <col min="1538" max="1792" width="10.6640625" style="97"/>
    <col min="1793" max="1793" width="12.6640625" style="97" customWidth="1"/>
    <col min="1794" max="2048" width="10.6640625" style="97"/>
    <col min="2049" max="2049" width="12.6640625" style="97" customWidth="1"/>
    <col min="2050" max="2304" width="10.6640625" style="97"/>
    <col min="2305" max="2305" width="12.6640625" style="97" customWidth="1"/>
    <col min="2306" max="2560" width="10.6640625" style="97"/>
    <col min="2561" max="2561" width="12.6640625" style="97" customWidth="1"/>
    <col min="2562" max="2816" width="10.6640625" style="97"/>
    <col min="2817" max="2817" width="12.6640625" style="97" customWidth="1"/>
    <col min="2818" max="3072" width="10.6640625" style="97"/>
    <col min="3073" max="3073" width="12.6640625" style="97" customWidth="1"/>
    <col min="3074" max="3328" width="10.6640625" style="97"/>
    <col min="3329" max="3329" width="12.6640625" style="97" customWidth="1"/>
    <col min="3330" max="3584" width="10.6640625" style="97"/>
    <col min="3585" max="3585" width="12.6640625" style="97" customWidth="1"/>
    <col min="3586" max="3840" width="10.6640625" style="97"/>
    <col min="3841" max="3841" width="12.6640625" style="97" customWidth="1"/>
    <col min="3842" max="4096" width="10.6640625" style="97"/>
    <col min="4097" max="4097" width="12.6640625" style="97" customWidth="1"/>
    <col min="4098" max="4352" width="10.6640625" style="97"/>
    <col min="4353" max="4353" width="12.6640625" style="97" customWidth="1"/>
    <col min="4354" max="4608" width="10.6640625" style="97"/>
    <col min="4609" max="4609" width="12.6640625" style="97" customWidth="1"/>
    <col min="4610" max="4864" width="10.6640625" style="97"/>
    <col min="4865" max="4865" width="12.6640625" style="97" customWidth="1"/>
    <col min="4866" max="5120" width="10.6640625" style="97"/>
    <col min="5121" max="5121" width="12.6640625" style="97" customWidth="1"/>
    <col min="5122" max="5376" width="10.6640625" style="97"/>
    <col min="5377" max="5377" width="12.6640625" style="97" customWidth="1"/>
    <col min="5378" max="5632" width="10.6640625" style="97"/>
    <col min="5633" max="5633" width="12.6640625" style="97" customWidth="1"/>
    <col min="5634" max="5888" width="10.6640625" style="97"/>
    <col min="5889" max="5889" width="12.6640625" style="97" customWidth="1"/>
    <col min="5890" max="6144" width="10.6640625" style="97"/>
    <col min="6145" max="6145" width="12.6640625" style="97" customWidth="1"/>
    <col min="6146" max="6400" width="10.6640625" style="97"/>
    <col min="6401" max="6401" width="12.6640625" style="97" customWidth="1"/>
    <col min="6402" max="6656" width="10.6640625" style="97"/>
    <col min="6657" max="6657" width="12.6640625" style="97" customWidth="1"/>
    <col min="6658" max="6912" width="10.6640625" style="97"/>
    <col min="6913" max="6913" width="12.6640625" style="97" customWidth="1"/>
    <col min="6914" max="7168" width="10.6640625" style="97"/>
    <col min="7169" max="7169" width="12.6640625" style="97" customWidth="1"/>
    <col min="7170" max="7424" width="10.6640625" style="97"/>
    <col min="7425" max="7425" width="12.6640625" style="97" customWidth="1"/>
    <col min="7426" max="7680" width="10.6640625" style="97"/>
    <col min="7681" max="7681" width="12.6640625" style="97" customWidth="1"/>
    <col min="7682" max="7936" width="10.6640625" style="97"/>
    <col min="7937" max="7937" width="12.6640625" style="97" customWidth="1"/>
    <col min="7938" max="8192" width="10.6640625" style="97"/>
    <col min="8193" max="8193" width="12.6640625" style="97" customWidth="1"/>
    <col min="8194" max="8448" width="10.6640625" style="97"/>
    <col min="8449" max="8449" width="12.6640625" style="97" customWidth="1"/>
    <col min="8450" max="8704" width="10.6640625" style="97"/>
    <col min="8705" max="8705" width="12.6640625" style="97" customWidth="1"/>
    <col min="8706" max="8960" width="10.6640625" style="97"/>
    <col min="8961" max="8961" width="12.6640625" style="97" customWidth="1"/>
    <col min="8962" max="9216" width="10.6640625" style="97"/>
    <col min="9217" max="9217" width="12.6640625" style="97" customWidth="1"/>
    <col min="9218" max="9472" width="10.6640625" style="97"/>
    <col min="9473" max="9473" width="12.6640625" style="97" customWidth="1"/>
    <col min="9474" max="9728" width="10.6640625" style="97"/>
    <col min="9729" max="9729" width="12.6640625" style="97" customWidth="1"/>
    <col min="9730" max="9984" width="10.6640625" style="97"/>
    <col min="9985" max="9985" width="12.6640625" style="97" customWidth="1"/>
    <col min="9986" max="10240" width="10.6640625" style="97"/>
    <col min="10241" max="10241" width="12.6640625" style="97" customWidth="1"/>
    <col min="10242" max="10496" width="10.6640625" style="97"/>
    <col min="10497" max="10497" width="12.6640625" style="97" customWidth="1"/>
    <col min="10498" max="10752" width="10.6640625" style="97"/>
    <col min="10753" max="10753" width="12.6640625" style="97" customWidth="1"/>
    <col min="10754" max="11008" width="10.6640625" style="97"/>
    <col min="11009" max="11009" width="12.6640625" style="97" customWidth="1"/>
    <col min="11010" max="11264" width="10.6640625" style="97"/>
    <col min="11265" max="11265" width="12.6640625" style="97" customWidth="1"/>
    <col min="11266" max="11520" width="10.6640625" style="97"/>
    <col min="11521" max="11521" width="12.6640625" style="97" customWidth="1"/>
    <col min="11522" max="11776" width="10.6640625" style="97"/>
    <col min="11777" max="11777" width="12.6640625" style="97" customWidth="1"/>
    <col min="11778" max="12032" width="10.6640625" style="97"/>
    <col min="12033" max="12033" width="12.6640625" style="97" customWidth="1"/>
    <col min="12034" max="12288" width="10.6640625" style="97"/>
    <col min="12289" max="12289" width="12.6640625" style="97" customWidth="1"/>
    <col min="12290" max="12544" width="10.6640625" style="97"/>
    <col min="12545" max="12545" width="12.6640625" style="97" customWidth="1"/>
    <col min="12546" max="12800" width="10.6640625" style="97"/>
    <col min="12801" max="12801" width="12.6640625" style="97" customWidth="1"/>
    <col min="12802" max="13056" width="10.6640625" style="97"/>
    <col min="13057" max="13057" width="12.6640625" style="97" customWidth="1"/>
    <col min="13058" max="13312" width="10.6640625" style="97"/>
    <col min="13313" max="13313" width="12.6640625" style="97" customWidth="1"/>
    <col min="13314" max="13568" width="10.6640625" style="97"/>
    <col min="13569" max="13569" width="12.6640625" style="97" customWidth="1"/>
    <col min="13570" max="13824" width="10.6640625" style="97"/>
    <col min="13825" max="13825" width="12.6640625" style="97" customWidth="1"/>
    <col min="13826" max="14080" width="10.6640625" style="97"/>
    <col min="14081" max="14081" width="12.6640625" style="97" customWidth="1"/>
    <col min="14082" max="14336" width="10.6640625" style="97"/>
    <col min="14337" max="14337" width="12.6640625" style="97" customWidth="1"/>
    <col min="14338" max="14592" width="10.6640625" style="97"/>
    <col min="14593" max="14593" width="12.6640625" style="97" customWidth="1"/>
    <col min="14594" max="14848" width="10.6640625" style="97"/>
    <col min="14849" max="14849" width="12.6640625" style="97" customWidth="1"/>
    <col min="14850" max="15104" width="10.6640625" style="97"/>
    <col min="15105" max="15105" width="12.6640625" style="97" customWidth="1"/>
    <col min="15106" max="15360" width="10.6640625" style="97"/>
    <col min="15361" max="15361" width="12.6640625" style="97" customWidth="1"/>
    <col min="15362" max="15616" width="10.6640625" style="97"/>
    <col min="15617" max="15617" width="12.6640625" style="97" customWidth="1"/>
    <col min="15618" max="15872" width="10.6640625" style="97"/>
    <col min="15873" max="15873" width="12.6640625" style="97" customWidth="1"/>
    <col min="15874" max="16128" width="10.6640625" style="97"/>
    <col min="16129" max="16129" width="12.6640625" style="97" customWidth="1"/>
    <col min="16130" max="16384" width="10.6640625" style="97"/>
  </cols>
  <sheetData>
    <row r="1" spans="1:14" ht="22.2" customHeight="1">
      <c r="A1" s="95" t="s">
        <v>0</v>
      </c>
      <c r="B1" s="96">
        <f>[23]Input!B1</f>
        <v>4</v>
      </c>
      <c r="C1" s="96" t="str">
        <f>[23]Input!C1</f>
        <v>2028-2029</v>
      </c>
    </row>
    <row r="2" spans="1:14" ht="15" customHeight="1">
      <c r="A2" s="98"/>
      <c r="B2" s="99" t="s">
        <v>2</v>
      </c>
      <c r="C2" s="100"/>
      <c r="D2" s="99" t="s">
        <v>3</v>
      </c>
      <c r="E2" s="101"/>
      <c r="F2" s="102" t="s">
        <v>115</v>
      </c>
    </row>
    <row r="3" spans="1:14" ht="15" customHeight="1">
      <c r="A3" s="103" t="s">
        <v>5</v>
      </c>
      <c r="B3" s="104">
        <f>[23]Input!B3</f>
        <v>106790.06352136409</v>
      </c>
      <c r="C3" s="105">
        <f>C4+C5</f>
        <v>1</v>
      </c>
      <c r="D3" s="106">
        <f>[23]Input!D3</f>
        <v>3407.1499999999996</v>
      </c>
      <c r="E3" s="105">
        <f>E4+E5</f>
        <v>0.99999999999999989</v>
      </c>
      <c r="F3" s="107" t="s">
        <v>6</v>
      </c>
      <c r="H3" s="108" t="s">
        <v>9</v>
      </c>
      <c r="I3" s="109">
        <v>0.45</v>
      </c>
      <c r="J3" s="110">
        <f>I3*B3</f>
        <v>48055.528584613843</v>
      </c>
      <c r="K3" s="111" t="s">
        <v>8</v>
      </c>
      <c r="L3" s="112">
        <f>L54+L57</f>
        <v>48055.528584613843</v>
      </c>
      <c r="M3" s="113">
        <f>L3/(L4+L3)</f>
        <v>0.45</v>
      </c>
    </row>
    <row r="4" spans="1:14" ht="15" customHeight="1">
      <c r="A4" s="114" t="s">
        <v>10</v>
      </c>
      <c r="B4" s="115">
        <f>[23]Input!B4</f>
        <v>91332.20115054147</v>
      </c>
      <c r="C4" s="116">
        <f>B4/B3</f>
        <v>0.85524999366883825</v>
      </c>
      <c r="D4" s="117">
        <f>[23]Input!D4</f>
        <v>3132.3899999999994</v>
      </c>
      <c r="E4" s="116">
        <f>D4/D3</f>
        <v>0.91935782105278596</v>
      </c>
      <c r="F4" s="118">
        <f>[23]Input!F4</f>
        <v>29.157353059657797</v>
      </c>
      <c r="H4" s="108" t="s">
        <v>11</v>
      </c>
      <c r="I4" s="109">
        <v>0.55000000000000004</v>
      </c>
      <c r="J4" s="110">
        <f>I4*B3</f>
        <v>58734.534936750257</v>
      </c>
      <c r="K4" s="111" t="s">
        <v>8</v>
      </c>
      <c r="L4" s="112">
        <f>L55+L58</f>
        <v>58734.534936750249</v>
      </c>
      <c r="M4" s="113">
        <f>L4/(L3+L4)</f>
        <v>0.54999999999999993</v>
      </c>
    </row>
    <row r="5" spans="1:14" ht="15" customHeight="1">
      <c r="A5" s="119" t="s">
        <v>12</v>
      </c>
      <c r="B5" s="120">
        <f>[23]Input!B5</f>
        <v>15457.862370822619</v>
      </c>
      <c r="C5" s="121">
        <f>B5/B3</f>
        <v>0.14475000633116175</v>
      </c>
      <c r="D5" s="122">
        <f>[23]Input!D5</f>
        <v>274.76000000000005</v>
      </c>
      <c r="E5" s="121">
        <f>D5/D3</f>
        <v>8.0642178947213969E-2</v>
      </c>
      <c r="F5" s="123">
        <f>[23]Input!F5</f>
        <v>56.259507828004864</v>
      </c>
    </row>
    <row r="6" spans="1:14" ht="15" customHeight="1">
      <c r="B6" s="124"/>
    </row>
    <row r="7" spans="1:14" ht="15" customHeight="1">
      <c r="A7" s="95" t="s">
        <v>116</v>
      </c>
      <c r="B7" s="104">
        <f>[23]Input!B7</f>
        <v>0</v>
      </c>
      <c r="C7" s="105">
        <f>[23]Input!C7</f>
        <v>1</v>
      </c>
      <c r="D7" s="106">
        <f>[23]Input!D7</f>
        <v>0</v>
      </c>
      <c r="E7" s="105">
        <f>[23]Input!E7</f>
        <v>1</v>
      </c>
      <c r="F7" s="125">
        <f>[23]Input!F7</f>
        <v>0</v>
      </c>
      <c r="G7" s="97" t="str">
        <f>[23]Input!G7</f>
        <v>(230 kV)</v>
      </c>
    </row>
    <row r="9" spans="1:14" ht="15" customHeight="1">
      <c r="A9" s="126" t="s">
        <v>117</v>
      </c>
      <c r="B9" s="127" t="s">
        <v>118</v>
      </c>
      <c r="C9" s="128" t="s">
        <v>119</v>
      </c>
      <c r="D9" s="128" t="s">
        <v>120</v>
      </c>
      <c r="E9" s="128" t="s">
        <v>121</v>
      </c>
      <c r="F9" s="128" t="s">
        <v>122</v>
      </c>
      <c r="G9" s="128" t="s">
        <v>123</v>
      </c>
      <c r="H9" s="129" t="s">
        <v>124</v>
      </c>
      <c r="I9" s="129" t="s">
        <v>125</v>
      </c>
      <c r="J9" s="129" t="s">
        <v>126</v>
      </c>
      <c r="K9" s="129" t="s">
        <v>127</v>
      </c>
      <c r="L9" s="129" t="s">
        <v>128</v>
      </c>
      <c r="M9" s="130" t="s">
        <v>129</v>
      </c>
    </row>
    <row r="10" spans="1:14" ht="15" customHeight="1">
      <c r="A10" s="131"/>
      <c r="B10" s="132" t="s">
        <v>130</v>
      </c>
      <c r="C10" s="133" t="s">
        <v>131</v>
      </c>
      <c r="D10" s="133" t="s">
        <v>132</v>
      </c>
      <c r="E10" s="133" t="s">
        <v>133</v>
      </c>
      <c r="F10" s="133" t="s">
        <v>134</v>
      </c>
      <c r="G10" s="133" t="s">
        <v>135</v>
      </c>
      <c r="H10" s="133" t="s">
        <v>136</v>
      </c>
      <c r="I10" s="133" t="s">
        <v>137</v>
      </c>
      <c r="J10" s="133" t="s">
        <v>138</v>
      </c>
      <c r="K10" s="133" t="s">
        <v>139</v>
      </c>
      <c r="L10" s="133" t="s">
        <v>140</v>
      </c>
      <c r="M10" s="134" t="s">
        <v>141</v>
      </c>
    </row>
    <row r="11" spans="1:14" ht="15" customHeight="1">
      <c r="A11" s="126" t="s">
        <v>142</v>
      </c>
      <c r="B11" s="127" t="s">
        <v>143</v>
      </c>
      <c r="C11" s="128" t="s">
        <v>143</v>
      </c>
      <c r="D11" s="128" t="s">
        <v>143</v>
      </c>
      <c r="E11" s="128" t="s">
        <v>143</v>
      </c>
      <c r="F11" s="128" t="s">
        <v>143</v>
      </c>
      <c r="G11" s="128" t="s">
        <v>143</v>
      </c>
      <c r="H11" s="129" t="s">
        <v>144</v>
      </c>
      <c r="I11" s="129" t="s">
        <v>144</v>
      </c>
      <c r="J11" s="129" t="s">
        <v>144</v>
      </c>
      <c r="K11" s="129" t="s">
        <v>144</v>
      </c>
      <c r="L11" s="129" t="s">
        <v>144</v>
      </c>
      <c r="M11" s="130" t="s">
        <v>143</v>
      </c>
    </row>
    <row r="12" spans="1:14" ht="15" customHeight="1">
      <c r="A12" s="135">
        <f>SUM(B12:M12)</f>
        <v>8760</v>
      </c>
      <c r="B12" s="136">
        <f>24*31</f>
        <v>744</v>
      </c>
      <c r="C12" s="137">
        <f>24*31</f>
        <v>744</v>
      </c>
      <c r="D12" s="137">
        <f>24*30</f>
        <v>720</v>
      </c>
      <c r="E12" s="137">
        <f>24*31</f>
        <v>744</v>
      </c>
      <c r="F12" s="137">
        <f>24*30</f>
        <v>720</v>
      </c>
      <c r="G12" s="137">
        <f>24*31</f>
        <v>744</v>
      </c>
      <c r="H12" s="137">
        <f>24*31</f>
        <v>744</v>
      </c>
      <c r="I12" s="137">
        <f>24*28</f>
        <v>672</v>
      </c>
      <c r="J12" s="137">
        <f>24*31</f>
        <v>744</v>
      </c>
      <c r="K12" s="137">
        <f>24*30</f>
        <v>720</v>
      </c>
      <c r="L12" s="137">
        <f>24*31</f>
        <v>744</v>
      </c>
      <c r="M12" s="138">
        <f>24*30</f>
        <v>720</v>
      </c>
      <c r="N12" s="139">
        <f>SUM(B12:M12)</f>
        <v>8760</v>
      </c>
    </row>
    <row r="13" spans="1:14" ht="15" customHeight="1">
      <c r="A13" s="140" t="s">
        <v>145</v>
      </c>
      <c r="B13" s="114">
        <f>[24]M01!$H$13</f>
        <v>744</v>
      </c>
      <c r="C13" s="97">
        <f>[24]M02!$H$13</f>
        <v>744</v>
      </c>
      <c r="D13" s="97">
        <f>[24]M03!$H$13</f>
        <v>720</v>
      </c>
      <c r="E13" s="97">
        <f>[24]M04!$H$13</f>
        <v>744</v>
      </c>
      <c r="F13" s="97">
        <f>[24]M05!$H$13</f>
        <v>720</v>
      </c>
      <c r="G13" s="97">
        <f>[24]M06!$H$13</f>
        <v>744</v>
      </c>
      <c r="H13" s="97">
        <f>[24]M07!$H$13</f>
        <v>744</v>
      </c>
      <c r="I13" s="97">
        <f>[24]M08!$H$13</f>
        <v>672</v>
      </c>
      <c r="J13" s="97">
        <f>[24]M09!$H$13</f>
        <v>744</v>
      </c>
      <c r="K13" s="97">
        <f>[24]M10!$H$13</f>
        <v>720</v>
      </c>
      <c r="L13" s="97">
        <f>[24]M11!$H$13</f>
        <v>744</v>
      </c>
      <c r="M13" s="141">
        <f>[24]M12!$H$13</f>
        <v>720</v>
      </c>
      <c r="N13" s="139">
        <f>SUM(B13:M13)</f>
        <v>8760</v>
      </c>
    </row>
    <row r="14" spans="1:14" ht="15" customHeight="1">
      <c r="A14" s="131" t="s">
        <v>146</v>
      </c>
      <c r="B14" s="142">
        <f>[24]M01!$I$13</f>
        <v>8.4931506849315067E-2</v>
      </c>
      <c r="C14" s="143">
        <f>[24]M02!$I$13</f>
        <v>8.4931506849315067E-2</v>
      </c>
      <c r="D14" s="143">
        <f>[24]M03!$I$13</f>
        <v>8.2191780821917804E-2</v>
      </c>
      <c r="E14" s="143">
        <f>[24]M04!$I$13</f>
        <v>8.4931506849315067E-2</v>
      </c>
      <c r="F14" s="143">
        <f>[24]M05!$I$13</f>
        <v>8.2191780821917804E-2</v>
      </c>
      <c r="G14" s="143">
        <f>[24]M06!$I$13</f>
        <v>8.4931506849315067E-2</v>
      </c>
      <c r="H14" s="143">
        <f>[24]M07!$I$13</f>
        <v>8.493150684931508E-2</v>
      </c>
      <c r="I14" s="143">
        <f>[24]M08!$I$13</f>
        <v>7.6712328767123292E-2</v>
      </c>
      <c r="J14" s="143">
        <f>[24]M09!$I$13</f>
        <v>8.4931506849315067E-2</v>
      </c>
      <c r="K14" s="143">
        <f>[24]M10!$I$13</f>
        <v>8.2191780821917804E-2</v>
      </c>
      <c r="L14" s="143">
        <f>[24]M11!$I$13</f>
        <v>8.4931506849315067E-2</v>
      </c>
      <c r="M14" s="144">
        <f>[24]M12!$I$13</f>
        <v>8.2191780821917804E-2</v>
      </c>
      <c r="N14" s="145">
        <f>SUM(B14:M14)</f>
        <v>0.99999999999999989</v>
      </c>
    </row>
    <row r="16" spans="1:14" ht="20.25" customHeight="1">
      <c r="A16" s="146" t="s">
        <v>25</v>
      </c>
      <c r="B16" s="147">
        <v>1</v>
      </c>
      <c r="C16" s="147">
        <v>2</v>
      </c>
      <c r="D16" s="147">
        <v>3</v>
      </c>
      <c r="E16" s="147">
        <v>4</v>
      </c>
      <c r="F16" s="147">
        <v>5</v>
      </c>
      <c r="G16" s="147">
        <v>6</v>
      </c>
      <c r="H16" s="147">
        <v>7</v>
      </c>
      <c r="I16" s="147">
        <v>8</v>
      </c>
      <c r="J16" s="147">
        <v>9</v>
      </c>
      <c r="K16" s="148">
        <v>10</v>
      </c>
      <c r="L16" s="149" t="s">
        <v>20</v>
      </c>
    </row>
    <row r="17" spans="1:14" ht="25.2" customHeight="1">
      <c r="A17" s="150" t="s">
        <v>147</v>
      </c>
      <c r="B17" s="151" t="s">
        <v>148</v>
      </c>
      <c r="C17" s="151" t="s">
        <v>149</v>
      </c>
      <c r="D17" s="151" t="s">
        <v>150</v>
      </c>
      <c r="E17" s="151" t="s">
        <v>151</v>
      </c>
      <c r="F17" s="151" t="s">
        <v>152</v>
      </c>
      <c r="G17" s="151" t="s">
        <v>153</v>
      </c>
      <c r="H17" s="151" t="s">
        <v>154</v>
      </c>
      <c r="I17" s="151" t="s">
        <v>155</v>
      </c>
      <c r="J17" s="151" t="s">
        <v>156</v>
      </c>
      <c r="K17" s="152" t="s">
        <v>157</v>
      </c>
      <c r="L17" s="153"/>
    </row>
    <row r="18" spans="1:14" ht="20.25" customHeight="1">
      <c r="A18" s="154" t="s">
        <v>158</v>
      </c>
      <c r="L18" s="155"/>
    </row>
    <row r="19" spans="1:14" ht="15" customHeight="1">
      <c r="A19" s="126" t="s">
        <v>159</v>
      </c>
      <c r="B19" s="156">
        <f>[23]Input!B11</f>
        <v>812.31</v>
      </c>
      <c r="C19" s="157">
        <f>[23]Input!C11</f>
        <v>730.88000000000011</v>
      </c>
      <c r="D19" s="157">
        <f>[23]Input!D11</f>
        <v>178.73000000000005</v>
      </c>
      <c r="E19" s="157">
        <f>[23]Input!E11</f>
        <v>654.92099999999982</v>
      </c>
      <c r="F19" s="157">
        <f>[23]Input!F11</f>
        <v>1646.0099999999998</v>
      </c>
      <c r="G19" s="157">
        <f>[23]Input!G11</f>
        <v>321.21000000000004</v>
      </c>
      <c r="H19" s="157">
        <f>[23]Input!H11</f>
        <v>154.33000000000001</v>
      </c>
      <c r="I19" s="157">
        <f>[23]Input!I11</f>
        <v>260</v>
      </c>
      <c r="J19" s="157">
        <f>[23]Input!J11</f>
        <v>1565.45</v>
      </c>
      <c r="K19" s="158">
        <f>[23]Input!K11</f>
        <v>252.17</v>
      </c>
      <c r="L19" s="159">
        <f>SUM(B19:K19)</f>
        <v>6576.0109999999995</v>
      </c>
    </row>
    <row r="20" spans="1:14" ht="15" customHeight="1">
      <c r="A20" s="131" t="s">
        <v>22</v>
      </c>
      <c r="B20" s="160">
        <f>[23]Input!B12</f>
        <v>24.448816417509502</v>
      </c>
      <c r="C20" s="161">
        <f>[23]Input!C12</f>
        <v>0</v>
      </c>
      <c r="D20" s="161">
        <f>[23]Input!D12</f>
        <v>4.6836847075140575E-2</v>
      </c>
      <c r="E20" s="161">
        <f>[23]Input!E12</f>
        <v>158.78765378042561</v>
      </c>
      <c r="F20" s="161">
        <f>[23]Input!F12</f>
        <v>351.79028248207129</v>
      </c>
      <c r="G20" s="161">
        <f>[23]Input!G12</f>
        <v>240.35441692705891</v>
      </c>
      <c r="H20" s="161">
        <f>[23]Input!H12</f>
        <v>1254.8037773694064</v>
      </c>
      <c r="I20" s="161">
        <f>[23]Input!I12</f>
        <v>1.35</v>
      </c>
      <c r="J20" s="161">
        <f>[23]Input!J12</f>
        <v>142.87444388279732</v>
      </c>
      <c r="K20" s="162">
        <f>[23]Input!K12</f>
        <v>60.815354535977733</v>
      </c>
      <c r="L20" s="163">
        <f>SUM(B20:K20)</f>
        <v>2235.271582242322</v>
      </c>
    </row>
    <row r="21" spans="1:14" ht="20.25" customHeight="1">
      <c r="A21" s="154" t="s">
        <v>160</v>
      </c>
      <c r="L21" s="155"/>
    </row>
    <row r="22" spans="1:14" ht="15" customHeight="1">
      <c r="A22" s="126" t="s">
        <v>161</v>
      </c>
      <c r="B22" s="156">
        <f>SUM([24]M01!B21*$B$14,[24]M02!B21*$C$14,[24]M03!B21*$D$14,[24]M04!B21*$E$14,[24]M05!B21*$F$14,[24]M06!B21*$G$14,[24]M07!B21*$H$14,[24]M08!B21*$I$14,[24]M09!B21*$J$14,[24]M10!B21*$K$14,[24]M11!B21*$L$14,[24]M12!B21*$M$14)/$N$14</f>
        <v>144.01965182648402</v>
      </c>
      <c r="C22" s="157">
        <f>SUM([24]M01!C21*$B$14,[24]M02!C21*$C$14,[24]M03!C21*$D$14,[24]M04!C21*$E$14,[24]M05!C21*$F$14,[24]M06!C21*$G$14,[24]M07!C21*$H$14,[24]M08!C21*$I$14,[24]M09!C21*$J$14,[24]M10!C21*$K$14,[24]M11!C21*$L$14,[24]M12!C21*$M$14)/$N$14</f>
        <v>159.95365296803655</v>
      </c>
      <c r="D22" s="157">
        <f>SUM([24]M01!D21*$B$14,[24]M02!D21*$C$14,[24]M03!D21*$D$14,[24]M04!D21*$E$14,[24]M05!D21*$F$14,[24]M06!D21*$G$14,[24]M07!D21*$H$14,[24]M08!D21*$I$14,[24]M09!D21*$J$14,[24]M10!D21*$K$14,[24]M11!D21*$L$14,[24]M12!D21*$M$14)/$N$14</f>
        <v>78.993173515981752</v>
      </c>
      <c r="E22" s="157">
        <f>SUM([24]M01!E21*$B$14,[24]M02!E21*$C$14,[24]M03!E21*$D$14,[24]M04!E21*$E$14,[24]M05!E21*$F$14,[24]M06!E21*$G$14,[24]M07!E21*$H$14,[24]M08!E21*$I$14,[24]M09!E21*$J$14,[24]M10!E21*$K$14,[24]M11!E21*$L$14,[24]M12!E21*$M$14)/$N$14</f>
        <v>397.59746575342479</v>
      </c>
      <c r="F22" s="157">
        <f>SUM([24]M01!F21*$B$14,[24]M02!F21*$C$14,[24]M03!F21*$D$14,[24]M04!F21*$E$14,[24]M05!F21*$F$14,[24]M06!F21*$G$14,[24]M07!F21*$H$14,[24]M08!F21*$I$14,[24]M09!F21*$J$14,[24]M10!F21*$K$14,[24]M11!F21*$L$14,[24]M12!F21*$M$14)/$N$14</f>
        <v>325.11114726027404</v>
      </c>
      <c r="G22" s="157">
        <f>SUM([24]M01!G21*$B$14,[24]M02!G21*$C$14,[24]M03!G21*$D$14,[24]M04!G21*$E$14,[24]M05!G21*$F$14,[24]M06!G21*$G$14,[24]M07!G21*$H$14,[24]M08!G21*$I$14,[24]M09!G21*$J$14,[24]M10!G21*$K$14,[24]M11!G21*$L$14,[24]M12!G21*$M$14)/$N$14</f>
        <v>183.49996575342465</v>
      </c>
      <c r="H22" s="157">
        <f>SUM([24]M01!H21*$B$14,[24]M02!H21*$C$14,[24]M03!H21*$D$14,[24]M04!H21*$E$14,[24]M05!H21*$F$14,[24]M06!H21*$G$14,[24]M07!H21*$H$14,[24]M08!H21*$I$14,[24]M09!H21*$J$14,[24]M10!H21*$K$14,[24]M11!H21*$L$14,[24]M12!H21*$M$14)/$N$14</f>
        <v>1.3244977168949774</v>
      </c>
      <c r="I22" s="157">
        <f>SUM([24]M01!I21*$B$14,[24]M02!I21*$C$14,[24]M03!I21*$D$14,[24]M04!I21*$E$14,[24]M05!I21*$F$14,[24]M06!I21*$G$14,[24]M07!I21*$H$14,[24]M08!I21*$I$14,[24]M09!I21*$J$14,[24]M10!I21*$K$14,[24]M11!I21*$L$14,[24]M12!I21*$M$14)/$N$14</f>
        <v>38.475393835616437</v>
      </c>
      <c r="J22" s="157">
        <f>SUM([24]M01!J21*$B$14,[24]M02!J21*$C$14,[24]M03!J21*$D$14,[24]M04!J21*$E$14,[24]M05!J21*$F$14,[24]M06!J21*$G$14,[24]M07!J21*$H$14,[24]M08!J21*$I$14,[24]M09!J21*$J$14,[24]M10!J21*$K$14,[24]M11!J21*$L$14,[24]M12!J21*$M$14)/$N$14</f>
        <v>133.81565068493154</v>
      </c>
      <c r="K22" s="158">
        <f>SUM([24]M01!K21*$B$14,[24]M02!K21*$C$14,[24]M03!K21*$D$14,[24]M04!K21*$E$14,[24]M05!K21*$F$14,[24]M06!K21*$G$14,[24]M07!K21*$H$14,[24]M08!K21*$I$14,[24]M09!K21*$J$14,[24]M10!K21*$K$14,[24]M11!K21*$L$14,[24]M12!K21*$M$14)/$N$14</f>
        <v>127.58067351598174</v>
      </c>
      <c r="L22" s="159">
        <f>SUM(B22:K22)</f>
        <v>1590.3712728310506</v>
      </c>
    </row>
    <row r="23" spans="1:14" ht="15" customHeight="1">
      <c r="A23" s="131" t="s">
        <v>162</v>
      </c>
      <c r="B23" s="160">
        <f>SUM([24]M01!B22*$B$14,[24]M02!B22*$C$14,[24]M03!B22*$D$14,[24]M04!B22*$E$14,[24]M05!B22*$F$14,[24]M06!B22*$G$14,[24]M07!B22*$H$14,[24]M08!B22*$I$14,[24]M09!B22*$J$14,[24]M10!B22*$K$14,[24]M11!B22*$L$14,[24]M12!B22*$M$14)/$N$14</f>
        <v>10.209480593607307</v>
      </c>
      <c r="C23" s="161">
        <f>SUM([24]M01!C22*$B$14,[24]M02!C22*$C$14,[24]M03!C22*$D$14,[24]M04!C22*$E$14,[24]M05!C22*$F$14,[24]M06!C22*$G$14,[24]M07!C22*$H$14,[24]M08!C22*$I$14,[24]M09!C22*$J$14,[24]M10!C22*$K$14,[24]M11!C22*$L$14,[24]M12!C22*$M$14)/$N$14</f>
        <v>0</v>
      </c>
      <c r="D23" s="161">
        <f>SUM([24]M01!D22*$B$14,[24]M02!D22*$C$14,[24]M03!D22*$D$14,[24]M04!D22*$E$14,[24]M05!D22*$F$14,[24]M06!D22*$G$14,[24]M07!D22*$H$14,[24]M08!D22*$I$14,[24]M09!D22*$J$14,[24]M10!D22*$K$14,[24]M11!D22*$L$14,[24]M12!D22*$M$14)/$N$14</f>
        <v>1.7264155251141553</v>
      </c>
      <c r="E23" s="161">
        <f>SUM([24]M01!E22*$B$14,[24]M02!E22*$C$14,[24]M03!E22*$D$14,[24]M04!E22*$E$14,[24]M05!E22*$F$14,[24]M06!E22*$G$14,[24]M07!E22*$H$14,[24]M08!E22*$I$14,[24]M09!E22*$J$14,[24]M10!E22*$K$14,[24]M11!E22*$L$14,[24]M12!E22*$M$14)/$N$14</f>
        <v>150.06702625570779</v>
      </c>
      <c r="F23" s="161">
        <f>SUM([24]M01!F22*$B$14,[24]M02!F22*$C$14,[24]M03!F22*$D$14,[24]M04!F22*$E$14,[24]M05!F22*$F$14,[24]M06!F22*$G$14,[24]M07!F22*$H$14,[24]M08!F22*$I$14,[24]M09!F22*$J$14,[24]M10!F22*$K$14,[24]M11!F22*$L$14,[24]M12!F22*$M$14)/$N$14</f>
        <v>74.054063926940657</v>
      </c>
      <c r="G23" s="161">
        <f>SUM([24]M01!G22*$B$14,[24]M02!G22*$C$14,[24]M03!G22*$D$14,[24]M04!G22*$E$14,[24]M05!G22*$F$14,[24]M06!G22*$G$14,[24]M07!G22*$H$14,[24]M08!G22*$I$14,[24]M09!G22*$J$14,[24]M10!G22*$K$14,[24]M11!G22*$L$14,[24]M12!G22*$M$14)/$N$14</f>
        <v>164.90206050228315</v>
      </c>
      <c r="H23" s="161">
        <f>SUM([24]M01!H22*$B$14,[24]M02!H22*$C$14,[24]M03!H22*$D$14,[24]M04!H22*$E$14,[24]M05!H22*$F$14,[24]M06!H22*$G$14,[24]M07!H22*$H$14,[24]M08!H22*$I$14,[24]M09!H22*$J$14,[24]M10!H22*$K$14,[24]M11!H22*$L$14,[24]M12!H22*$M$14)/$N$14</f>
        <v>1037.8621917808221</v>
      </c>
      <c r="I23" s="161">
        <f>SUM([24]M01!I22*$B$14,[24]M02!I22*$C$14,[24]M03!I22*$D$14,[24]M04!I22*$E$14,[24]M05!I22*$F$14,[24]M06!I22*$G$14,[24]M07!I22*$H$14,[24]M08!I22*$I$14,[24]M09!I22*$J$14,[24]M10!I22*$K$14,[24]M11!I22*$L$14,[24]M12!I22*$M$14)/$N$14</f>
        <v>2.9134474885844752</v>
      </c>
      <c r="J23" s="161">
        <f>SUM([24]M01!J22*$B$14,[24]M02!J22*$C$14,[24]M03!J22*$D$14,[24]M04!J22*$E$14,[24]M05!J22*$F$14,[24]M06!J22*$G$14,[24]M07!J22*$H$14,[24]M08!J22*$I$14,[24]M09!J22*$J$14,[24]M10!J22*$K$14,[24]M11!J22*$L$14,[24]M12!J22*$M$14)/$N$14</f>
        <v>137.36246575342469</v>
      </c>
      <c r="K23" s="162">
        <f>SUM([24]M01!K22*$B$14,[24]M02!K22*$C$14,[24]M03!K22*$D$14,[24]M04!K22*$E$14,[24]M05!K22*$F$14,[24]M06!K22*$G$14,[24]M07!K22*$H$14,[24]M08!K22*$I$14,[24]M09!K22*$J$14,[24]M10!K22*$K$14,[24]M11!K22*$L$14,[24]M12!K22*$M$14)/$N$14</f>
        <v>11.071078767123291</v>
      </c>
      <c r="L23" s="163">
        <f>SUM(B23:K23)</f>
        <v>1590.1682305936076</v>
      </c>
    </row>
    <row r="24" spans="1:14" ht="20.25" customHeight="1">
      <c r="A24" s="154" t="s">
        <v>163</v>
      </c>
      <c r="B24" s="38"/>
      <c r="C24" s="38"/>
      <c r="D24" s="38"/>
      <c r="E24" s="38"/>
      <c r="F24" s="38"/>
      <c r="G24" s="38"/>
      <c r="H24" s="38"/>
      <c r="I24" s="38"/>
      <c r="J24" s="38"/>
      <c r="K24" s="38"/>
      <c r="L24" s="155"/>
    </row>
    <row r="25" spans="1:14" ht="15" customHeight="1">
      <c r="A25" s="126" t="s">
        <v>164</v>
      </c>
      <c r="B25" s="156">
        <f>SUM([24]M01!B24,[24]M02!B24,[24]M03!B24,[24]M04!B24,[24]M05!B24,[24]M06!B24,[24]M07!B24,[24]M08!B24,[24]M09!B24,[24]M10!B24,[24]M11!B24,[24]M12!B24)</f>
        <v>1261.6121500000002</v>
      </c>
      <c r="C25" s="157">
        <f>SUM([24]M01!C24,[24]M02!C24,[24]M03!C24,[24]M04!C24,[24]M05!C24,[24]M06!C24,[24]M07!C24,[24]M08!C24,[24]M09!C24,[24]M10!C24,[24]M11!C24,[24]M12!C24)</f>
        <v>1401.194</v>
      </c>
      <c r="D25" s="157">
        <f>SUM([24]M01!D24,[24]M02!D24,[24]M03!D24,[24]M04!D24,[24]M05!D24,[24]M06!D24,[24]M07!D24,[24]M08!D24,[24]M09!D24,[24]M10!D24,[24]M11!D24,[24]M12!D24)</f>
        <v>691.98019999999997</v>
      </c>
      <c r="E25" s="157">
        <f>SUM([24]M01!E24,[24]M02!E24,[24]M03!E24,[24]M04!E24,[24]M05!E24,[24]M06!E24,[24]M07!E24,[24]M08!E24,[24]M09!E24,[24]M10!E24,[24]M11!E24,[24]M12!E24)</f>
        <v>3482.9538000000007</v>
      </c>
      <c r="F25" s="157">
        <f>SUM([24]M01!F24,[24]M02!F24,[24]M03!F24,[24]M04!F24,[24]M05!F24,[24]M06!F24,[24]M07!F24,[24]M08!F24,[24]M09!F24,[24]M10!F24,[24]M11!F24,[24]M12!F24)</f>
        <v>2847.9736500000004</v>
      </c>
      <c r="G25" s="157">
        <f>SUM([24]M01!G24,[24]M02!G24,[24]M03!G24,[24]M04!G24,[24]M05!G24,[24]M06!G24,[24]M07!G24,[24]M08!G24,[24]M09!G24,[24]M10!G24,[24]M11!G24,[24]M12!G24)</f>
        <v>1607.4596999999999</v>
      </c>
      <c r="H25" s="157">
        <f>SUM([24]M01!H24,[24]M02!H24,[24]M03!H24,[24]M04!H24,[24]M05!H24,[24]M06!H24,[24]M07!H24,[24]M08!H24,[24]M09!H24,[24]M10!H24,[24]M11!H24,[24]M12!H24)</f>
        <v>11.602600000000001</v>
      </c>
      <c r="I25" s="157">
        <f>SUM([24]M01!I24,[24]M02!I24,[24]M03!I24,[24]M04!I24,[24]M05!I24,[24]M06!I24,[24]M07!I24,[24]M08!I24,[24]M09!I24,[24]M10!I24,[24]M11!I24,[24]M12!I24)</f>
        <v>337.04444999999998</v>
      </c>
      <c r="J25" s="157">
        <f>SUM([24]M01!J24,[24]M02!J24,[24]M03!J24,[24]M04!J24,[24]M05!J24,[24]M06!J24,[24]M07!J24,[24]M08!J24,[24]M09!J24,[24]M10!J24,[24]M11!J24,[24]M12!J24)</f>
        <v>1172.2250999999999</v>
      </c>
      <c r="K25" s="158">
        <f>SUM([24]M01!K24,[24]M02!K24,[24]M03!K24,[24]M04!K24,[24]M05!K24,[24]M06!K24,[24]M07!K24,[24]M08!K24,[24]M09!K24,[24]M10!K24,[24]M11!K24,[24]M12!K24)</f>
        <v>1117.6067</v>
      </c>
      <c r="L25" s="159">
        <f>SUM(B25:K25)</f>
        <v>13931.65235</v>
      </c>
    </row>
    <row r="26" spans="1:14" ht="15" customHeight="1">
      <c r="A26" s="131" t="s">
        <v>165</v>
      </c>
      <c r="B26" s="160">
        <f>SUM([24]M01!B25,[24]M02!B25,[24]M03!B25,[24]M04!B25,[24]M05!B25,[24]M06!B25,[24]M07!B25,[24]M08!B25,[24]M09!B25,[24]M10!B25,[24]M11!B25,[24]M12!B25)</f>
        <v>89.435050000000018</v>
      </c>
      <c r="C26" s="161">
        <f>SUM([24]M01!C25,[24]M02!C25,[24]M03!C25,[24]M04!C25,[24]M05!C25,[24]M06!C25,[24]M07!C25,[24]M08!C25,[24]M09!C25,[24]M10!C25,[24]M11!C25,[24]M12!C25)</f>
        <v>0</v>
      </c>
      <c r="D26" s="161">
        <f>SUM([24]M01!D25,[24]M02!D25,[24]M03!D25,[24]M04!D25,[24]M05!D25,[24]M06!D25,[24]M07!D25,[24]M08!D25,[24]M09!D25,[24]M10!D25,[24]M11!D25,[24]M12!D25)</f>
        <v>15.123399999999998</v>
      </c>
      <c r="E26" s="161">
        <f>SUM([24]M01!E25,[24]M02!E25,[24]M03!E25,[24]M04!E25,[24]M05!E25,[24]M06!E25,[24]M07!E25,[24]M08!E25,[24]M09!E25,[24]M10!E25,[24]M11!E25,[24]M12!E25)</f>
        <v>1314.5871499999998</v>
      </c>
      <c r="F26" s="161">
        <f>SUM([24]M01!F25,[24]M02!F25,[24]M03!F25,[24]M04!F25,[24]M05!F25,[24]M06!F25,[24]M07!F25,[24]M08!F25,[24]M09!F25,[24]M10!F25,[24]M11!F25,[24]M12!F25)</f>
        <v>648.71359999999993</v>
      </c>
      <c r="G26" s="161">
        <f>SUM([24]M01!G25,[24]M02!G25,[24]M03!G25,[24]M04!G25,[24]M05!G25,[24]M06!G25,[24]M07!G25,[24]M08!G25,[24]M09!G25,[24]M10!G25,[24]M11!G25,[24]M12!G25)</f>
        <v>1444.5420499999998</v>
      </c>
      <c r="H26" s="161">
        <f>SUM([24]M01!H25,[24]M02!H25,[24]M03!H25,[24]M04!H25,[24]M05!H25,[24]M06!H25,[24]M07!H25,[24]M08!H25,[24]M09!H25,[24]M10!H25,[24]M11!H25,[24]M12!H25)</f>
        <v>9091.6727999999985</v>
      </c>
      <c r="I26" s="161">
        <f>SUM([24]M01!I25,[24]M02!I25,[24]M03!I25,[24]M04!I25,[24]M05!I25,[24]M06!I25,[24]M07!I25,[24]M08!I25,[24]M09!I25,[24]M10!I25,[24]M11!I25,[24]M12!I25)</f>
        <v>25.521800000000006</v>
      </c>
      <c r="J26" s="161">
        <f>SUM([24]M01!J25,[24]M02!J25,[24]M03!J25,[24]M04!J25,[24]M05!J25,[24]M06!J25,[24]M07!J25,[24]M08!J25,[24]M09!J25,[24]M10!J25,[24]M11!J25,[24]M12!J25)</f>
        <v>1203.2952</v>
      </c>
      <c r="K26" s="162">
        <f>SUM([24]M01!K25,[24]M02!K25,[24]M03!K25,[24]M04!K25,[24]M05!K25,[24]M06!K25,[24]M07!K25,[24]M08!K25,[24]M09!K25,[24]M10!K25,[24]M11!K25,[24]M12!K25)</f>
        <v>96.982650000000007</v>
      </c>
      <c r="L26" s="163">
        <f>SUM(B26:K26)</f>
        <v>13929.8737</v>
      </c>
    </row>
    <row r="27" spans="1:14" ht="9.9" customHeight="1">
      <c r="B27" s="164"/>
      <c r="C27" s="164"/>
      <c r="D27" s="164"/>
      <c r="E27" s="164"/>
      <c r="F27" s="164"/>
      <c r="G27" s="164"/>
      <c r="H27" s="164"/>
      <c r="I27" s="164"/>
      <c r="J27" s="164"/>
      <c r="K27" s="164"/>
      <c r="L27" s="165"/>
      <c r="N27" s="166"/>
    </row>
    <row r="28" spans="1:14" ht="20.25" customHeight="1">
      <c r="A28" s="154" t="s">
        <v>166</v>
      </c>
      <c r="L28" s="155"/>
      <c r="N28" s="166"/>
    </row>
    <row r="29" spans="1:14" ht="15" customHeight="1">
      <c r="A29" s="167" t="s">
        <v>110</v>
      </c>
      <c r="B29" s="168">
        <f>SUM([24]M01!B27*$B$14,[24]M02!B27*$C$14,[24]M03!B27*$D$14,[24]M04!B27*$E$14,[24]M05!B27*$F$14,[24]M06!B27*$G$14,[24]M07!B27*$H$14,[24]M08!B27*$I$14,[24]M09!B27*$J$14,[24]M10!B27*$K$14,[24]M11!B27*$L$14,[24]M12!B27*$M$14)/$N$14</f>
        <v>2.1633758054080143</v>
      </c>
      <c r="C29" s="169">
        <f>SUM([24]M01!C27*$B$14,[24]M02!C27*$C$14,[24]M03!C27*$D$14,[24]M04!C27*$E$14,[24]M05!C27*$F$14,[24]M06!C27*$G$14,[24]M07!C27*$H$14,[24]M08!C27*$I$14,[24]M09!C27*$J$14,[24]M10!C27*$K$14,[24]M11!C27*$L$14,[24]M12!C27*$M$14)/$N$14</f>
        <v>2.5464837608326003</v>
      </c>
      <c r="D29" s="169">
        <f>SUM([24]M01!D27*$B$14,[24]M02!D27*$C$14,[24]M03!D27*$D$14,[24]M04!D27*$E$14,[24]M05!D27*$F$14,[24]M06!D27*$G$14,[24]M07!D27*$H$14,[24]M08!D27*$I$14,[24]M09!D27*$J$14,[24]M10!D27*$K$14,[24]M11!D27*$L$14,[24]M12!D27*$M$14)/$N$14</f>
        <v>2.0507528774470822</v>
      </c>
      <c r="E29" s="169">
        <f>SUM([24]M01!E27*$B$14,[24]M02!E27*$C$14,[24]M03!E27*$D$14,[24]M04!E27*$E$14,[24]M05!E27*$F$14,[24]M06!E27*$G$14,[24]M07!E27*$H$14,[24]M08!E27*$I$14,[24]M09!E27*$J$14,[24]M10!E27*$K$14,[24]M11!E27*$L$14,[24]M12!E27*$M$14)/$N$14</f>
        <v>1.8518921233715242</v>
      </c>
      <c r="F29" s="169">
        <f>SUM([24]M01!F27*$B$14,[24]M02!F27*$C$14,[24]M03!F27*$D$14,[24]M04!F27*$E$14,[24]M05!F27*$F$14,[24]M06!F27*$G$14,[24]M07!F27*$H$14,[24]M08!F27*$I$14,[24]M09!F27*$J$14,[24]M10!F27*$K$14,[24]M11!F27*$L$14,[24]M12!F27*$M$14)/$N$14</f>
        <v>0.73450590082344913</v>
      </c>
      <c r="G29" s="169">
        <f>SUM([24]M01!G27*$B$14,[24]M02!G27*$C$14,[24]M03!G27*$D$14,[24]M04!G27*$E$14,[24]M05!G27*$F$14,[24]M06!G27*$G$14,[24]M07!G27*$H$14,[24]M08!G27*$I$14,[24]M09!G27*$J$14,[24]M10!G27*$K$14,[24]M11!G27*$L$14,[24]M12!G27*$M$14)/$N$14</f>
        <v>0.77935849312557826</v>
      </c>
      <c r="H29" s="169">
        <f>SUM([24]M01!H27*$B$14,[24]M02!H27*$C$14,[24]M03!H27*$D$14,[24]M04!H27*$E$14,[24]M05!H27*$F$14,[24]M06!H27*$G$14,[24]M07!H27*$H$14,[24]M08!H27*$I$14,[24]M09!H27*$J$14,[24]M10!H27*$K$14,[24]M11!H27*$L$14,[24]M12!H27*$M$14)/$N$14</f>
        <v>4.7472309370014155E-3</v>
      </c>
      <c r="I29" s="169">
        <f>SUM([24]M01!I27*$B$14,[24]M02!I27*$C$14,[24]M03!I27*$D$14,[24]M04!I27*$E$14,[24]M05!I27*$F$14,[24]M06!I27*$G$14,[24]M07!I27*$H$14,[24]M08!I27*$I$14,[24]M09!I27*$J$14,[24]M10!I27*$K$14,[24]M11!I27*$L$14,[24]M12!I27*$M$14)/$N$14</f>
        <v>0.33084609452377345</v>
      </c>
      <c r="J29" s="169">
        <f>SUM([24]M01!J27*$B$14,[24]M02!J27*$C$14,[24]M03!J27*$D$14,[24]M04!J27*$E$14,[24]M05!J27*$F$14,[24]M06!J27*$G$14,[24]M07!J27*$H$14,[24]M08!J27*$I$14,[24]M09!J27*$J$14,[24]M10!J27*$K$14,[24]M11!J27*$L$14,[24]M12!J27*$M$14)/$N$14</f>
        <v>0.83639660725348741</v>
      </c>
      <c r="K29" s="170">
        <f>SUM([24]M01!K27*$B$14,[24]M02!K27*$C$14,[24]M03!K27*$D$14,[24]M04!K27*$E$14,[24]M05!K27*$F$14,[24]M06!K27*$G$14,[24]M07!K27*$H$14,[24]M08!K27*$I$14,[24]M09!K27*$J$14,[24]M10!K27*$K$14,[24]M11!K27*$L$14,[24]M12!K27*$M$14)/$N$14</f>
        <v>3.472922147271869</v>
      </c>
      <c r="L29" s="155"/>
      <c r="N29" s="166"/>
    </row>
    <row r="30" spans="1:14" ht="15" customHeight="1">
      <c r="A30" s="171" t="s">
        <v>167</v>
      </c>
      <c r="B30" s="172">
        <f>SUM([24]M01!B28*$B$14,[24]M02!B28*$C$14,[24]M03!B28*$D$14,[24]M04!B28*$E$14,[24]M05!B28*$F$14,[24]M06!B28*$G$14,[24]M07!B28*$H$14,[24]M08!B28*$I$14,[24]M09!B28*$J$14,[24]M10!B28*$K$14,[24]M11!B28*$L$14,[24]M12!B28*$M$14)/$N$14</f>
        <v>5.14409387343888E-3</v>
      </c>
      <c r="C30" s="173">
        <f>SUM([24]M01!C28*$B$14,[24]M02!C28*$C$14,[24]M03!C28*$D$14,[24]M04!C28*$E$14,[24]M05!C28*$F$14,[24]M06!C28*$G$14,[24]M07!C28*$H$14,[24]M08!C28*$I$14,[24]M09!C28*$J$14,[24]M10!C28*$K$14,[24]M11!C28*$L$14,[24]M12!C28*$M$14)/$N$14</f>
        <v>0</v>
      </c>
      <c r="D30" s="173">
        <f>SUM([24]M01!D28*$B$14,[24]M02!D28*$C$14,[24]M03!D28*$D$14,[24]M04!D28*$E$14,[24]M05!D28*$F$14,[24]M06!D28*$G$14,[24]M07!D28*$H$14,[24]M08!D28*$I$14,[24]M09!D28*$J$14,[24]M10!D28*$K$14,[24]M11!D28*$L$14,[24]M12!D28*$M$14)/$N$14</f>
        <v>0.72760715707557588</v>
      </c>
      <c r="E30" s="173">
        <f>SUM([24]M01!E28*$B$14,[24]M02!E28*$C$14,[24]M03!E28*$D$14,[24]M04!E28*$E$14,[24]M05!E28*$F$14,[24]M06!E28*$G$14,[24]M07!E28*$H$14,[24]M08!E28*$I$14,[24]M09!E28*$J$14,[24]M10!E28*$K$14,[24]M11!E28*$L$14,[24]M12!E28*$M$14)/$N$14</f>
        <v>1.2550857229838015</v>
      </c>
      <c r="F30" s="173">
        <f>SUM([24]M01!F28*$B$14,[24]M02!F28*$C$14,[24]M03!F28*$D$14,[24]M04!F28*$E$14,[24]M05!F28*$F$14,[24]M06!F28*$G$14,[24]M07!F28*$H$14,[24]M08!F28*$I$14,[24]M09!F28*$J$14,[24]M10!F28*$K$14,[24]M11!F28*$L$14,[24]M12!F28*$M$14)/$N$14</f>
        <v>2.0588149940700982</v>
      </c>
      <c r="G30" s="173">
        <f>SUM([24]M01!G28*$B$14,[24]M02!G28*$C$14,[24]M03!G28*$D$14,[24]M04!G28*$E$14,[24]M05!G28*$F$14,[24]M06!G28*$G$14,[24]M07!G28*$H$14,[24]M08!G28*$I$14,[24]M09!G28*$J$14,[24]M10!G28*$K$14,[24]M11!G28*$L$14,[24]M12!G28*$M$14)/$N$14</f>
        <v>1.7850525895261582</v>
      </c>
      <c r="H30" s="173">
        <f>SUM([24]M01!H28*$B$14,[24]M02!H28*$C$14,[24]M03!H28*$D$14,[24]M04!H28*$E$14,[24]M05!H28*$F$14,[24]M06!H28*$G$14,[24]M07!H28*$H$14,[24]M08!H28*$I$14,[24]M09!H28*$J$14,[24]M10!H28*$K$14,[24]M11!H28*$L$14,[24]M12!H28*$M$14)/$N$14</f>
        <v>1.9153225791115804</v>
      </c>
      <c r="I30" s="173">
        <f>SUM([24]M01!I28*$B$14,[24]M02!I28*$C$14,[24]M03!I28*$D$14,[24]M04!I28*$E$14,[24]M05!I28*$F$14,[24]M06!I28*$G$14,[24]M07!I28*$H$14,[24]M08!I28*$I$14,[24]M09!I28*$J$14,[24]M10!I28*$K$14,[24]M11!I28*$L$14,[24]M12!I28*$M$14)/$N$14</f>
        <v>0.30827394882203957</v>
      </c>
      <c r="J30" s="173">
        <f>SUM([24]M01!J28*$B$14,[24]M02!J28*$C$14,[24]M03!J28*$D$14,[24]M04!J28*$E$14,[24]M05!J28*$F$14,[24]M06!J28*$G$14,[24]M07!J28*$H$14,[24]M08!J28*$I$14,[24]M09!J28*$J$14,[24]M10!J28*$K$14,[24]M11!J28*$L$14,[24]M12!J28*$M$14)/$N$14</f>
        <v>1.9169171032625429</v>
      </c>
      <c r="K30" s="174">
        <f>SUM([24]M01!K28*$B$14,[24]M02!K28*$C$14,[24]M03!K28*$D$14,[24]M04!K28*$E$14,[24]M05!K28*$F$14,[24]M06!K28*$G$14,[24]M07!K28*$H$14,[24]M08!K28*$I$14,[24]M09!K28*$J$14,[24]M10!K28*$K$14,[24]M11!K28*$L$14,[24]M12!K28*$M$14)/$N$14</f>
        <v>0.64452667322562363</v>
      </c>
      <c r="L30" s="155"/>
      <c r="N30" s="166"/>
    </row>
    <row r="31" spans="1:14" ht="20.25" customHeight="1">
      <c r="A31" s="154" t="s">
        <v>168</v>
      </c>
      <c r="L31" s="155"/>
      <c r="N31" s="166"/>
    </row>
    <row r="32" spans="1:14" ht="15" customHeight="1">
      <c r="A32" s="175" t="s">
        <v>169</v>
      </c>
      <c r="B32" s="176">
        <f>SUM([24]M01!B30,[24]M02!B30,[24]M03!B30,[24]M04!B30,[24]M05!B30,[24]M06!B30,[24]M07!B30,[24]M08!B30,[24]M09!B30,[24]M10!B30,[24]M11!B30,[24]M12!B30)</f>
        <v>4.2214736847094514</v>
      </c>
      <c r="L32" s="155"/>
      <c r="N32" s="166"/>
    </row>
    <row r="33" spans="1:14" ht="15" customHeight="1">
      <c r="A33" s="177" t="s">
        <v>170</v>
      </c>
      <c r="B33" s="178">
        <f>SUM([24]M01!B31,[24]M02!B31,[24]M03!B31,[24]M04!B31,[24]M05!B31,[24]M06!B31,[24]M07!B31,[24]M08!B31,[24]M09!B31,[24]M10!B31,[24]M11!B31,[24]M12!B31)</f>
        <v>15.06060823247182</v>
      </c>
      <c r="L33" s="155"/>
      <c r="N33" s="166"/>
    </row>
    <row r="34" spans="1:14" ht="20.25" hidden="1" customHeight="1">
      <c r="A34" s="154" t="s">
        <v>171</v>
      </c>
      <c r="L34" s="155"/>
      <c r="N34" s="166"/>
    </row>
    <row r="35" spans="1:14" ht="15" hidden="1" customHeight="1">
      <c r="A35" s="175" t="s">
        <v>169</v>
      </c>
      <c r="B35" s="176" t="e">
        <f>SUM([24]M01!#REF!,[24]M02!#REF!,[24]M03!#REF!,[24]M04!#REF!,[24]M05!#REF!,[24]M06!#REF!,[24]M07!#REF!,[24]M08!#REF!,[24]M09!#REF!,[24]M10!#REF!,[24]M11!#REF!,[24]M12!#REF!)</f>
        <v>#REF!</v>
      </c>
      <c r="L35" s="155"/>
      <c r="N35" s="166"/>
    </row>
    <row r="36" spans="1:14" ht="15" hidden="1" customHeight="1">
      <c r="A36" s="177" t="s">
        <v>170</v>
      </c>
      <c r="B36" s="178" t="e">
        <f>SUM([24]M01!#REF!,[24]M02!#REF!,[24]M03!#REF!,[24]M04!#REF!,[24]M05!#REF!,[24]M06!#REF!,[24]M07!#REF!,[24]M08!#REF!,[24]M09!#REF!,[24]M10!#REF!,[24]M11!#REF!,[24]M12!#REF!)</f>
        <v>#REF!</v>
      </c>
      <c r="L36" s="155"/>
      <c r="N36" s="166"/>
    </row>
    <row r="37" spans="1:14" ht="20.25" customHeight="1">
      <c r="A37" s="154" t="s">
        <v>172</v>
      </c>
      <c r="L37" s="155"/>
      <c r="N37" s="166"/>
    </row>
    <row r="38" spans="1:14" ht="15" customHeight="1">
      <c r="A38" s="179" t="s">
        <v>167</v>
      </c>
      <c r="B38" s="180">
        <f>SUM([24]M01!B33*$B$14,[24]M02!B33*$C$14,[24]M03!B33*$D$14,[24]M04!B33*$E$14,[24]M05!B33*$F$14,[24]M06!B33*$G$14,[24]M07!B33*$H$14,[24]M08!B33*$I$14,[24]M09!B33*$J$14,[24]M10!B33*$K$14,[24]M11!B33*$L$14,[24]M12!B33*$M$14)/$N$14</f>
        <v>0</v>
      </c>
      <c r="C38" s="181">
        <f>SUM([24]M01!C33*$B$14,[24]M02!C33*$C$14,[24]M03!C33*$D$14,[24]M04!C33*$E$14,[24]M05!C33*$F$14,[24]M06!C33*$G$14,[24]M07!C33*$H$14,[24]M08!C33*$I$14,[24]M09!C33*$J$14,[24]M10!C33*$K$14,[24]M11!C33*$L$14,[24]M12!C33*$M$14)/$N$14</f>
        <v>0</v>
      </c>
      <c r="D38" s="181">
        <f>SUM([24]M01!D33*$B$14,[24]M02!D33*$C$14,[24]M03!D33*$D$14,[24]M04!D33*$E$14,[24]M05!D33*$F$14,[24]M06!D33*$G$14,[24]M07!D33*$H$14,[24]M08!D33*$I$14,[24]M09!D33*$J$14,[24]M10!D33*$K$14,[24]M11!D33*$L$14,[24]M12!D33*$M$14)/$N$14</f>
        <v>0</v>
      </c>
      <c r="E38" s="181">
        <f>SUM([24]M01!E33*$B$14,[24]M02!E33*$C$14,[24]M03!E33*$D$14,[24]M04!E33*$E$14,[24]M05!E33*$F$14,[24]M06!E33*$G$14,[24]M07!E33*$H$14,[24]M08!E33*$I$14,[24]M09!E33*$J$14,[24]M10!E33*$K$14,[24]M11!E33*$L$14,[24]M12!E33*$M$14)/$N$14</f>
        <v>0</v>
      </c>
      <c r="F38" s="181">
        <f>SUM([24]M01!F33*$B$14,[24]M02!F33*$C$14,[24]M03!F33*$D$14,[24]M04!F33*$E$14,[24]M05!F33*$F$14,[24]M06!F33*$G$14,[24]M07!F33*$H$14,[24]M08!F33*$I$14,[24]M09!F33*$J$14,[24]M10!F33*$K$14,[24]M11!F33*$L$14,[24]M12!F33*$M$14)/$N$14</f>
        <v>0</v>
      </c>
      <c r="G38" s="181">
        <f>SUM([24]M01!G33*$B$14,[24]M02!G33*$C$14,[24]M03!G33*$D$14,[24]M04!G33*$E$14,[24]M05!G33*$F$14,[24]M06!G33*$G$14,[24]M07!G33*$H$14,[24]M08!G33*$I$14,[24]M09!G33*$J$14,[24]M10!G33*$K$14,[24]M11!G33*$L$14,[24]M12!G33*$M$14)/$N$14</f>
        <v>0</v>
      </c>
      <c r="H38" s="181">
        <f>SUM([24]M01!H33*$B$14,[24]M02!H33*$C$14,[24]M03!H33*$D$14,[24]M04!H33*$E$14,[24]M05!H33*$F$14,[24]M06!H33*$G$14,[24]M07!H33*$H$14,[24]M08!H33*$I$14,[24]M09!H33*$J$14,[24]M10!H33*$K$14,[24]M11!H33*$L$14,[24]M12!H33*$M$14)/$N$14</f>
        <v>0</v>
      </c>
      <c r="I38" s="181">
        <f>SUM([24]M01!I33*$B$14,[24]M02!I33*$C$14,[24]M03!I33*$D$14,[24]M04!I33*$E$14,[24]M05!I33*$F$14,[24]M06!I33*$G$14,[24]M07!I33*$H$14,[24]M08!I33*$I$14,[24]M09!I33*$J$14,[24]M10!I33*$K$14,[24]M11!I33*$L$14,[24]M12!I33*$M$14)/$N$14</f>
        <v>0</v>
      </c>
      <c r="J38" s="181">
        <f>SUM([24]M01!J33*$B$14,[24]M02!J33*$C$14,[24]M03!J33*$D$14,[24]M04!J33*$E$14,[24]M05!J33*$F$14,[24]M06!J33*$G$14,[24]M07!J33*$H$14,[24]M08!J33*$I$14,[24]M09!J33*$J$14,[24]M10!J33*$K$14,[24]M11!J33*$L$14,[24]M12!J33*$M$14)/$N$14</f>
        <v>0</v>
      </c>
      <c r="K38" s="182">
        <f>SUM([24]M01!K33*$B$14,[24]M02!K33*$C$14,[24]M03!K33*$D$14,[24]M04!K33*$E$14,[24]M05!K33*$F$14,[24]M06!K33*$G$14,[24]M07!K33*$H$14,[24]M08!K33*$I$14,[24]M09!K33*$J$14,[24]M10!K33*$K$14,[24]M11!K33*$L$14,[24]M12!K33*$M$14)/$N$14</f>
        <v>0</v>
      </c>
      <c r="L38" s="155"/>
      <c r="N38" s="166"/>
    </row>
    <row r="39" spans="1:14" ht="20.25" customHeight="1">
      <c r="A39" s="154" t="s">
        <v>173</v>
      </c>
      <c r="L39" s="155"/>
      <c r="N39" s="166"/>
    </row>
    <row r="40" spans="1:14" ht="15" customHeight="1">
      <c r="A40" s="177" t="s">
        <v>170</v>
      </c>
      <c r="B40" s="178">
        <f>SUM([24]M01!I34,[24]M02!I34,[24]M03!I34,[24]M04!I34,[24]M05!I34,[24]M06!I34,[24]M07!I34,[24]M08!I34,[24]M09!I34,[24]M10!I34,[24]M11!I34,[24]M12!I34)</f>
        <v>0</v>
      </c>
      <c r="L40" s="155"/>
      <c r="N40" s="166"/>
    </row>
    <row r="41" spans="1:14" ht="9.9" customHeight="1">
      <c r="L41" s="155"/>
      <c r="N41" s="166"/>
    </row>
    <row r="42" spans="1:14" ht="9.9" customHeight="1" thickBot="1">
      <c r="L42" s="155"/>
      <c r="N42" s="166"/>
    </row>
    <row r="43" spans="1:14" ht="20.25" customHeight="1" thickTop="1">
      <c r="A43" s="183" t="s">
        <v>174</v>
      </c>
      <c r="B43" s="184"/>
      <c r="C43" s="184"/>
      <c r="D43" s="184"/>
      <c r="E43" s="184"/>
      <c r="F43" s="184"/>
      <c r="G43" s="184"/>
      <c r="H43" s="184"/>
      <c r="I43" s="184"/>
      <c r="J43" s="184"/>
      <c r="K43" s="185"/>
      <c r="L43" s="186"/>
      <c r="N43" s="166"/>
    </row>
    <row r="44" spans="1:14" ht="15" customHeight="1">
      <c r="A44" s="187" t="s">
        <v>110</v>
      </c>
      <c r="B44" s="188">
        <f>IFERROR(B54/B25,0)</f>
        <v>2.0551181036684718</v>
      </c>
      <c r="C44" s="189">
        <f t="shared" ref="C44:K44" si="0">IFERROR(C54/C25,0)</f>
        <v>2.1515836694276413</v>
      </c>
      <c r="D44" s="189">
        <f t="shared" si="0"/>
        <v>2.0053283501121846</v>
      </c>
      <c r="E44" s="189">
        <f t="shared" si="0"/>
        <v>1.6251507413867257</v>
      </c>
      <c r="F44" s="189">
        <f t="shared" si="0"/>
        <v>0.79080294722101319</v>
      </c>
      <c r="G44" s="189">
        <f t="shared" si="0"/>
        <v>0.78580213734117099</v>
      </c>
      <c r="H44" s="189">
        <f t="shared" si="0"/>
        <v>0.15770367782719605</v>
      </c>
      <c r="I44" s="189">
        <f t="shared" si="0"/>
        <v>0.40807475323829073</v>
      </c>
      <c r="J44" s="189">
        <f t="shared" si="0"/>
        <v>0.49892109845693144</v>
      </c>
      <c r="K44" s="190">
        <f t="shared" si="0"/>
        <v>3.2361451194521167</v>
      </c>
      <c r="L44" s="186"/>
      <c r="N44" s="166"/>
    </row>
    <row r="45" spans="1:14" ht="15" customHeight="1">
      <c r="A45" s="191" t="s">
        <v>167</v>
      </c>
      <c r="B45" s="192">
        <f t="shared" ref="B45:K45" si="1">IFERROR(B55/B26,0)</f>
        <v>9.8755503764347587E-3</v>
      </c>
      <c r="C45" s="192">
        <f t="shared" si="1"/>
        <v>0</v>
      </c>
      <c r="D45" s="192">
        <f t="shared" si="1"/>
        <v>1.9655201466716061</v>
      </c>
      <c r="E45" s="192">
        <f t="shared" si="1"/>
        <v>1.2185723548132454</v>
      </c>
      <c r="F45" s="192">
        <f t="shared" si="1"/>
        <v>2.4109586840081998</v>
      </c>
      <c r="G45" s="192">
        <f t="shared" si="1"/>
        <v>1.7576977824167777</v>
      </c>
      <c r="H45" s="192">
        <f t="shared" si="1"/>
        <v>1.8767673508800715</v>
      </c>
      <c r="I45" s="192">
        <f t="shared" si="1"/>
        <v>0.7732584855559439</v>
      </c>
      <c r="J45" s="192">
        <f t="shared" si="1"/>
        <v>1.8279563538576491</v>
      </c>
      <c r="K45" s="193">
        <f t="shared" si="1"/>
        <v>0.53727590157776284</v>
      </c>
      <c r="L45" s="186"/>
      <c r="N45" s="166"/>
    </row>
    <row r="46" spans="1:14" ht="20.25" customHeight="1">
      <c r="A46" s="194" t="s">
        <v>175</v>
      </c>
      <c r="B46" s="195"/>
      <c r="C46" s="195"/>
      <c r="D46" s="195"/>
      <c r="E46" s="195"/>
      <c r="F46" s="195"/>
      <c r="G46" s="195"/>
      <c r="H46" s="195"/>
      <c r="I46" s="196"/>
      <c r="J46" s="196"/>
      <c r="K46" s="197"/>
      <c r="L46" s="186"/>
      <c r="N46" s="198"/>
    </row>
    <row r="47" spans="1:14" ht="15" customHeight="1">
      <c r="A47" s="199" t="s">
        <v>169</v>
      </c>
      <c r="B47" s="200">
        <f>B32</f>
        <v>4.2214736847094514</v>
      </c>
      <c r="C47" s="201"/>
      <c r="D47" s="201"/>
      <c r="E47" s="196"/>
      <c r="F47" s="196"/>
      <c r="G47" s="196"/>
      <c r="H47" s="195"/>
      <c r="I47" s="196"/>
      <c r="J47" s="196"/>
      <c r="K47" s="197"/>
      <c r="L47" s="186"/>
      <c r="N47" s="202"/>
    </row>
    <row r="48" spans="1:14" ht="15" customHeight="1">
      <c r="A48" s="203" t="s">
        <v>170</v>
      </c>
      <c r="B48" s="204">
        <f>B33+B40</f>
        <v>15.06060823247182</v>
      </c>
      <c r="C48" s="201"/>
      <c r="D48" s="201"/>
      <c r="E48" s="196"/>
      <c r="F48" s="196"/>
      <c r="G48" s="196"/>
      <c r="H48" s="195"/>
      <c r="I48" s="196"/>
      <c r="J48" s="196"/>
      <c r="K48" s="197"/>
      <c r="L48" s="186"/>
      <c r="N48" s="202"/>
    </row>
    <row r="49" spans="1:14" ht="9.9" customHeight="1" thickBot="1">
      <c r="A49" s="205"/>
      <c r="B49" s="206"/>
      <c r="C49" s="207"/>
      <c r="D49" s="207"/>
      <c r="E49" s="207"/>
      <c r="F49" s="207"/>
      <c r="G49" s="207"/>
      <c r="H49" s="207"/>
      <c r="I49" s="207"/>
      <c r="J49" s="207"/>
      <c r="K49" s="208"/>
      <c r="L49" s="186"/>
      <c r="N49" s="166"/>
    </row>
    <row r="50" spans="1:14" ht="9.9" customHeight="1" thickTop="1">
      <c r="B50" s="209"/>
      <c r="L50" s="155"/>
      <c r="N50" s="166"/>
    </row>
    <row r="51" spans="1:14" ht="20.25" customHeight="1">
      <c r="A51" s="210" t="s">
        <v>176</v>
      </c>
      <c r="B51" s="211"/>
      <c r="C51" s="211"/>
      <c r="D51" s="211"/>
      <c r="E51" s="211"/>
      <c r="F51" s="211"/>
      <c r="G51" s="211"/>
      <c r="H51" s="211"/>
      <c r="I51" s="211"/>
      <c r="J51" s="211"/>
      <c r="K51" s="211"/>
      <c r="L51" s="212">
        <f>ROUND(SUM(L54:L55,L57:L58),3)</f>
        <v>106790.064</v>
      </c>
      <c r="M51" s="212">
        <f>ROUND(B3,3)</f>
        <v>106790.064</v>
      </c>
      <c r="N51" s="252"/>
    </row>
    <row r="52" spans="1:14" ht="20.25" customHeight="1">
      <c r="A52" s="213" t="s">
        <v>177</v>
      </c>
      <c r="B52" s="211"/>
      <c r="C52" s="211"/>
      <c r="D52" s="211"/>
      <c r="E52" s="211"/>
      <c r="F52" s="211"/>
      <c r="G52" s="211"/>
      <c r="H52" s="211"/>
      <c r="I52" s="211"/>
      <c r="J52" s="211"/>
      <c r="K52" s="211"/>
      <c r="L52" s="165"/>
      <c r="M52" s="214">
        <f>M53+M56</f>
        <v>0.99999999551797347</v>
      </c>
      <c r="N52" s="166"/>
    </row>
    <row r="53" spans="1:14" ht="20.25" customHeight="1">
      <c r="A53" s="215" t="s">
        <v>19</v>
      </c>
      <c r="B53" s="216">
        <v>1</v>
      </c>
      <c r="C53" s="217">
        <v>2</v>
      </c>
      <c r="D53" s="217">
        <v>3</v>
      </c>
      <c r="E53" s="217">
        <v>4</v>
      </c>
      <c r="F53" s="217">
        <v>5</v>
      </c>
      <c r="G53" s="217">
        <v>6</v>
      </c>
      <c r="H53" s="217">
        <v>7</v>
      </c>
      <c r="I53" s="217">
        <v>8</v>
      </c>
      <c r="J53" s="217">
        <v>9</v>
      </c>
      <c r="K53" s="218">
        <v>10</v>
      </c>
      <c r="L53" s="219">
        <f>L54+L55</f>
        <v>45581.791533493146</v>
      </c>
      <c r="M53" s="214">
        <f>L53/$M$51</f>
        <v>0.42683551096563765</v>
      </c>
      <c r="N53" s="220"/>
    </row>
    <row r="54" spans="1:14" ht="15" customHeight="1">
      <c r="A54" s="221" t="s">
        <v>110</v>
      </c>
      <c r="B54" s="222">
        <f>SUM([24]M01!B38,[24]M02!B38,[24]M03!B38,[24]M04!B38,[24]M05!B38,[24]M06!B38,[24]M07!B38,[24]M08!B38,[24]M09!B38,[24]M10!B38,[24]M11!B38,[24]M12!B38)</f>
        <v>2592.7619692731041</v>
      </c>
      <c r="C54" s="223">
        <f>SUM([24]M01!C38,[24]M02!C38,[24]M03!C38,[24]M04!C38,[24]M05!C38,[24]M06!C38,[24]M07!C38,[24]M08!C38,[24]M09!C38,[24]M10!C38,[24]M11!C38,[24]M12!C38)</f>
        <v>3014.7861280999946</v>
      </c>
      <c r="D54" s="223">
        <f>SUM([24]M01!D38,[24]M02!D38,[24]M03!D38,[24]M04!D38,[24]M05!D38,[24]M06!D38,[24]M07!D38,[24]M08!D38,[24]M09!D38,[24]M10!D38,[24]M11!D38,[24]M12!D38)</f>
        <v>1387.6475127762994</v>
      </c>
      <c r="E54" s="223">
        <f>SUM([24]M01!E38,[24]M02!E38,[24]M03!E38,[24]M04!E38,[24]M05!E38,[24]M06!E38,[24]M07!E38,[24]M08!E38,[24]M09!E38,[24]M10!E38,[24]M11!E38,[24]M12!E38)</f>
        <v>5660.3249502857143</v>
      </c>
      <c r="F54" s="223">
        <f>SUM([24]M01!F38,[24]M02!F38,[24]M03!F38,[24]M04!F38,[24]M05!F38,[24]M06!F38,[24]M07!F38,[24]M08!F38,[24]M09!F38,[24]M10!F38,[24]M11!F38,[24]M12!F38)</f>
        <v>2252.1859560277867</v>
      </c>
      <c r="G54" s="223">
        <f>SUM([24]M01!G38,[24]M02!G38,[24]M03!G38,[24]M04!G38,[24]M05!G38,[24]M06!G38,[24]M07!G38,[24]M08!G38,[24]M09!G38,[24]M10!G38,[24]M11!G38,[24]M12!G38)</f>
        <v>1263.1452679497975</v>
      </c>
      <c r="H54" s="223">
        <f>SUM([24]M01!H38,[24]M02!H38,[24]M03!H38,[24]M04!H38,[24]M05!H38,[24]M06!H38,[24]M07!H38,[24]M08!H38,[24]M09!H38,[24]M10!H38,[24]M11!H38,[24]M12!H38)</f>
        <v>1.829772692357825</v>
      </c>
      <c r="I54" s="223">
        <f>SUM([24]M01!I38,[24]M02!I38,[24]M03!I38,[24]M04!I38,[24]M05!I38,[24]M06!I38,[24]M07!I38,[24]M08!I38,[24]M09!I38,[24]M10!I38,[24]M11!I38,[24]M12!I38)</f>
        <v>137.53933076408541</v>
      </c>
      <c r="J54" s="223">
        <f>SUM([24]M01!J38,[24]M02!J38,[24]M03!J38,[24]M04!J38,[24]M05!J38,[24]M06!J38,[24]M07!J38,[24]M08!J38,[24]M09!J38,[24]M10!J38,[24]M11!J38,[24]M12!J38)</f>
        <v>584.84783453078626</v>
      </c>
      <c r="K54" s="224">
        <f>SUM([24]M01!K38,[24]M02!K38,[24]M03!K38,[24]M04!K38,[24]M05!K38,[24]M06!K38,[24]M07!K38,[24]M08!K38,[24]M09!K38,[24]M10!K38,[24]M11!K38,[24]M12!K38)</f>
        <v>3616.737467671986</v>
      </c>
      <c r="L54" s="225">
        <f>SUM(B54:K54)</f>
        <v>20511.806190071911</v>
      </c>
      <c r="M54" s="226">
        <f>L54/(L55+L54)</f>
        <v>0.4499999999999999</v>
      </c>
      <c r="N54" s="227"/>
    </row>
    <row r="55" spans="1:14" ht="15" customHeight="1">
      <c r="A55" s="228" t="s">
        <v>167</v>
      </c>
      <c r="B55" s="229">
        <f>SUM([24]M01!B39,[24]M02!B39,[24]M03!B39,[24]M04!B39,[24]M05!B39,[24]M06!B39,[24]M07!B39,[24]M08!B39,[24]M09!B39,[24]M10!B39,[24]M11!B39,[24]M12!B39)</f>
        <v>0.88322034169396169</v>
      </c>
      <c r="C55" s="230">
        <f>SUM([24]M01!C39,[24]M02!C39,[24]M03!C39,[24]M04!C39,[24]M05!C39,[24]M06!C39,[24]M07!C39,[24]M08!C39,[24]M09!C39,[24]M10!C39,[24]M11!C39,[24]M12!C39)</f>
        <v>0</v>
      </c>
      <c r="D55" s="230">
        <f>SUM([24]M01!D39,[24]M02!D39,[24]M03!D39,[24]M04!D39,[24]M05!D39,[24]M06!D39,[24]M07!D39,[24]M08!D39,[24]M09!D39,[24]M10!D39,[24]M11!D39,[24]M12!D39)</f>
        <v>29.725347386173365</v>
      </c>
      <c r="E55" s="230">
        <f>SUM([24]M01!E39,[24]M02!E39,[24]M03!E39,[24]M04!E39,[24]M05!E39,[24]M06!E39,[24]M07!E39,[24]M08!E39,[24]M09!E39,[24]M10!E39,[24]M11!E39,[24]M12!E39)</f>
        <v>1601.919558982733</v>
      </c>
      <c r="F55" s="230">
        <f>SUM([24]M01!F39,[24]M02!F39,[24]M03!F39,[24]M04!F39,[24]M05!F39,[24]M06!F39,[24]M07!F39,[24]M08!F39,[24]M09!F39,[24]M10!F39,[24]M11!F39,[24]M12!F39)</f>
        <v>1564.0216873542215</v>
      </c>
      <c r="G55" s="230">
        <f>SUM([24]M01!G39,[24]M02!G39,[24]M03!G39,[24]M04!G39,[24]M05!G39,[24]M06!G39,[24]M07!G39,[24]M08!G39,[24]M09!G39,[24]M10!G39,[24]M11!G39,[24]M12!G39)</f>
        <v>2539.0683578927856</v>
      </c>
      <c r="H55" s="230">
        <f>SUM([24]M01!H39,[24]M02!H39,[24]M03!H39,[24]M04!H39,[24]M05!H39,[24]M06!H39,[24]M07!H39,[24]M08!H39,[24]M09!H39,[24]M10!H39,[24]M11!H39,[24]M12!H39)</f>
        <v>17062.9546759244</v>
      </c>
      <c r="I55" s="230">
        <f>SUM([24]M01!I39,[24]M02!I39,[24]M03!I39,[24]M04!I39,[24]M05!I39,[24]M06!I39,[24]M07!I39,[24]M08!I39,[24]M09!I39,[24]M10!I39,[24]M11!I39,[24]M12!I39)</f>
        <v>19.734948416661695</v>
      </c>
      <c r="J55" s="230">
        <f>SUM([24]M01!J39,[24]M02!J39,[24]M03!J39,[24]M04!J39,[24]M05!J39,[24]M06!J39,[24]M07!J39,[24]M08!J39,[24]M09!J39,[24]M10!J39,[24]M11!J39,[24]M12!J39)</f>
        <v>2199.5711064064108</v>
      </c>
      <c r="K55" s="231">
        <f>SUM([24]M01!K39,[24]M02!K39,[24]M03!K39,[24]M04!K39,[24]M05!K39,[24]M06!K39,[24]M07!K39,[24]M08!K39,[24]M09!K39,[24]M10!K39,[24]M11!K39,[24]M12!K39)</f>
        <v>52.106440716150622</v>
      </c>
      <c r="L55" s="232">
        <f>SUM(B55:K55)</f>
        <v>25069.985343421231</v>
      </c>
      <c r="M55" s="233">
        <f>L55/(L54+L55)</f>
        <v>0.55000000000000004</v>
      </c>
      <c r="N55" s="108"/>
    </row>
    <row r="56" spans="1:14" ht="20.25" customHeight="1">
      <c r="A56" s="213" t="s">
        <v>178</v>
      </c>
      <c r="B56" s="211"/>
      <c r="C56" s="211"/>
      <c r="D56" s="211"/>
      <c r="E56" s="211"/>
      <c r="F56" s="211"/>
      <c r="G56" s="211"/>
      <c r="H56" s="211"/>
      <c r="I56" s="211"/>
      <c r="J56" s="211"/>
      <c r="K56" s="211"/>
      <c r="L56" s="219">
        <f>L57+L58</f>
        <v>61208.271987870954</v>
      </c>
      <c r="M56" s="214">
        <f>L56/$M$51</f>
        <v>0.57316448455233582</v>
      </c>
      <c r="N56" s="220"/>
    </row>
    <row r="57" spans="1:14" ht="15" customHeight="1">
      <c r="A57" s="221" t="s">
        <v>110</v>
      </c>
      <c r="B57" s="222">
        <f>SUM([24]M01!B41,[24]M02!B41,[24]M03!B41,[24]M04!B41,[24]M05!B41,[24]M06!B41,[24]M07!B41,[24]M08!B41,[24]M09!B41,[24]M10!B41,[24]M11!B41,[24]M12!B41)</f>
        <v>3393.2812900919239</v>
      </c>
      <c r="C57" s="223">
        <f>SUM([24]M01!C41,[24]M02!C41,[24]M03!C41,[24]M04!C41,[24]M05!C41,[24]M06!C41,[24]M07!C41,[24]M08!C41,[24]M09!C41,[24]M10!C41,[24]M11!C41,[24]M12!C41)</f>
        <v>3085.3906866804446</v>
      </c>
      <c r="D57" s="223">
        <f>SUM([24]M01!D41,[24]M02!D41,[24]M03!D41,[24]M04!D41,[24]M05!D41,[24]M06!D41,[24]M07!D41,[24]M08!D41,[24]M09!D41,[24]M10!D41,[24]M11!D41,[24]M12!D41)</f>
        <v>754.50399166812031</v>
      </c>
      <c r="E57" s="223">
        <f>SUM([24]M01!E41,[24]M02!E41,[24]M03!E41,[24]M04!E41,[24]M05!E41,[24]M06!E41,[24]M07!E41,[24]M08!E41,[24]M09!E41,[24]M10!E41,[24]M11!E41,[24]M12!E41)</f>
        <v>2764.7317670635975</v>
      </c>
      <c r="F57" s="223">
        <f>SUM([24]M01!F41,[24]M02!F41,[24]M03!F41,[24]M04!F41,[24]M05!F41,[24]M06!F41,[24]M07!F41,[24]M08!F41,[24]M09!F41,[24]M10!F41,[24]M11!F41,[24]M12!F41)</f>
        <v>6767.7169061850609</v>
      </c>
      <c r="G57" s="223">
        <f>SUM([24]M01!G41,[24]M02!G41,[24]M03!G41,[24]M04!G41,[24]M05!G41,[24]M06!G41,[24]M07!G41,[24]M08!G41,[24]M09!G41,[24]M10!G41,[24]M11!G41,[24]M12!G41)</f>
        <v>1355.9795622655229</v>
      </c>
      <c r="H57" s="223">
        <f>SUM([24]M01!H41,[24]M02!H41,[24]M03!H41,[24]M04!H41,[24]M05!H41,[24]M06!H41,[24]M07!H41,[24]M08!H41,[24]M09!H41,[24]M10!H41,[24]M11!H41,[24]M12!H41)</f>
        <v>651.50003376120969</v>
      </c>
      <c r="I57" s="223">
        <f>SUM([24]M01!I41,[24]M02!I41,[24]M03!I41,[24]M04!I41,[24]M05!I41,[24]M06!I41,[24]M07!I41,[24]M08!I41,[24]M09!I41,[24]M10!I41,[24]M11!I41,[24]M12!I41)</f>
        <v>1097.5831580244571</v>
      </c>
      <c r="J57" s="223">
        <f>SUM([24]M01!J41,[24]M02!J41,[24]M03!J41,[24]M04!J41,[24]M05!J41,[24]M06!J41,[24]M07!J41,[24]M08!J41,[24]M09!J41,[24]M10!J41,[24]M11!J41,[24]M12!J41)</f>
        <v>6608.5059797284102</v>
      </c>
      <c r="K57" s="224">
        <f>SUM([24]M01!K41,[24]M02!K41,[24]M03!K41,[24]M04!K41,[24]M05!K41,[24]M06!K41,[24]M07!K41,[24]M08!K41,[24]M09!K41,[24]M10!K41,[24]M11!K41,[24]M12!K41)</f>
        <v>1064.5290190731821</v>
      </c>
      <c r="L57" s="225">
        <f>SUM(B57:K57)</f>
        <v>27543.722394541932</v>
      </c>
      <c r="M57" s="226">
        <f>L57/(L58+L57)</f>
        <v>0.45000000000000007</v>
      </c>
      <c r="N57" s="227"/>
    </row>
    <row r="58" spans="1:14" ht="15" customHeight="1">
      <c r="A58" s="228" t="s">
        <v>167</v>
      </c>
      <c r="B58" s="229">
        <f>SUM([24]M01!B42,[24]M02!B42,[24]M03!B42,[24]M04!B42,[24]M05!B42,[24]M06!B42,[24]M07!B42,[24]M08!B42,[24]M09!B42,[24]M10!B42,[24]M11!B42,[24]M12!B42)</f>
        <v>368.21404581173584</v>
      </c>
      <c r="C58" s="230">
        <f>SUM([24]M01!C42,[24]M02!C42,[24]M03!C42,[24]M04!C42,[24]M05!C42,[24]M06!C42,[24]M07!C42,[24]M08!C42,[24]M09!C42,[24]M10!C42,[24]M11!C42,[24]M12!C42)</f>
        <v>0</v>
      </c>
      <c r="D58" s="230">
        <f>SUM([24]M01!D42,[24]M02!D42,[24]M03!D42,[24]M04!D42,[24]M05!D42,[24]M06!D42,[24]M07!D42,[24]M08!D42,[24]M09!D42,[24]M10!D42,[24]M11!D42,[24]M12!D42)</f>
        <v>0.70539140464288586</v>
      </c>
      <c r="E58" s="230">
        <f>SUM([24]M01!E42,[24]M02!E42,[24]M03!E42,[24]M04!E42,[24]M05!E42,[24]M06!E42,[24]M07!E42,[24]M08!E42,[24]M09!E42,[24]M10!E42,[24]M11!E42,[24]M12!E42)</f>
        <v>2391.4386457403634</v>
      </c>
      <c r="F58" s="230">
        <f>SUM([24]M01!F42,[24]M02!F42,[24]M03!F42,[24]M04!F42,[24]M05!F42,[24]M06!F42,[24]M07!F42,[24]M08!F42,[24]M09!F42,[24]M10!F42,[24]M11!F42,[24]M12!F42)</f>
        <v>5298.1756244530707</v>
      </c>
      <c r="G58" s="230">
        <f>SUM([24]M01!G42,[24]M02!G42,[24]M03!G42,[24]M04!G42,[24]M05!G42,[24]M06!G42,[24]M07!G42,[24]M08!G42,[24]M09!G42,[24]M10!G42,[24]M11!G42,[24]M12!G42)</f>
        <v>3619.8837102826274</v>
      </c>
      <c r="H58" s="230">
        <f>SUM([24]M01!H42,[24]M02!H42,[24]M03!H42,[24]M04!H42,[24]M05!H42,[24]M06!H42,[24]M07!H42,[24]M08!H42,[24]M09!H42,[24]M10!H42,[24]M11!H42,[24]M12!H42)</f>
        <v>18898.108099586418</v>
      </c>
      <c r="I58" s="230">
        <f>SUM([24]M01!I42,[24]M02!I42,[24]M03!I42,[24]M04!I42,[24]M05!I42,[24]M06!I42,[24]M07!I42,[24]M08!I42,[24]M09!I42,[24]M10!I42,[24]M11!I42,[24]M12!I42)</f>
        <v>20.331821113836963</v>
      </c>
      <c r="J58" s="230">
        <f>SUM([24]M01!J42,[24]M02!J42,[24]M03!J42,[24]M04!J42,[24]M05!J42,[24]M06!J42,[24]M07!J42,[24]M08!J42,[24]M09!J42,[24]M10!J42,[24]M11!J42,[24]M12!J42)</f>
        <v>2151.7760257510904</v>
      </c>
      <c r="K58" s="231">
        <f>SUM([24]M01!K42,[24]M02!K42,[24]M03!K42,[24]M04!K42,[24]M05!K42,[24]M06!K42,[24]M07!K42,[24]M08!K42,[24]M09!K42,[24]M10!K42,[24]M11!K42,[24]M12!K42)</f>
        <v>915.91622918523888</v>
      </c>
      <c r="L58" s="232">
        <f>SUM(B58:K58)</f>
        <v>33664.549593329022</v>
      </c>
      <c r="M58" s="233">
        <f>L58/(L57+L58)</f>
        <v>0.54999999999999993</v>
      </c>
      <c r="N58" s="166"/>
    </row>
    <row r="59" spans="1:14" ht="20.25" customHeight="1">
      <c r="A59" s="213" t="s">
        <v>179</v>
      </c>
      <c r="B59" s="211"/>
      <c r="C59" s="211"/>
      <c r="D59" s="211"/>
      <c r="E59" s="211"/>
      <c r="F59" s="211"/>
      <c r="G59" s="211"/>
      <c r="H59" s="211"/>
      <c r="I59" s="211"/>
      <c r="J59" s="211"/>
      <c r="K59" s="211"/>
      <c r="L59" s="219">
        <f>L60+L61</f>
        <v>0</v>
      </c>
      <c r="M59" s="214">
        <f>IFERROR(L59/B7,0)</f>
        <v>0</v>
      </c>
      <c r="N59" s="166"/>
    </row>
    <row r="60" spans="1:14" ht="15" customHeight="1">
      <c r="A60" s="221" t="s">
        <v>180</v>
      </c>
      <c r="B60" s="222">
        <f>SUM([24]M01!B44,[24]M02!B44,[24]M03!B44,[24]M04!B44,[24]M05!B44,[24]M06!B44,[24]M07!B44,[24]M08!B44,[24]M09!B44,[24]M10!B44,[24]M11!B44,[24]M12!B44)</f>
        <v>0</v>
      </c>
      <c r="C60" s="223">
        <f>SUM([24]M01!C44,[24]M02!C44,[24]M03!C44,[24]M04!C44,[24]M05!C44,[24]M06!C44,[24]M07!C44,[24]M08!C44,[24]M09!C44,[24]M10!C44,[24]M11!C44,[24]M12!C44)</f>
        <v>0</v>
      </c>
      <c r="D60" s="223">
        <f>SUM([24]M01!D44,[24]M02!D44,[24]M03!D44,[24]M04!D44,[24]M05!D44,[24]M06!D44,[24]M07!D44,[24]M08!D44,[24]M09!D44,[24]M10!D44,[24]M11!D44,[24]M12!D44)</f>
        <v>0</v>
      </c>
      <c r="E60" s="223">
        <f>SUM([24]M01!E44,[24]M02!E44,[24]M03!E44,[24]M04!E44,[24]M05!E44,[24]M06!E44,[24]M07!E44,[24]M08!E44,[24]M09!E44,[24]M10!E44,[24]M11!E44,[24]M12!E44)</f>
        <v>0</v>
      </c>
      <c r="F60" s="223">
        <f>SUM([24]M01!F44,[24]M02!F44,[24]M03!F44,[24]M04!F44,[24]M05!F44,[24]M06!F44,[24]M07!F44,[24]M08!F44,[24]M09!F44,[24]M10!F44,[24]M11!F44,[24]M12!F44)</f>
        <v>0</v>
      </c>
      <c r="G60" s="223">
        <f>SUM([24]M01!G44,[24]M02!G44,[24]M03!G44,[24]M04!G44,[24]M05!G44,[24]M06!G44,[24]M07!G44,[24]M08!G44,[24]M09!G44,[24]M10!G44,[24]M11!G44,[24]M12!G44)</f>
        <v>0</v>
      </c>
      <c r="H60" s="223">
        <f>SUM([24]M01!H44,[24]M02!H44,[24]M03!H44,[24]M04!H44,[24]M05!H44,[24]M06!H44,[24]M07!H44,[24]M08!H44,[24]M09!H44,[24]M10!H44,[24]M11!H44,[24]M12!H44)</f>
        <v>0</v>
      </c>
      <c r="I60" s="223">
        <f>SUM([24]M01!I44,[24]M02!I44,[24]M03!I44,[24]M04!I44,[24]M05!I44,[24]M06!I44,[24]M07!I44,[24]M08!I44,[24]M09!I44,[24]M10!I44,[24]M11!I44,[24]M12!I44)</f>
        <v>0</v>
      </c>
      <c r="J60" s="223">
        <f>SUM([24]M01!J44,[24]M02!J44,[24]M03!J44,[24]M04!J44,[24]M05!J44,[24]M06!J44,[24]M07!J44,[24]M08!J44,[24]M09!J44,[24]M10!J44,[24]M11!J44,[24]M12!J44)</f>
        <v>0</v>
      </c>
      <c r="K60" s="224">
        <f>SUM([24]M01!K44,[24]M02!K44,[24]M03!K44,[24]M04!K44,[24]M05!K44,[24]M06!K44,[24]M07!K44,[24]M08!K44,[24]M09!K44,[24]M10!K44,[24]M11!K44,[24]M12!K44)</f>
        <v>0</v>
      </c>
      <c r="L60" s="225">
        <f>SUM(B60:K60)</f>
        <v>0</v>
      </c>
      <c r="M60" s="226" t="e">
        <f>L60/(L61+L60)</f>
        <v>#DIV/0!</v>
      </c>
      <c r="N60" s="166"/>
    </row>
    <row r="61" spans="1:14" ht="15" customHeight="1">
      <c r="A61" s="228" t="s">
        <v>181</v>
      </c>
      <c r="B61" s="229">
        <f>SUM([24]M01!B45,[24]M02!B45,[24]M03!B45,[24]M04!B45,[24]M05!B45,[24]M06!B45,[24]M07!B45,[24]M08!B45,[24]M09!B45,[24]M10!B45,[24]M11!B45,[24]M12!B45)</f>
        <v>0</v>
      </c>
      <c r="C61" s="230">
        <f>SUM([24]M01!C45,[24]M02!C45,[24]M03!C45,[24]M04!C45,[24]M05!C45,[24]M06!C45,[24]M07!C45,[24]M08!C45,[24]M09!C45,[24]M10!C45,[24]M11!C45,[24]M12!C45)</f>
        <v>0</v>
      </c>
      <c r="D61" s="230">
        <f>SUM([24]M01!D45,[24]M02!D45,[24]M03!D45,[24]M04!D45,[24]M05!D45,[24]M06!D45,[24]M07!D45,[24]M08!D45,[24]M09!D45,[24]M10!D45,[24]M11!D45,[24]M12!D45)</f>
        <v>0</v>
      </c>
      <c r="E61" s="230">
        <f>SUM([24]M01!E45,[24]M02!E45,[24]M03!E45,[24]M04!E45,[24]M05!E45,[24]M06!E45,[24]M07!E45,[24]M08!E45,[24]M09!E45,[24]M10!E45,[24]M11!E45,[24]M12!E45)</f>
        <v>0</v>
      </c>
      <c r="F61" s="230">
        <f>SUM([24]M01!F45,[24]M02!F45,[24]M03!F45,[24]M04!F45,[24]M05!F45,[24]M06!F45,[24]M07!F45,[24]M08!F45,[24]M09!F45,[24]M10!F45,[24]M11!F45,[24]M12!F45)</f>
        <v>0</v>
      </c>
      <c r="G61" s="230">
        <f>SUM([24]M01!G45,[24]M02!G45,[24]M03!G45,[24]M04!G45,[24]M05!G45,[24]M06!G45,[24]M07!G45,[24]M08!G45,[24]M09!G45,[24]M10!G45,[24]M11!G45,[24]M12!G45)</f>
        <v>0</v>
      </c>
      <c r="H61" s="230">
        <f>SUM([24]M01!H45,[24]M02!H45,[24]M03!H45,[24]M04!H45,[24]M05!H45,[24]M06!H45,[24]M07!H45,[24]M08!H45,[24]M09!H45,[24]M10!H45,[24]M11!H45,[24]M12!H45)</f>
        <v>0</v>
      </c>
      <c r="I61" s="230">
        <f>SUM([24]M01!I45,[24]M02!I45,[24]M03!I45,[24]M04!I45,[24]M05!I45,[24]M06!I45,[24]M07!I45,[24]M08!I45,[24]M09!I45,[24]M10!I45,[24]M11!I45,[24]M12!I45)</f>
        <v>0</v>
      </c>
      <c r="J61" s="230">
        <f>SUM([24]M01!J45,[24]M02!J45,[24]M03!J45,[24]M04!J45,[24]M05!J45,[24]M06!J45,[24]M07!J45,[24]M08!J45,[24]M09!J45,[24]M10!J45,[24]M11!J45,[24]M12!J45)</f>
        <v>0</v>
      </c>
      <c r="K61" s="231">
        <f>SUM([24]M01!K45,[24]M02!K45,[24]M03!K45,[24]M04!K45,[24]M05!K45,[24]M06!K45,[24]M07!K45,[24]M08!K45,[24]M09!K45,[24]M10!K45,[24]M11!K45,[24]M12!K45)</f>
        <v>0</v>
      </c>
      <c r="L61" s="232">
        <f>SUM(B61:K61)</f>
        <v>0</v>
      </c>
      <c r="M61" s="233" t="e">
        <f>L61/(L60+L61)</f>
        <v>#DIV/0!</v>
      </c>
      <c r="N61" s="166"/>
    </row>
    <row r="62" spans="1:14" ht="20.25" hidden="1" customHeight="1">
      <c r="A62" s="213" t="s">
        <v>182</v>
      </c>
      <c r="B62" s="234"/>
      <c r="C62" s="234"/>
      <c r="D62" s="234"/>
      <c r="E62" s="234"/>
      <c r="F62" s="234"/>
      <c r="G62" s="235">
        <f>SUM([24]M01!G46,[24]M02!G46,[24]M03!G46,[24]M04!G46,[24]M05!G46,[24]M06!G46,[24]M07!G46,[24]M08!G46,[24]M09!G46,[24]M10!G46,[24]M11!G46,[24]M12!G46)</f>
        <v>0</v>
      </c>
      <c r="H62" s="236">
        <f>G62/L51</f>
        <v>0</v>
      </c>
      <c r="I62" s="234"/>
      <c r="J62" s="234"/>
      <c r="K62" s="234"/>
      <c r="L62" s="212"/>
      <c r="N62" s="166"/>
    </row>
    <row r="63" spans="1:14" ht="15" customHeight="1">
      <c r="A63" s="234"/>
      <c r="B63" s="234"/>
      <c r="C63" s="234"/>
      <c r="D63" s="234"/>
      <c r="E63" s="234"/>
      <c r="F63" s="234"/>
      <c r="G63" s="234"/>
      <c r="H63" s="234"/>
      <c r="I63" s="234"/>
      <c r="J63" s="234"/>
      <c r="K63" s="234"/>
      <c r="L63" s="212"/>
      <c r="N63" s="166"/>
    </row>
    <row r="64" spans="1:14" ht="20.25" customHeight="1">
      <c r="A64" s="237" t="s">
        <v>183</v>
      </c>
      <c r="B64" s="238"/>
      <c r="C64" s="238"/>
      <c r="D64" s="238"/>
      <c r="E64" s="238"/>
      <c r="F64" s="238"/>
      <c r="G64" s="238"/>
      <c r="H64" s="238"/>
      <c r="I64" s="238"/>
      <c r="J64" s="238"/>
      <c r="K64" s="238"/>
      <c r="L64" s="219">
        <f>L65+L66</f>
        <v>106790.06352136409</v>
      </c>
      <c r="M64" s="239">
        <f>L64/(B3+B7)</f>
        <v>1</v>
      </c>
      <c r="N64" s="240"/>
    </row>
    <row r="65" spans="1:14" ht="15" customHeight="1">
      <c r="A65" s="241" t="s">
        <v>110</v>
      </c>
      <c r="B65" s="242">
        <f>B54+B57</f>
        <v>5986.0432593650276</v>
      </c>
      <c r="C65" s="243">
        <f t="shared" ref="C65:K65" si="2">C54+C57</f>
        <v>6100.1768147804396</v>
      </c>
      <c r="D65" s="243">
        <f t="shared" si="2"/>
        <v>2142.1515044444195</v>
      </c>
      <c r="E65" s="243">
        <f t="shared" si="2"/>
        <v>8425.0567173493109</v>
      </c>
      <c r="F65" s="243">
        <f t="shared" si="2"/>
        <v>9019.902862212848</v>
      </c>
      <c r="G65" s="243">
        <f t="shared" si="2"/>
        <v>2619.1248302153203</v>
      </c>
      <c r="H65" s="243">
        <f t="shared" si="2"/>
        <v>653.32980645356747</v>
      </c>
      <c r="I65" s="243">
        <f t="shared" si="2"/>
        <v>1235.1224887885426</v>
      </c>
      <c r="J65" s="243">
        <f t="shared" si="2"/>
        <v>7193.353814259197</v>
      </c>
      <c r="K65" s="244">
        <f t="shared" si="2"/>
        <v>4681.2664867451676</v>
      </c>
      <c r="L65" s="225">
        <f>SUM(B65:K65)</f>
        <v>48055.528584613843</v>
      </c>
      <c r="M65" s="226">
        <f>L65/(L66+L65)</f>
        <v>0.45</v>
      </c>
      <c r="N65" s="240"/>
    </row>
    <row r="66" spans="1:14" ht="15" customHeight="1">
      <c r="A66" s="245" t="s">
        <v>167</v>
      </c>
      <c r="B66" s="246">
        <f>B55+B58+B60+B61</f>
        <v>369.09726615342981</v>
      </c>
      <c r="C66" s="247">
        <f t="shared" ref="C66:K66" si="3">C55+C58+C60+C61</f>
        <v>0</v>
      </c>
      <c r="D66" s="247">
        <f t="shared" si="3"/>
        <v>30.43073879081625</v>
      </c>
      <c r="E66" s="247">
        <f t="shared" si="3"/>
        <v>3993.3582047230966</v>
      </c>
      <c r="F66" s="247">
        <f t="shared" si="3"/>
        <v>6862.197311807292</v>
      </c>
      <c r="G66" s="247">
        <f t="shared" si="3"/>
        <v>6158.9520681754129</v>
      </c>
      <c r="H66" s="247">
        <f t="shared" si="3"/>
        <v>35961.062775510814</v>
      </c>
      <c r="I66" s="247">
        <f t="shared" si="3"/>
        <v>40.066769530498661</v>
      </c>
      <c r="J66" s="247">
        <f t="shared" si="3"/>
        <v>4351.3471321575016</v>
      </c>
      <c r="K66" s="248">
        <f t="shared" si="3"/>
        <v>968.02266990138946</v>
      </c>
      <c r="L66" s="232">
        <f>SUM(B66:K66)</f>
        <v>58734.534936750249</v>
      </c>
      <c r="M66" s="233">
        <f>L66/(L65+L66)</f>
        <v>0.54999999999999993</v>
      </c>
      <c r="N66" s="240"/>
    </row>
    <row r="67" spans="1:14" ht="15" customHeight="1">
      <c r="B67" s="236">
        <f>B65/$L$64</f>
        <v>5.6054309380268119E-2</v>
      </c>
      <c r="C67" s="236">
        <f t="shared" ref="C67:K67" si="4">C65/$L$64</f>
        <v>5.7123075065500427E-2</v>
      </c>
      <c r="D67" s="236">
        <f t="shared" si="4"/>
        <v>2.0059464652494259E-2</v>
      </c>
      <c r="E67" s="236">
        <f t="shared" si="4"/>
        <v>7.889363897291643E-2</v>
      </c>
      <c r="F67" s="236">
        <f t="shared" si="4"/>
        <v>8.4463877675363994E-2</v>
      </c>
      <c r="G67" s="236">
        <f t="shared" si="4"/>
        <v>2.4525922579785208E-2</v>
      </c>
      <c r="H67" s="236">
        <f t="shared" si="4"/>
        <v>6.1178894825066219E-3</v>
      </c>
      <c r="I67" s="236">
        <f t="shared" si="4"/>
        <v>1.1565893380533928E-2</v>
      </c>
      <c r="J67" s="236">
        <f t="shared" si="4"/>
        <v>6.7359767164293483E-2</v>
      </c>
      <c r="K67" s="236">
        <f t="shared" si="4"/>
        <v>4.3836161646337517E-2</v>
      </c>
      <c r="N67" s="166"/>
    </row>
    <row r="68" spans="1:14" ht="15" customHeight="1">
      <c r="B68" s="236">
        <f t="shared" ref="B68:K68" si="5">B66/$L$64</f>
        <v>3.4562884783712984E-3</v>
      </c>
      <c r="C68" s="236">
        <f t="shared" si="5"/>
        <v>0</v>
      </c>
      <c r="D68" s="236">
        <f t="shared" si="5"/>
        <v>2.8495852317503647E-4</v>
      </c>
      <c r="E68" s="236">
        <f t="shared" si="5"/>
        <v>3.7394473540360781E-2</v>
      </c>
      <c r="F68" s="236">
        <f t="shared" si="5"/>
        <v>6.4258762337326095E-2</v>
      </c>
      <c r="G68" s="236">
        <f t="shared" si="5"/>
        <v>5.7673456359947493E-2</v>
      </c>
      <c r="H68" s="236">
        <f t="shared" si="5"/>
        <v>0.33674540111418283</v>
      </c>
      <c r="I68" s="236">
        <f t="shared" si="5"/>
        <v>3.751919252532613E-4</v>
      </c>
      <c r="J68" s="236">
        <f t="shared" si="5"/>
        <v>4.0746741678704824E-2</v>
      </c>
      <c r="K68" s="236">
        <f t="shared" si="5"/>
        <v>9.0647260426783977E-3</v>
      </c>
      <c r="N68" s="166"/>
    </row>
    <row r="69" spans="1:14" ht="15" customHeight="1">
      <c r="B69" s="249"/>
      <c r="C69" s="249"/>
      <c r="D69" s="249"/>
      <c r="E69" s="249"/>
      <c r="F69" s="249"/>
      <c r="G69" s="249"/>
      <c r="H69" s="249"/>
      <c r="I69" s="249"/>
      <c r="J69" s="249"/>
      <c r="K69" s="249"/>
      <c r="L69" s="250"/>
      <c r="M69" s="251"/>
    </row>
    <row r="70" spans="1:14" ht="15" customHeight="1">
      <c r="B70" s="249"/>
      <c r="C70" s="249"/>
      <c r="D70" s="249"/>
      <c r="E70" s="249"/>
      <c r="F70" s="249"/>
      <c r="G70" s="249"/>
      <c r="H70" s="249"/>
      <c r="I70" s="249"/>
      <c r="J70" s="249"/>
      <c r="K70" s="249"/>
    </row>
    <row r="71" spans="1:14" ht="15" customHeight="1">
      <c r="B71" s="249"/>
      <c r="C71" s="249"/>
      <c r="D71" s="249"/>
      <c r="E71" s="249"/>
      <c r="F71" s="249"/>
      <c r="G71" s="249"/>
      <c r="H71" s="249"/>
      <c r="I71" s="249"/>
      <c r="J71" s="249"/>
      <c r="K71" s="249"/>
      <c r="L71" s="250"/>
    </row>
    <row r="72" spans="1:14" ht="15" customHeight="1">
      <c r="B72" s="249"/>
      <c r="C72" s="249"/>
      <c r="D72" s="249"/>
      <c r="E72" s="249"/>
      <c r="F72" s="249"/>
      <c r="G72" s="249"/>
      <c r="H72" s="249"/>
      <c r="I72" s="249"/>
      <c r="J72" s="249"/>
      <c r="K72" s="249"/>
      <c r="L72" s="250"/>
    </row>
  </sheetData>
  <conditionalFormatting sqref="B19:L20 B38:K38">
    <cfRule type="cellIs" dxfId="17" priority="18" operator="equal">
      <formula>0</formula>
    </cfRule>
  </conditionalFormatting>
  <conditionalFormatting sqref="B25:K27">
    <cfRule type="cellIs" dxfId="16" priority="17" operator="equal">
      <formula>0</formula>
    </cfRule>
  </conditionalFormatting>
  <conditionalFormatting sqref="B29:K30">
    <cfRule type="cellIs" dxfId="15" priority="16" operator="equal">
      <formula>0</formula>
    </cfRule>
  </conditionalFormatting>
  <conditionalFormatting sqref="B54:K55">
    <cfRule type="cellIs" dxfId="14" priority="15" operator="equal">
      <formula>0</formula>
    </cfRule>
  </conditionalFormatting>
  <conditionalFormatting sqref="L25:L27">
    <cfRule type="cellIs" dxfId="13" priority="14" operator="equal">
      <formula>0</formula>
    </cfRule>
  </conditionalFormatting>
  <conditionalFormatting sqref="B57:K58">
    <cfRule type="cellIs" dxfId="12" priority="13" operator="equal">
      <formula>0</formula>
    </cfRule>
  </conditionalFormatting>
  <conditionalFormatting sqref="B60:K61">
    <cfRule type="cellIs" dxfId="11" priority="12" operator="equal">
      <formula>0</formula>
    </cfRule>
  </conditionalFormatting>
  <conditionalFormatting sqref="B22:L23">
    <cfRule type="cellIs" dxfId="10" priority="11" operator="equal">
      <formula>0</formula>
    </cfRule>
  </conditionalFormatting>
  <conditionalFormatting sqref="N12:N13">
    <cfRule type="cellIs" dxfId="9" priority="10" stopIfTrue="1" operator="notEqual">
      <formula>8760</formula>
    </cfRule>
  </conditionalFormatting>
  <conditionalFormatting sqref="N14">
    <cfRule type="cellIs" dxfId="8" priority="9" stopIfTrue="1" operator="notEqual">
      <formula>1</formula>
    </cfRule>
  </conditionalFormatting>
  <conditionalFormatting sqref="L54:L55">
    <cfRule type="cellIs" dxfId="7" priority="7" operator="equal">
      <formula>0</formula>
    </cfRule>
  </conditionalFormatting>
  <conditionalFormatting sqref="M51">
    <cfRule type="cellIs" dxfId="6" priority="8" stopIfTrue="1" operator="notEqual">
      <formula>$L$51</formula>
    </cfRule>
  </conditionalFormatting>
  <conditionalFormatting sqref="L57:L58">
    <cfRule type="cellIs" dxfId="5" priority="6" operator="equal">
      <formula>0</formula>
    </cfRule>
  </conditionalFormatting>
  <conditionalFormatting sqref="L60:L61">
    <cfRule type="cellIs" dxfId="4" priority="5" operator="equal">
      <formula>0</formula>
    </cfRule>
  </conditionalFormatting>
  <conditionalFormatting sqref="B65:K66">
    <cfRule type="cellIs" dxfId="3" priority="4" operator="equal">
      <formula>0</formula>
    </cfRule>
  </conditionalFormatting>
  <conditionalFormatting sqref="L65:L66">
    <cfRule type="cellIs" dxfId="2" priority="3" operator="equal">
      <formula>0</formula>
    </cfRule>
  </conditionalFormatting>
  <conditionalFormatting sqref="L51">
    <cfRule type="cellIs" dxfId="1" priority="2" stopIfTrue="1" operator="notEqual">
      <formula>$M$51</formula>
    </cfRule>
  </conditionalFormatting>
  <conditionalFormatting sqref="B44:K45">
    <cfRule type="cellIs" dxfId="0" priority="1" operator="equal">
      <formula>0</formula>
    </cfRule>
  </conditionalFormatting>
  <printOptions horizontalCentered="1"/>
  <pageMargins left="0.39370078740157483" right="0.39370078740157483" top="0.98425196850393704" bottom="0.39370078740157483" header="0.59055118110236227" footer="0.31496062992125984"/>
  <pageSetup paperSize="9" scale="76" orientation="portrait" r:id="rId1"/>
  <headerFooter>
    <oddHeader>&amp;C&amp;Z&amp;F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9</vt:i4>
      </vt:variant>
    </vt:vector>
  </HeadingPairs>
  <TitlesOfParts>
    <vt:vector size="18" baseType="lpstr">
      <vt:lpstr>Datos fijos AÑO 1</vt:lpstr>
      <vt:lpstr>Datos fijos AÑO 2 </vt:lpstr>
      <vt:lpstr>Datos fijos AÑO 3</vt:lpstr>
      <vt:lpstr>Datos fijos AÑO 4</vt:lpstr>
      <vt:lpstr>CUSPT Equivalente - Generadores</vt:lpstr>
      <vt:lpstr>CUSPT AÑO 1 </vt:lpstr>
      <vt:lpstr>CUSPT AÑO 2</vt:lpstr>
      <vt:lpstr>CUSPT AÑO 3</vt:lpstr>
      <vt:lpstr>CUSPT AÑO 4  </vt:lpstr>
      <vt:lpstr>'CUSPT AÑO 1 '!Área_de_impresión</vt:lpstr>
      <vt:lpstr>'CUSPT AÑO 2'!Área_de_impresión</vt:lpstr>
      <vt:lpstr>'CUSPT AÑO 3'!Área_de_impresión</vt:lpstr>
      <vt:lpstr>'CUSPT AÑO 4  '!Área_de_impresión</vt:lpstr>
      <vt:lpstr>'CUSPT Equivalente - Generadores'!Área_de_impresión</vt:lpstr>
      <vt:lpstr>'Datos fijos AÑO 1'!Área_de_impresión</vt:lpstr>
      <vt:lpstr>'Datos fijos AÑO 2 '!Área_de_impresión</vt:lpstr>
      <vt:lpstr>'Datos fijos AÑO 3'!Área_de_impresión</vt:lpstr>
      <vt:lpstr>'Datos fijos AÑO 4'!Área_de_impresión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Enrique Hernandez Cárdenas</dc:creator>
  <cp:lastModifiedBy>Enrique Hernandez Cárdenas</cp:lastModifiedBy>
  <dcterms:created xsi:type="dcterms:W3CDTF">2022-09-01T08:17:20Z</dcterms:created>
  <dcterms:modified xsi:type="dcterms:W3CDTF">2025-06-02T06:26:27Z</dcterms:modified>
</cp:coreProperties>
</file>