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yDL\Documents\D\Ente Regulador\ESTUDIOS DE DISTRIBUCION 2018-2022\CONSULTA PÚBLICA  - IMP\EDEMET\"/>
    </mc:Choice>
  </mc:AlternateContent>
  <bookViews>
    <workbookView xWindow="0" yWindow="0" windowWidth="28800" windowHeight="10845"/>
  </bookViews>
  <sheets>
    <sheet name="IMP-RESUMEN" sheetId="7" r:id="rId1"/>
    <sheet name="IMPD" sheetId="2" r:id="rId2"/>
    <sheet name="IMPCO" sheetId="3" r:id="rId3"/>
    <sheet name="ALUMPU" sheetId="4" r:id="rId4"/>
    <sheet name="DEMANDA" sheetId="12" r:id="rId5"/>
    <sheet name="REGRESIONES" sheetId="17" r:id="rId6"/>
    <sheet name="INVERSIONES" sheetId="10" r:id="rId7"/>
    <sheet name="ACTIVOS" sheetId="8" r:id="rId8"/>
    <sheet name="PERDIDAS y OTROS" sheetId="11" r:id="rId9"/>
    <sheet name="RETORNO" sheetId="14" r:id="rId10"/>
  </sheets>
  <calcPr calcId="152511" iterate="1"/>
</workbook>
</file>

<file path=xl/calcChain.xml><?xml version="1.0" encoding="utf-8"?>
<calcChain xmlns="http://schemas.openxmlformats.org/spreadsheetml/2006/main">
  <c r="H10" i="11" l="1"/>
  <c r="G10" i="11"/>
  <c r="F10" i="11"/>
  <c r="E10" i="11"/>
  <c r="D7" i="12" l="1"/>
  <c r="D6" i="12"/>
  <c r="E13" i="12"/>
  <c r="F13" i="12" s="1"/>
  <c r="G13" i="12" s="1"/>
  <c r="H13" i="12" s="1"/>
  <c r="E12" i="12"/>
  <c r="F12" i="12" s="1"/>
  <c r="G12" i="12" s="1"/>
  <c r="H12" i="12" s="1"/>
  <c r="C13" i="7" l="1"/>
  <c r="D24" i="10" l="1"/>
  <c r="L64" i="10"/>
  <c r="M64" i="10"/>
  <c r="N64" i="10"/>
  <c r="O64" i="10"/>
  <c r="P64" i="10"/>
  <c r="Q64" i="10"/>
  <c r="R64" i="10"/>
  <c r="K64" i="10"/>
  <c r="S63" i="10"/>
  <c r="L63" i="10"/>
  <c r="M63" i="10"/>
  <c r="N63" i="10"/>
  <c r="O63" i="10"/>
  <c r="P63" i="10"/>
  <c r="Q63" i="10"/>
  <c r="R63" i="10"/>
  <c r="K63" i="10"/>
  <c r="S55" i="10"/>
  <c r="L55" i="10"/>
  <c r="M55" i="10"/>
  <c r="N55" i="10"/>
  <c r="O55" i="10"/>
  <c r="P55" i="10"/>
  <c r="Q55" i="10"/>
  <c r="R55" i="10"/>
  <c r="K55" i="10"/>
  <c r="S53" i="10"/>
  <c r="S39" i="10"/>
  <c r="L40" i="10"/>
  <c r="M40" i="10"/>
  <c r="N40" i="10"/>
  <c r="O40" i="10"/>
  <c r="P40" i="10"/>
  <c r="Q40" i="10"/>
  <c r="R40" i="10"/>
  <c r="K40" i="10"/>
  <c r="D16" i="10" s="1"/>
  <c r="S36" i="10"/>
  <c r="S37" i="10"/>
  <c r="S40" i="10" l="1"/>
  <c r="S64" i="10"/>
  <c r="D44" i="17" l="1"/>
  <c r="D43" i="17"/>
  <c r="D42" i="17"/>
  <c r="D41" i="17"/>
  <c r="D40" i="17"/>
  <c r="E11" i="8" l="1"/>
  <c r="E16" i="8"/>
  <c r="E15" i="8"/>
  <c r="E14" i="8"/>
  <c r="E10" i="8"/>
  <c r="F10" i="8" l="1"/>
  <c r="G14" i="14" l="1"/>
  <c r="G13" i="14"/>
  <c r="S70" i="10" l="1"/>
  <c r="S71" i="10"/>
  <c r="S72" i="10"/>
  <c r="S73" i="10"/>
  <c r="S74" i="10"/>
  <c r="S75" i="10"/>
  <c r="S76" i="10"/>
  <c r="S77" i="10"/>
  <c r="S78" i="10"/>
  <c r="S79" i="10"/>
  <c r="S80" i="10"/>
  <c r="S56" i="10"/>
  <c r="S57" i="10"/>
  <c r="S58" i="10"/>
  <c r="S59" i="10"/>
  <c r="S60" i="10"/>
  <c r="S61" i="10"/>
  <c r="S62" i="10"/>
  <c r="S54" i="10"/>
  <c r="G18" i="10"/>
  <c r="F18" i="10"/>
  <c r="E18" i="10"/>
  <c r="D18" i="10"/>
  <c r="G17" i="10"/>
  <c r="F17" i="10"/>
  <c r="E17" i="10"/>
  <c r="D17" i="10"/>
  <c r="D36" i="10" s="1"/>
  <c r="L47" i="10"/>
  <c r="M47" i="10"/>
  <c r="N47" i="10"/>
  <c r="O47" i="10"/>
  <c r="P47" i="10"/>
  <c r="Q47" i="10"/>
  <c r="R47" i="10"/>
  <c r="N31" i="10"/>
  <c r="O31" i="10"/>
  <c r="P31" i="10"/>
  <c r="Q31" i="10"/>
  <c r="R31" i="10"/>
  <c r="K31" i="10"/>
  <c r="L31" i="10"/>
  <c r="G24" i="10"/>
  <c r="F24" i="10"/>
  <c r="E24" i="10"/>
  <c r="D23" i="10"/>
  <c r="E23" i="10"/>
  <c r="F23" i="10"/>
  <c r="G23" i="10"/>
  <c r="G22" i="10"/>
  <c r="F22" i="10"/>
  <c r="E22" i="10"/>
  <c r="D22" i="10"/>
  <c r="S69" i="10"/>
  <c r="G30" i="10"/>
  <c r="F30" i="10"/>
  <c r="E30" i="10"/>
  <c r="D30" i="10"/>
  <c r="D29" i="10"/>
  <c r="E29" i="10"/>
  <c r="F29" i="10"/>
  <c r="G29" i="10"/>
  <c r="G28" i="10"/>
  <c r="F28" i="10"/>
  <c r="E28" i="10"/>
  <c r="D28" i="10"/>
  <c r="D15" i="10" l="1"/>
  <c r="E16" i="10"/>
  <c r="F16" i="10"/>
  <c r="G16" i="10"/>
  <c r="F15" i="10"/>
  <c r="G15" i="10"/>
  <c r="H29" i="10"/>
  <c r="S45" i="10" l="1"/>
  <c r="S12" i="10" l="1"/>
  <c r="S8" i="10"/>
  <c r="S46" i="10" l="1"/>
  <c r="M31" i="10"/>
  <c r="E15" i="10" s="1"/>
  <c r="D35" i="10"/>
  <c r="S38" i="10"/>
  <c r="S7" i="10"/>
  <c r="S9" i="10"/>
  <c r="S10" i="10"/>
  <c r="S11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6" i="10"/>
  <c r="H18" i="10" l="1"/>
  <c r="H17" i="10"/>
  <c r="H28" i="10"/>
  <c r="K47" i="10" l="1"/>
  <c r="E31" i="10" l="1"/>
  <c r="S31" i="10"/>
  <c r="S47" i="10"/>
  <c r="F31" i="10"/>
  <c r="H16" i="10" l="1"/>
  <c r="E25" i="10"/>
  <c r="H22" i="10"/>
  <c r="D25" i="10"/>
  <c r="H15" i="10"/>
  <c r="F25" i="10"/>
  <c r="G31" i="10"/>
  <c r="G25" i="10"/>
  <c r="H24" i="10"/>
  <c r="H23" i="10"/>
  <c r="D31" i="10"/>
  <c r="H30" i="10"/>
  <c r="D10" i="10" l="1"/>
  <c r="D37" i="10"/>
  <c r="G10" i="10"/>
  <c r="G37" i="10"/>
  <c r="F10" i="10"/>
  <c r="F37" i="10"/>
  <c r="E10" i="10"/>
  <c r="E37" i="10"/>
  <c r="H25" i="10"/>
  <c r="H37" i="10" s="1"/>
  <c r="H31" i="10"/>
  <c r="E24" i="4"/>
  <c r="D12" i="4" s="1"/>
  <c r="F24" i="4" l="1"/>
  <c r="G24" i="4" l="1"/>
  <c r="H24" i="4" l="1"/>
  <c r="I12" i="12" l="1"/>
  <c r="G36" i="10"/>
  <c r="F36" i="10"/>
  <c r="E36" i="10"/>
  <c r="F35" i="10" l="1"/>
  <c r="H36" i="10"/>
  <c r="G35" i="10"/>
  <c r="E35" i="10"/>
  <c r="I8" i="12"/>
  <c r="I13" i="12" l="1"/>
  <c r="E20" i="17" l="1"/>
  <c r="F20" i="17"/>
  <c r="G20" i="17"/>
  <c r="H20" i="17"/>
  <c r="D20" i="17"/>
  <c r="F31" i="17" l="1"/>
  <c r="F61" i="17" s="1"/>
  <c r="F32" i="17"/>
  <c r="F62" i="17" s="1"/>
  <c r="E32" i="17"/>
  <c r="E62" i="17" s="1"/>
  <c r="E31" i="17"/>
  <c r="E61" i="17" s="1"/>
  <c r="C31" i="17"/>
  <c r="C32" i="17"/>
  <c r="G32" i="17"/>
  <c r="G62" i="17" s="1"/>
  <c r="G31" i="17"/>
  <c r="G61" i="17" s="1"/>
  <c r="D31" i="17"/>
  <c r="D61" i="17" s="1"/>
  <c r="D32" i="17"/>
  <c r="D62" i="17" s="1"/>
  <c r="D18" i="17" l="1"/>
  <c r="C28" i="17" s="1"/>
  <c r="C58" i="17" s="1"/>
  <c r="C30" i="17"/>
  <c r="G29" i="17"/>
  <c r="G59" i="17" s="1"/>
  <c r="F29" i="17"/>
  <c r="F59" i="17" s="1"/>
  <c r="E29" i="17"/>
  <c r="E59" i="17" s="1"/>
  <c r="D29" i="17"/>
  <c r="D59" i="17" s="1"/>
  <c r="C29" i="17"/>
  <c r="C59" i="17" s="1"/>
  <c r="F9" i="8" l="1"/>
  <c r="D10" i="12" l="1"/>
  <c r="D9" i="12" l="1"/>
  <c r="C88" i="17" l="1"/>
  <c r="C89" i="17" s="1"/>
  <c r="C47" i="17"/>
  <c r="D47" i="17" s="1"/>
  <c r="E47" i="17" s="1"/>
  <c r="F47" i="17" s="1"/>
  <c r="G47" i="17" s="1"/>
  <c r="G72" i="17" l="1"/>
  <c r="F72" i="17"/>
  <c r="E72" i="17"/>
  <c r="D72" i="17"/>
  <c r="F9" i="10" l="1"/>
  <c r="D9" i="10"/>
  <c r="E9" i="10"/>
  <c r="G9" i="10"/>
  <c r="H9" i="10" l="1"/>
  <c r="C17" i="7"/>
  <c r="D17" i="7"/>
  <c r="E17" i="7"/>
  <c r="F17" i="7"/>
  <c r="F14" i="8"/>
  <c r="F15" i="8"/>
  <c r="F16" i="8"/>
  <c r="F11" i="8"/>
  <c r="E14" i="11"/>
  <c r="E12" i="4"/>
  <c r="F14" i="11" s="1"/>
  <c r="F12" i="4"/>
  <c r="G14" i="11" s="1"/>
  <c r="G12" i="4"/>
  <c r="H14" i="11" s="1"/>
  <c r="E13" i="2" l="1"/>
  <c r="F12" i="3"/>
  <c r="G12" i="3"/>
  <c r="E12" i="3"/>
  <c r="F13" i="2"/>
  <c r="H10" i="10"/>
  <c r="F12" i="8"/>
  <c r="F17" i="8"/>
  <c r="G11" i="8"/>
  <c r="D18" i="7"/>
  <c r="D29" i="7" s="1"/>
  <c r="E18" i="7"/>
  <c r="E29" i="7" s="1"/>
  <c r="F18" i="7"/>
  <c r="C18" i="7"/>
  <c r="G13" i="2" l="1"/>
  <c r="H35" i="10"/>
  <c r="H11" i="8"/>
  <c r="I11" i="8" s="1"/>
  <c r="G16" i="8"/>
  <c r="D11" i="4"/>
  <c r="F29" i="7"/>
  <c r="C29" i="7"/>
  <c r="G10" i="8"/>
  <c r="G15" i="8" s="1"/>
  <c r="H16" i="8" l="1"/>
  <c r="I16" i="8" s="1"/>
  <c r="E11" i="4"/>
  <c r="D10" i="4"/>
  <c r="D41" i="7"/>
  <c r="F11" i="4"/>
  <c r="J11" i="8"/>
  <c r="G11" i="4" s="1"/>
  <c r="H10" i="8"/>
  <c r="H15" i="8" s="1"/>
  <c r="D11" i="3"/>
  <c r="D12" i="3" l="1"/>
  <c r="D13" i="2"/>
  <c r="D14" i="4"/>
  <c r="C11" i="7" s="1"/>
  <c r="J16" i="8"/>
  <c r="G10" i="4" s="1"/>
  <c r="G14" i="4" s="1"/>
  <c r="E10" i="4"/>
  <c r="E14" i="4" s="1"/>
  <c r="E11" i="3"/>
  <c r="I10" i="8"/>
  <c r="I15" i="8" s="1"/>
  <c r="F10" i="4"/>
  <c r="F14" i="4" s="1"/>
  <c r="D10" i="3"/>
  <c r="D14" i="3" s="1"/>
  <c r="C10" i="7" s="1"/>
  <c r="D11" i="7" l="1"/>
  <c r="D24" i="7" s="1"/>
  <c r="E11" i="7"/>
  <c r="E24" i="7" s="1"/>
  <c r="F11" i="7"/>
  <c r="F24" i="7" s="1"/>
  <c r="F11" i="3"/>
  <c r="J10" i="8"/>
  <c r="E10" i="3"/>
  <c r="E14" i="3" s="1"/>
  <c r="D10" i="7" s="1"/>
  <c r="D23" i="7" s="1"/>
  <c r="G11" i="3" l="1"/>
  <c r="J15" i="8"/>
  <c r="G10" i="3" s="1"/>
  <c r="F10" i="3"/>
  <c r="F14" i="3" s="1"/>
  <c r="E10" i="7" s="1"/>
  <c r="E23" i="7" s="1"/>
  <c r="G14" i="3" l="1"/>
  <c r="F10" i="7" s="1"/>
  <c r="F23" i="7" s="1"/>
  <c r="D88" i="17" l="1"/>
  <c r="E88" i="17"/>
  <c r="F88" i="17"/>
  <c r="G88" i="17"/>
  <c r="D89" i="17"/>
  <c r="E9" i="11" s="1"/>
  <c r="E89" i="17"/>
  <c r="F9" i="11" s="1"/>
  <c r="F89" i="17"/>
  <c r="G9" i="11" s="1"/>
  <c r="G89" i="17"/>
  <c r="H9" i="11" s="1"/>
  <c r="G14" i="12" l="1"/>
  <c r="G7" i="12" s="1"/>
  <c r="G6" i="12" s="1"/>
  <c r="G18" i="17" s="1"/>
  <c r="H14" i="12"/>
  <c r="H7" i="12" s="1"/>
  <c r="G17" i="2" s="1"/>
  <c r="G19" i="2" s="1"/>
  <c r="F12" i="7" s="1"/>
  <c r="F25" i="7" s="1"/>
  <c r="F14" i="12"/>
  <c r="F7" i="12" s="1"/>
  <c r="F6" i="12" s="1"/>
  <c r="F18" i="17" s="1"/>
  <c r="E14" i="12"/>
  <c r="E7" i="12" s="1"/>
  <c r="E6" i="12" s="1"/>
  <c r="E18" i="17" s="1"/>
  <c r="E17" i="2" l="1"/>
  <c r="E19" i="2" s="1"/>
  <c r="D12" i="7" s="1"/>
  <c r="D25" i="7" s="1"/>
  <c r="E28" i="17"/>
  <c r="E58" i="17" s="1"/>
  <c r="E30" i="17"/>
  <c r="E60" i="17" s="1"/>
  <c r="D28" i="17"/>
  <c r="D58" i="17" s="1"/>
  <c r="D30" i="17"/>
  <c r="D60" i="17" s="1"/>
  <c r="F30" i="17"/>
  <c r="F60" i="17" s="1"/>
  <c r="F28" i="17"/>
  <c r="F58" i="17" s="1"/>
  <c r="D17" i="2"/>
  <c r="D19" i="2" s="1"/>
  <c r="C12" i="7" s="1"/>
  <c r="H6" i="12"/>
  <c r="I7" i="12"/>
  <c r="F17" i="2"/>
  <c r="F19" i="2" s="1"/>
  <c r="E12" i="7" s="1"/>
  <c r="E25" i="7" s="1"/>
  <c r="D12" i="2" l="1"/>
  <c r="D67" i="17"/>
  <c r="D63" i="17"/>
  <c r="D66" i="17"/>
  <c r="D68" i="17" s="1"/>
  <c r="D71" i="17"/>
  <c r="F71" i="17"/>
  <c r="F66" i="17"/>
  <c r="E63" i="17"/>
  <c r="E12" i="2"/>
  <c r="E67" i="17"/>
  <c r="H18" i="17"/>
  <c r="I6" i="12"/>
  <c r="F63" i="17"/>
  <c r="F12" i="2"/>
  <c r="F67" i="17"/>
  <c r="E71" i="17"/>
  <c r="E66" i="17"/>
  <c r="E68" i="17" s="1"/>
  <c r="D8" i="10" l="1"/>
  <c r="D74" i="17"/>
  <c r="G30" i="17"/>
  <c r="G60" i="17" s="1"/>
  <c r="G28" i="17"/>
  <c r="G58" i="17" s="1"/>
  <c r="F8" i="10"/>
  <c r="F11" i="10" s="1"/>
  <c r="F74" i="17"/>
  <c r="E8" i="10"/>
  <c r="E11" i="10" s="1"/>
  <c r="E74" i="17"/>
  <c r="F68" i="17"/>
  <c r="G63" i="17" l="1"/>
  <c r="G12" i="2"/>
  <c r="G67" i="17"/>
  <c r="G71" i="17"/>
  <c r="G66" i="17"/>
  <c r="G68" i="17" s="1"/>
  <c r="G9" i="8"/>
  <c r="D11" i="10"/>
  <c r="D11" i="2" l="1"/>
  <c r="H9" i="8"/>
  <c r="G14" i="8"/>
  <c r="G74" i="17"/>
  <c r="G8" i="10"/>
  <c r="G11" i="10" l="1"/>
  <c r="H11" i="10" s="1"/>
  <c r="H8" i="10"/>
  <c r="E11" i="2"/>
  <c r="I9" i="8"/>
  <c r="D10" i="2"/>
  <c r="D15" i="2" s="1"/>
  <c r="H14" i="8"/>
  <c r="D21" i="2" l="1"/>
  <c r="C9" i="7"/>
  <c r="I14" i="8"/>
  <c r="E10" i="2"/>
  <c r="J9" i="8"/>
  <c r="G11" i="2" s="1"/>
  <c r="F11" i="2"/>
  <c r="E15" i="2"/>
  <c r="E21" i="2" l="1"/>
  <c r="D9" i="7"/>
  <c r="F10" i="2"/>
  <c r="F15" i="2" s="1"/>
  <c r="J14" i="8"/>
  <c r="G10" i="2" s="1"/>
  <c r="G15" i="2" s="1"/>
  <c r="C15" i="7"/>
  <c r="C22" i="7"/>
  <c r="C23" i="7"/>
  <c r="D36" i="7" s="1"/>
  <c r="C24" i="7"/>
  <c r="D37" i="7" s="1"/>
  <c r="C25" i="7"/>
  <c r="D39" i="7" s="1"/>
  <c r="F9" i="7" l="1"/>
  <c r="G21" i="2"/>
  <c r="F21" i="2"/>
  <c r="E9" i="7"/>
  <c r="C27" i="7"/>
  <c r="D22" i="7"/>
  <c r="D27" i="7" s="1"/>
  <c r="D15" i="7"/>
  <c r="E15" i="7" l="1"/>
  <c r="E22" i="7"/>
  <c r="E27" i="7" s="1"/>
  <c r="F22" i="7"/>
  <c r="F27" i="7" s="1"/>
  <c r="F15" i="7"/>
  <c r="D35" i="7" l="1"/>
  <c r="D38" i="7" l="1"/>
  <c r="D40" i="7"/>
  <c r="D42" i="7" s="1"/>
  <c r="D43" i="7" s="1"/>
</calcChain>
</file>

<file path=xl/comments1.xml><?xml version="1.0" encoding="utf-8"?>
<comments xmlns="http://schemas.openxmlformats.org/spreadsheetml/2006/main">
  <authors>
    <author>Mariana Alvarez Guerrero</author>
  </authors>
  <commentList>
    <comment ref="A48" authorId="0" shapeId="0">
      <text>
        <r>
          <rPr>
            <b/>
            <sz val="9"/>
            <color indexed="81"/>
            <rFont val="Tahoma"/>
            <family val="2"/>
          </rPr>
          <t>Mariana Alvarez Guerrero:</t>
        </r>
        <r>
          <rPr>
            <sz val="9"/>
            <color indexed="81"/>
            <rFont val="Tahoma"/>
            <family val="2"/>
          </rPr>
          <t xml:space="preserve">
Fuente: IMF
http://www.imf.org/external/data.htm</t>
        </r>
      </text>
    </comment>
  </commentList>
</comments>
</file>

<file path=xl/comments2.xml><?xml version="1.0" encoding="utf-8"?>
<comments xmlns="http://schemas.openxmlformats.org/spreadsheetml/2006/main">
  <authors>
    <author>JennyDL</author>
  </authors>
  <commentList>
    <comment ref="L78" authorId="0" shapeId="0">
      <text>
        <r>
          <rPr>
            <b/>
            <sz val="9"/>
            <color indexed="81"/>
            <rFont val="Tahoma"/>
            <family val="2"/>
          </rPr>
          <t>JennyDL:</t>
        </r>
        <r>
          <rPr>
            <sz val="9"/>
            <color indexed="81"/>
            <rFont val="Tahoma"/>
            <family val="2"/>
          </rPr>
          <t xml:space="preserve">
NO SE SUMAN PORQUE SON REEMPLAZO</t>
        </r>
      </text>
    </comment>
  </commentList>
</comments>
</file>

<file path=xl/sharedStrings.xml><?xml version="1.0" encoding="utf-8"?>
<sst xmlns="http://schemas.openxmlformats.org/spreadsheetml/2006/main" count="499" uniqueCount="271">
  <si>
    <t>%</t>
  </si>
  <si>
    <t>PD%</t>
  </si>
  <si>
    <t>IMPULSORES DE COSTOS</t>
  </si>
  <si>
    <t>Demanda Máxima</t>
  </si>
  <si>
    <t>Clientes</t>
  </si>
  <si>
    <t>Rentabilidad sobre Activos</t>
  </si>
  <si>
    <t>Depreciación</t>
  </si>
  <si>
    <t>Operación y Mantenimiento</t>
  </si>
  <si>
    <t>Administración</t>
  </si>
  <si>
    <t>ALUMBRADO PÚBLICO</t>
  </si>
  <si>
    <t>MWh</t>
  </si>
  <si>
    <t>COMERCIALIZACION</t>
  </si>
  <si>
    <t>ALUMPU</t>
  </si>
  <si>
    <t>IMPD</t>
  </si>
  <si>
    <t>IMPCO</t>
  </si>
  <si>
    <t>IMP</t>
  </si>
  <si>
    <t>ACTIVOS TARIFARIOS PERMITIDOS</t>
  </si>
  <si>
    <t>INVERSIONES</t>
  </si>
  <si>
    <t>TOTAL INVERSIONES</t>
  </si>
  <si>
    <t>DISTRIBUCIÓN</t>
  </si>
  <si>
    <t>COM</t>
  </si>
  <si>
    <t>Nº clientes</t>
  </si>
  <si>
    <t>AD</t>
  </si>
  <si>
    <t>AC</t>
  </si>
  <si>
    <t>ADM</t>
  </si>
  <si>
    <t>Constante</t>
  </si>
  <si>
    <t>OM</t>
  </si>
  <si>
    <t>BCDN * RR</t>
  </si>
  <si>
    <t>BCD * DEP%</t>
  </si>
  <si>
    <t>DEP%</t>
  </si>
  <si>
    <t>CMM</t>
  </si>
  <si>
    <t>Costo de la Energía en Mercado Mayorista</t>
  </si>
  <si>
    <t>BCNC * RR</t>
  </si>
  <si>
    <t>BCC * DEP%</t>
  </si>
  <si>
    <t>Comercialización</t>
  </si>
  <si>
    <t>ACTNalum * RR</t>
  </si>
  <si>
    <t>ACTalum * DEP%</t>
  </si>
  <si>
    <t>OMalum</t>
  </si>
  <si>
    <t>ID</t>
  </si>
  <si>
    <t>IC</t>
  </si>
  <si>
    <t>Distribución</t>
  </si>
  <si>
    <t>RETORNO SOBRE CAPITAL DISTRIBUCION</t>
  </si>
  <si>
    <t>BCD</t>
  </si>
  <si>
    <t>BCC</t>
  </si>
  <si>
    <t>Valor Neto Base Capital Distribución</t>
  </si>
  <si>
    <t>BCNC</t>
  </si>
  <si>
    <t>BCND</t>
  </si>
  <si>
    <t>BASE DE CAPITAL</t>
  </si>
  <si>
    <t>ACTalum</t>
  </si>
  <si>
    <t>ACTN alum</t>
  </si>
  <si>
    <t>Operación y Mantenimiento de AP</t>
  </si>
  <si>
    <t>O&amp;Malum</t>
  </si>
  <si>
    <t>IAP</t>
  </si>
  <si>
    <t>PERDIDAS Y OTROS DATOS</t>
  </si>
  <si>
    <t>UNIDADES</t>
  </si>
  <si>
    <t>DEM/CLIENTE</t>
  </si>
  <si>
    <t>ENERGIA-AÑO/CLIENTE</t>
  </si>
  <si>
    <t>KW/CL</t>
  </si>
  <si>
    <t>CREC.a.a.</t>
  </si>
  <si>
    <t>BASE</t>
  </si>
  <si>
    <t>TOTALES</t>
  </si>
  <si>
    <t>MWh/CL</t>
  </si>
  <si>
    <t>AJUSTE ACTNOREG</t>
  </si>
  <si>
    <t>B. REFERENCIAL</t>
  </si>
  <si>
    <t xml:space="preserve"> </t>
  </si>
  <si>
    <t>Factor de Descuento</t>
  </si>
  <si>
    <t>Factor de Descuento Aplicado</t>
  </si>
  <si>
    <t>MW</t>
  </si>
  <si>
    <t>En miles de Balboas</t>
  </si>
  <si>
    <t>Alumbrado Público</t>
  </si>
  <si>
    <t>Concepto</t>
  </si>
  <si>
    <t>Tasa Libre de Riesgo</t>
  </si>
  <si>
    <t>Beta Equity Panama</t>
  </si>
  <si>
    <t>Prima Riesgo Mercado</t>
  </si>
  <si>
    <t>Tasa Endeudamiento antes de Impuesto</t>
  </si>
  <si>
    <t>Tasa Endeudamiento despues de Impuesto</t>
  </si>
  <si>
    <t>D/(D+E)</t>
  </si>
  <si>
    <t>E/(D+E)</t>
  </si>
  <si>
    <t>WACC Nominal despues de Impuestos</t>
  </si>
  <si>
    <t>WACC Nominal antes de Impuestos</t>
  </si>
  <si>
    <t>WACC Real antes de Impuestos</t>
  </si>
  <si>
    <t>Cantidad de luminarias al 30/6</t>
  </si>
  <si>
    <t>Costo O&amp;M por luminaria [B/. /año]</t>
  </si>
  <si>
    <t>A. RESOLUCIÓN ASEP</t>
  </si>
  <si>
    <t>Depreciaciones Activos de Distribución</t>
  </si>
  <si>
    <t>Depreciaciones Activos de Comercialización</t>
  </si>
  <si>
    <t>Depreciaciones Activos de AP</t>
  </si>
  <si>
    <t>DETALLE</t>
  </si>
  <si>
    <t>Estas inversiones se agregan a las que resultan de las ecuaciones de eficiencia</t>
  </si>
  <si>
    <t>EDEMET</t>
  </si>
  <si>
    <t>Energía Facturada (MWh) sin incluir AP</t>
  </si>
  <si>
    <t>Considerando Inversiones para Soterramiento</t>
  </si>
  <si>
    <t>SI</t>
  </si>
  <si>
    <t>SUB-TOTAL</t>
  </si>
  <si>
    <t>IMP TOTAL</t>
  </si>
  <si>
    <t>(1) Las pérdidas estándar de energía se han fijado conforme a las ecuaciones de eficiencia, no obstante, el monto (en B/.) es un valor de referencia.</t>
  </si>
  <si>
    <t xml:space="preserve"> El mismo se revisa semestralmente, según varía el costo real de la energía.</t>
  </si>
  <si>
    <t>Miles de B/.</t>
  </si>
  <si>
    <t>B/./MWh</t>
  </si>
  <si>
    <t>VALOR PRESENTE NETO - INGRESO MÁXIMO PERMITIDO</t>
  </si>
  <si>
    <t>VPN DEL INGRESO MÁXIMO PERMITIDO</t>
  </si>
  <si>
    <t>INGRESO MÁXIMO PERMITIDO = IMP</t>
  </si>
  <si>
    <t>INGRESO MÁXIMO PERMITIDO POR DISTRIBUCIÓN = IMPD</t>
  </si>
  <si>
    <t>Miles de Balboas</t>
  </si>
  <si>
    <t>INGRESO MÁXIMO PERMITIDO POR ALUMBRADO PÚBLICO = ALUMPU</t>
  </si>
  <si>
    <t>Balboas/MWh</t>
  </si>
  <si>
    <t>1 - CAPEX y OPEX</t>
  </si>
  <si>
    <t xml:space="preserve">Variable </t>
  </si>
  <si>
    <t>Ln(DM)</t>
  </si>
  <si>
    <t>DATOS FÍSICOS EMPRESA</t>
  </si>
  <si>
    <t>Variable</t>
  </si>
  <si>
    <t>Unidad</t>
  </si>
  <si>
    <t>Jul 2017-Jun 2018</t>
  </si>
  <si>
    <t>Demanda</t>
  </si>
  <si>
    <t>Cant.</t>
  </si>
  <si>
    <t>RESULTADOS CAPEX y OPEX</t>
  </si>
  <si>
    <t>COSTO</t>
  </si>
  <si>
    <t>Factores de ajuste</t>
  </si>
  <si>
    <t>1) Componente Mano de Obra</t>
  </si>
  <si>
    <t>Costo laboral relativo</t>
  </si>
  <si>
    <t>Participación de la mano de obra en los costos totales</t>
  </si>
  <si>
    <t>2) Componente Materiales</t>
  </si>
  <si>
    <t>PPP</t>
  </si>
  <si>
    <t>% Nacional</t>
  </si>
  <si>
    <t>Activos totales</t>
  </si>
  <si>
    <t>OPEX Totales</t>
  </si>
  <si>
    <t>TOTEX (Costos Totales)</t>
  </si>
  <si>
    <t>Inversión Totales</t>
  </si>
  <si>
    <t>2 - PÉRDIDAS</t>
  </si>
  <si>
    <t>RESULTADOS PÉRDIDAS</t>
  </si>
  <si>
    <t>Porcentaje</t>
  </si>
  <si>
    <t>PE_MWH</t>
  </si>
  <si>
    <t>PE_%</t>
  </si>
  <si>
    <t xml:space="preserve">Proyección </t>
  </si>
  <si>
    <t>Electrificación Rural</t>
  </si>
  <si>
    <t>INVERSIONES NO CONTEMPLADAS EN LAS ECUACIONES DE EFICIENCIA</t>
  </si>
  <si>
    <t>Valor Neto Base Capital Comercialización</t>
  </si>
  <si>
    <t xml:space="preserve">Pérdidas </t>
  </si>
  <si>
    <t>Pérdidas (incluye NT)</t>
  </si>
  <si>
    <t>Pérdidas No Técnicas en Zonas Rojas (PNT)</t>
  </si>
  <si>
    <t>Valor Bruto Activos Fijos Alumbrado Público</t>
  </si>
  <si>
    <t>Valor Bruto Base de Capital Distribución</t>
  </si>
  <si>
    <t>Valor Bruto Base de Capital Comercialización</t>
  </si>
  <si>
    <t>Valor Neto Activos Fijos Alumbrado Público</t>
  </si>
  <si>
    <t>INGRESO MÁXIMO PERMITIDO</t>
  </si>
  <si>
    <t>INVERSIONES TOTALES</t>
  </si>
  <si>
    <t>CONCEPTO</t>
  </si>
  <si>
    <t>Jul 2018-Jun 2019</t>
  </si>
  <si>
    <t>Jul 2019-Jun 2020</t>
  </si>
  <si>
    <t>Jul 2020-Jun 2021</t>
  </si>
  <si>
    <t>Jul 2021-Jun 2022</t>
  </si>
  <si>
    <t>Ln(DM/Cl)</t>
  </si>
  <si>
    <t>Ln(Cl)</t>
  </si>
  <si>
    <t>Ln(OM)</t>
  </si>
  <si>
    <t>Ln(COM)</t>
  </si>
  <si>
    <t>JUL18/ JUN19</t>
  </si>
  <si>
    <t>JUL19 / JUN20</t>
  </si>
  <si>
    <t>JUL20 / JUN21</t>
  </si>
  <si>
    <t>JUL21/ JUN22</t>
  </si>
  <si>
    <t>JULIO/18-JUNIO/22</t>
  </si>
  <si>
    <t>ACT.JUN18</t>
  </si>
  <si>
    <t>JUL18 / JUN19</t>
  </si>
  <si>
    <t>JUL21 / JUN22</t>
  </si>
  <si>
    <t>Energia facturada sin AP</t>
  </si>
  <si>
    <t>REGRESIONES CON DATOS DE LA FERC</t>
  </si>
  <si>
    <t>Inverisones adicionales Distribucion</t>
  </si>
  <si>
    <t>Inverisones adicionales Comercialización</t>
  </si>
  <si>
    <t>Energía ingresada al sist. Propio (eficiente)</t>
  </si>
  <si>
    <t>Perdidas eficientes</t>
  </si>
  <si>
    <t>Factor de carga</t>
  </si>
  <si>
    <t xml:space="preserve">Energía ingresada al sist. Propio </t>
  </si>
  <si>
    <t>ver crecimiento</t>
  </si>
  <si>
    <t>Inversiones adicionales en alumbrado</t>
  </si>
  <si>
    <t>TOTAL</t>
  </si>
  <si>
    <t xml:space="preserve">Nueva subestación Bella Vista </t>
  </si>
  <si>
    <t xml:space="preserve">Arquitectura de red MT de subestación Bella Vista </t>
  </si>
  <si>
    <t>Nueva Subestación Santiago 2.</t>
  </si>
  <si>
    <t xml:space="preserve">Arquitectura de red de subestación Santiago 2 </t>
  </si>
  <si>
    <t>Nueva SE La Floresta 115/13,8 KV</t>
  </si>
  <si>
    <t xml:space="preserve">Ampliación de subestación Pocrí </t>
  </si>
  <si>
    <t xml:space="preserve">Nueva subestación Las Tablas y línea La Arena Las Tablas en 115kV </t>
  </si>
  <si>
    <t xml:space="preserve">Nueva línea y subestación Coronado en 115/13.8kV </t>
  </si>
  <si>
    <t xml:space="preserve">Arquitectura de red entre las subestaciones El Higo, Farallón y Coronado </t>
  </si>
  <si>
    <t xml:space="preserve">Nuevo Transformador T4 en subestación El Higo </t>
  </si>
  <si>
    <t>Nuevo Transformador para la  subestación Santiago en 4.16kV</t>
  </si>
  <si>
    <t xml:space="preserve">Nuevo Transformador para la subestación Ocú </t>
  </si>
  <si>
    <t xml:space="preserve">Transformador para subestación Arraiján </t>
  </si>
  <si>
    <t xml:space="preserve">LAT Bella Vista – Segunda Línea </t>
  </si>
  <si>
    <t xml:space="preserve">Nueva línea de 44kV Cocolí - Howard </t>
  </si>
  <si>
    <t xml:space="preserve">Nueva línea AT Divisa – La Arena en 115kV </t>
  </si>
  <si>
    <t xml:space="preserve">Bella Vista en 230kV </t>
  </si>
  <si>
    <t xml:space="preserve">Nueva línea AT Llano Sánchez – Pocrí en 115kV </t>
  </si>
  <si>
    <t>Arquitectura de red entre las subestaciones Juan Demóstenes Arosemena, El Torno 115kV y Capira</t>
  </si>
  <si>
    <t>Nueva SE Burunga 115</t>
  </si>
  <si>
    <t>Línea AT 115 Burunga - Howard</t>
  </si>
  <si>
    <t>Nueva Subestación Howard 115 kV</t>
  </si>
  <si>
    <t>Doble Circuito Combinado Miraflores Howard (115 kV)</t>
  </si>
  <si>
    <t>Línea La Arena - Pesé</t>
  </si>
  <si>
    <t>Linea Las Tablas- Pedasí y Pedasí - Tonosí</t>
  </si>
  <si>
    <t>Corredor Sur</t>
  </si>
  <si>
    <t>Energía facturada AP</t>
  </si>
  <si>
    <t xml:space="preserve">IMP </t>
  </si>
  <si>
    <t>IMP S/Pérdidas</t>
  </si>
  <si>
    <t>IMPCO - Ingreso Máximo Permitido por Comercialización</t>
  </si>
  <si>
    <t>INVNE - Descuento por Inversiones no Ejecutadas en periodo anterior</t>
  </si>
  <si>
    <t>Implantación de Medidores Inteligentes (Smart Metering) - 1,353 medidores (de 50 a 100 kW)*</t>
  </si>
  <si>
    <t>*El monto para medidores incluye la plataforma de comunicación</t>
  </si>
  <si>
    <t>Crecimiento Vegetativo - Sodio</t>
  </si>
  <si>
    <t>Crecimiento Vegetativo - LED</t>
  </si>
  <si>
    <t>Crecimiento Vegetativo</t>
  </si>
  <si>
    <t>Proyectos Especiales Luminarias LED - reemplazo de luminarias LED</t>
  </si>
  <si>
    <t xml:space="preserve">Proyectos Especiales </t>
  </si>
  <si>
    <t>CANTIDAD DE LUMINARIAS ADICIONALES (ALUMBRADO PÚBLICO)</t>
  </si>
  <si>
    <t>Distribución (Subestaciones, Arquitectura asociada y líneas en AT)</t>
  </si>
  <si>
    <t>Otras Inversiones</t>
  </si>
  <si>
    <t>Proyectos especiales</t>
  </si>
  <si>
    <t xml:space="preserve">TOTAL </t>
  </si>
  <si>
    <t>LUMINARIAS QUE SE INCORPORAN</t>
  </si>
  <si>
    <t>TOTAL LUMINARIAS ADICIONALES</t>
  </si>
  <si>
    <t>Total</t>
  </si>
  <si>
    <t xml:space="preserve">Nueva subestación seccionadora Cocolí </t>
  </si>
  <si>
    <t xml:space="preserve">Arquitectura de red de la subestación La Floresta </t>
  </si>
  <si>
    <t>Caso Alto</t>
  </si>
  <si>
    <t>Caso Bajo</t>
  </si>
  <si>
    <t>Prima por Riesgo País</t>
  </si>
  <si>
    <t>Tasa Inflación EUA</t>
  </si>
  <si>
    <t>VP-IMPCO - COMERCIALIZACIÓN</t>
  </si>
  <si>
    <t>ENERGIA FACTURADA (sin AP)</t>
  </si>
  <si>
    <t>Ln(EF)(β)</t>
  </si>
  <si>
    <t>Constante (α)</t>
  </si>
  <si>
    <t>Corredor Sur - LED</t>
  </si>
  <si>
    <t>Camino de Plantación (Plantation Rd.) desde el Parque Municipal Summit hasta Puente de Gamboa - LED</t>
  </si>
  <si>
    <t>Interamericana Capira - Sajalices LED</t>
  </si>
  <si>
    <t>Interamericana Antón - Penonomé LED</t>
  </si>
  <si>
    <t>Interamericana desde San Antonio hasta entrada Vía hacia Ocú - LED</t>
  </si>
  <si>
    <t>Interamericana Capira - Sajalices - LED</t>
  </si>
  <si>
    <t>Interamericana Antón - Penonomé - LED</t>
  </si>
  <si>
    <t>Proyectos Especiales Luminarias LED - reemplazo de luminarias SODIO</t>
  </si>
  <si>
    <t>II Sem</t>
  </si>
  <si>
    <t>I Sem</t>
  </si>
  <si>
    <t>2do Sem</t>
  </si>
  <si>
    <t>1er Sem</t>
  </si>
  <si>
    <t>Costo Capital Propio después de Impuestos</t>
  </si>
  <si>
    <t>ALUMPU - Ingreso Máximo Permitido por Alumbrado Público</t>
  </si>
  <si>
    <t xml:space="preserve">IMP - Ingreso Máximo Permitido </t>
  </si>
  <si>
    <t>VP-ALUMPU - ALUMBRADO PÚBLICO</t>
  </si>
  <si>
    <t>Interamericana Sajalices a Nueva Gorgona - LED</t>
  </si>
  <si>
    <t>IPSD - Ingreso Máximo Permitido por Distribución</t>
  </si>
  <si>
    <t>IPPD - Ingreso Máximo Permitido por Pérdidas en Distribución</t>
  </si>
  <si>
    <t>IPSD</t>
  </si>
  <si>
    <t>IPPD</t>
  </si>
  <si>
    <t>VP-IPSD - DISTRIBUCIÓN</t>
  </si>
  <si>
    <t>VP-IPPD - PÉRDIDAS DE DISTRIBUCIÓN</t>
  </si>
  <si>
    <t>INGRESO MÁXIMO PERMITIDO POR COMERCIALIZACIÓN = IMPCO</t>
  </si>
  <si>
    <t>Unidades</t>
  </si>
  <si>
    <t xml:space="preserve">INVERSION EN SUBESTACIONES, ARQUITECTURA ASOCIADA Y LÍNEAS EN AT NO CONTEMPLADAS EN LAS ECUACIONES DE EFICIENCIA </t>
  </si>
  <si>
    <t xml:space="preserve">OTRAS INVERSIONES NO CONTEMPLADAS EN LAS ECUACIONES DE EFICIENCIA </t>
  </si>
  <si>
    <t xml:space="preserve">INVERSIONES EN ALUMBRADO PÚBLICO </t>
  </si>
  <si>
    <t>(PD%) * MWhD * CMM</t>
  </si>
  <si>
    <t>EP</t>
  </si>
  <si>
    <t>PNT</t>
  </si>
  <si>
    <t>FA</t>
  </si>
  <si>
    <t>INVERSION EN CIRCUITOS EN MT Y REFUERZOS PLANTAS POTABILIZADORAS NO CONTEMPLADAS EN LAS ECUACIONES DE EFICIENCIA</t>
  </si>
  <si>
    <t>Planta Potabilizadora de Laguna Alta (línea trifásica aérea forrada (7.5 km - 34.5 kV)</t>
  </si>
  <si>
    <t>Planta potabilizadora Mendoza (Línea Trifásica aérea forrada (25 km - 34.5 kV))</t>
  </si>
  <si>
    <t>Distribución (Circuitos en MT y Refuerzos en Plantas Potabilizadoras)</t>
  </si>
  <si>
    <t>INVERSIONES EN ALUMBRADO PÚBLICO</t>
  </si>
  <si>
    <t>TASA DE RENTABILIDAD PARA IMP</t>
  </si>
  <si>
    <t>WACC REAL ANTES. IMPUESTOS</t>
  </si>
  <si>
    <t>En USD 2017 con ajuste</t>
  </si>
  <si>
    <t>En USD 2017 sin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</si>
</sst>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(* #,##0.00_);_(* \(#,##0.00\);_(* &quot;-&quot;??_);_(@_)"/>
    <numFmt numFmtId="164" formatCode="_-* #,##0.00\ _$_-;\-* #,##0.00\ _$_-;_-* &quot;-&quot;??\ _$_-;_-@_-"/>
    <numFmt numFmtId="165" formatCode="_-* #,##0.00_-;\-* #,##0.00_-;_-* &quot;-&quot;??_-;_-@_-"/>
    <numFmt numFmtId="166" formatCode="_ * #,##0.00_ ;_ * \-#,##0.00_ ;_ * &quot;-&quot;??_ ;_ @_ "/>
    <numFmt numFmtId="167" formatCode="_ * #,##0_ ;_ * \-#,##0_ ;_ * &quot;-&quot;??_ ;_ @_ "/>
    <numFmt numFmtId="168" formatCode="0.0000"/>
    <numFmt numFmtId="169" formatCode="0.0%"/>
    <numFmt numFmtId="170" formatCode="0.000"/>
    <numFmt numFmtId="171" formatCode="0.00000"/>
    <numFmt numFmtId="172" formatCode="_ * #,##0.0_ ;_ * \-#,##0.0_ ;_ * &quot;-&quot;??_ ;_ @_ "/>
    <numFmt numFmtId="173" formatCode="#,##0.0000"/>
    <numFmt numFmtId="174" formatCode="0.0000000%"/>
    <numFmt numFmtId="175" formatCode="#,##0.000"/>
    <numFmt numFmtId="176" formatCode="#,##0.0"/>
    <numFmt numFmtId="177" formatCode="#,##0.00_ ;[Red]\-#,##0.00\ "/>
    <numFmt numFmtId="178" formatCode="#,##0.00000"/>
    <numFmt numFmtId="179" formatCode="0.0000%"/>
    <numFmt numFmtId="180" formatCode="#,##0.00\ ;[Red]\(#,##0.00\)"/>
    <numFmt numFmtId="181" formatCode="_ * #,##0.000_ ;_ * \-#,##0.000_ ;_ * &quot;-&quot;??_ ;_ @_ "/>
    <numFmt numFmtId="182" formatCode="0.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5"/>
      <name val="Times New Roman"/>
      <family val="1"/>
    </font>
    <font>
      <sz val="11"/>
      <color theme="5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6" tint="-0.499984740745262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</cellStyleXfs>
  <cellXfs count="350">
    <xf numFmtId="0" fontId="0" fillId="0" borderId="0" xfId="0"/>
    <xf numFmtId="0" fontId="12" fillId="0" borderId="33" xfId="0" applyFont="1" applyFill="1" applyBorder="1"/>
    <xf numFmtId="0" fontId="12" fillId="0" borderId="34" xfId="0" applyFont="1" applyFill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12" fillId="0" borderId="1" xfId="0" applyFont="1" applyBorder="1"/>
    <xf numFmtId="167" fontId="12" fillId="0" borderId="2" xfId="1" applyNumberFormat="1" applyFont="1" applyBorder="1"/>
    <xf numFmtId="179" fontId="13" fillId="3" borderId="2" xfId="3" applyNumberFormat="1" applyFont="1" applyFill="1" applyBorder="1" applyAlignment="1">
      <alignment horizontal="center" vertical="justify"/>
    </xf>
    <xf numFmtId="0" fontId="13" fillId="0" borderId="0" xfId="0" applyFont="1"/>
    <xf numFmtId="0" fontId="14" fillId="0" borderId="0" xfId="0" applyFont="1"/>
    <xf numFmtId="0" fontId="13" fillId="0" borderId="32" xfId="0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center" vertical="center"/>
    </xf>
    <xf numFmtId="4" fontId="12" fillId="0" borderId="34" xfId="0" applyNumberFormat="1" applyFont="1" applyFill="1" applyBorder="1" applyAlignment="1">
      <alignment horizontal="center" vertical="center"/>
    </xf>
    <xf numFmtId="4" fontId="12" fillId="0" borderId="33" xfId="1" applyNumberFormat="1" applyFont="1" applyFill="1" applyBorder="1" applyAlignment="1">
      <alignment horizontal="center" vertical="center"/>
    </xf>
    <xf numFmtId="4" fontId="12" fillId="0" borderId="34" xfId="1" applyNumberFormat="1" applyFont="1" applyFill="1" applyBorder="1" applyAlignment="1">
      <alignment horizontal="center" vertical="center"/>
    </xf>
    <xf numFmtId="0" fontId="13" fillId="0" borderId="32" xfId="0" applyFont="1" applyFill="1" applyBorder="1"/>
    <xf numFmtId="4" fontId="13" fillId="0" borderId="33" xfId="1" applyNumberFormat="1" applyFont="1" applyFill="1" applyBorder="1" applyAlignment="1">
      <alignment horizontal="center" vertical="center"/>
    </xf>
    <xf numFmtId="4" fontId="13" fillId="0" borderId="34" xfId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2" fillId="0" borderId="2" xfId="0" applyFont="1" applyBorder="1"/>
    <xf numFmtId="171" fontId="12" fillId="0" borderId="2" xfId="0" applyNumberFormat="1" applyFont="1" applyBorder="1" applyAlignment="1">
      <alignment horizontal="center"/>
    </xf>
    <xf numFmtId="171" fontId="12" fillId="0" borderId="2" xfId="0" applyNumberFormat="1" applyFont="1" applyFill="1" applyBorder="1" applyAlignment="1">
      <alignment horizontal="center"/>
    </xf>
    <xf numFmtId="0" fontId="13" fillId="0" borderId="1" xfId="0" applyFont="1" applyBorder="1"/>
    <xf numFmtId="171" fontId="13" fillId="0" borderId="2" xfId="0" applyNumberFormat="1" applyFont="1" applyBorder="1" applyAlignment="1">
      <alignment horizontal="center"/>
    </xf>
    <xf numFmtId="171" fontId="13" fillId="0" borderId="2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5" xfId="0" applyFont="1" applyBorder="1"/>
    <xf numFmtId="0" fontId="12" fillId="0" borderId="4" xfId="0" applyFont="1" applyBorder="1"/>
    <xf numFmtId="0" fontId="13" fillId="0" borderId="5" xfId="0" applyFont="1" applyFill="1" applyBorder="1"/>
    <xf numFmtId="167" fontId="12" fillId="0" borderId="6" xfId="1" applyNumberFormat="1" applyFont="1" applyBorder="1"/>
    <xf numFmtId="1" fontId="12" fillId="0" borderId="0" xfId="0" applyNumberFormat="1" applyFont="1" applyFill="1" applyBorder="1"/>
    <xf numFmtId="167" fontId="12" fillId="0" borderId="8" xfId="1" applyNumberFormat="1" applyFont="1" applyBorder="1"/>
    <xf numFmtId="0" fontId="13" fillId="0" borderId="1" xfId="0" applyFont="1" applyFill="1" applyBorder="1"/>
    <xf numFmtId="167" fontId="13" fillId="0" borderId="2" xfId="0" applyNumberFormat="1" applyFont="1" applyBorder="1"/>
    <xf numFmtId="0" fontId="12" fillId="0" borderId="32" xfId="0" applyFont="1" applyFill="1" applyBorder="1"/>
    <xf numFmtId="0" fontId="12" fillId="0" borderId="33" xfId="0" applyFont="1" applyFill="1" applyBorder="1" applyAlignment="1">
      <alignment horizontal="center"/>
    </xf>
    <xf numFmtId="177" fontId="12" fillId="0" borderId="34" xfId="0" applyNumberFormat="1" applyFont="1" applyFill="1" applyBorder="1" applyAlignment="1">
      <alignment horizontal="center" vertical="center"/>
    </xf>
    <xf numFmtId="10" fontId="14" fillId="0" borderId="0" xfId="3" applyNumberFormat="1" applyFont="1" applyAlignment="1">
      <alignment horizontal="center"/>
    </xf>
    <xf numFmtId="2" fontId="12" fillId="0" borderId="0" xfId="0" applyNumberFormat="1" applyFont="1"/>
    <xf numFmtId="3" fontId="14" fillId="0" borderId="2" xfId="0" applyNumberFormat="1" applyFont="1" applyBorder="1" applyAlignment="1">
      <alignment horizontal="center"/>
    </xf>
    <xf numFmtId="0" fontId="13" fillId="0" borderId="0" xfId="0" applyFont="1" applyBorder="1"/>
    <xf numFmtId="4" fontId="12" fillId="0" borderId="33" xfId="0" applyNumberFormat="1" applyFont="1" applyFill="1" applyBorder="1"/>
    <xf numFmtId="4" fontId="12" fillId="0" borderId="34" xfId="0" applyNumberFormat="1" applyFont="1" applyFill="1" applyBorder="1"/>
    <xf numFmtId="4" fontId="12" fillId="0" borderId="0" xfId="0" applyNumberFormat="1" applyFont="1"/>
    <xf numFmtId="3" fontId="12" fillId="0" borderId="33" xfId="0" applyNumberFormat="1" applyFont="1" applyFill="1" applyBorder="1"/>
    <xf numFmtId="3" fontId="12" fillId="0" borderId="34" xfId="0" applyNumberFormat="1" applyFont="1" applyFill="1" applyBorder="1"/>
    <xf numFmtId="4" fontId="13" fillId="0" borderId="33" xfId="0" applyNumberFormat="1" applyFont="1" applyFill="1" applyBorder="1"/>
    <xf numFmtId="4" fontId="13" fillId="0" borderId="34" xfId="0" applyNumberFormat="1" applyFont="1" applyFill="1" applyBorder="1"/>
    <xf numFmtId="0" fontId="12" fillId="0" borderId="32" xfId="0" applyFont="1" applyBorder="1"/>
    <xf numFmtId="0" fontId="12" fillId="0" borderId="33" xfId="0" applyFont="1" applyBorder="1"/>
    <xf numFmtId="4" fontId="13" fillId="0" borderId="36" xfId="0" applyNumberFormat="1" applyFont="1" applyFill="1" applyBorder="1"/>
    <xf numFmtId="4" fontId="13" fillId="0" borderId="37" xfId="0" applyNumberFormat="1" applyFont="1" applyFill="1" applyBorder="1"/>
    <xf numFmtId="0" fontId="12" fillId="0" borderId="0" xfId="0" applyFont="1" applyFill="1"/>
    <xf numFmtId="10" fontId="12" fillId="0" borderId="0" xfId="0" applyNumberFormat="1" applyFont="1"/>
    <xf numFmtId="0" fontId="13" fillId="0" borderId="0" xfId="0" applyFont="1" applyFill="1"/>
    <xf numFmtId="0" fontId="12" fillId="0" borderId="2" xfId="0" quotePrefix="1" applyFont="1" applyBorder="1" applyAlignment="1">
      <alignment horizontal="left"/>
    </xf>
    <xf numFmtId="2" fontId="12" fillId="0" borderId="2" xfId="0" applyNumberFormat="1" applyFont="1" applyBorder="1" applyAlignment="1">
      <alignment horizontal="center"/>
    </xf>
    <xf numFmtId="3" fontId="11" fillId="0" borderId="0" xfId="0" applyNumberFormat="1" applyFont="1"/>
    <xf numFmtId="17" fontId="13" fillId="0" borderId="2" xfId="0" applyNumberFormat="1" applyFont="1" applyBorder="1" applyAlignment="1">
      <alignment horizontal="center"/>
    </xf>
    <xf numFmtId="3" fontId="12" fillId="0" borderId="2" xfId="0" applyNumberFormat="1" applyFont="1" applyFill="1" applyBorder="1"/>
    <xf numFmtId="0" fontId="11" fillId="0" borderId="5" xfId="0" applyFont="1" applyBorder="1"/>
    <xf numFmtId="0" fontId="11" fillId="0" borderId="0" xfId="0" applyFont="1" applyBorder="1"/>
    <xf numFmtId="0" fontId="9" fillId="0" borderId="0" xfId="0" applyFont="1"/>
    <xf numFmtId="0" fontId="12" fillId="0" borderId="5" xfId="0" applyFont="1" applyBorder="1"/>
    <xf numFmtId="0" fontId="12" fillId="0" borderId="6" xfId="0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0" fontId="13" fillId="0" borderId="4" xfId="3" applyNumberFormat="1" applyFont="1" applyBorder="1"/>
    <xf numFmtId="3" fontId="12" fillId="0" borderId="6" xfId="0" applyNumberFormat="1" applyFont="1" applyBorder="1" applyAlignment="1">
      <alignment horizontal="center"/>
    </xf>
    <xf numFmtId="10" fontId="13" fillId="0" borderId="6" xfId="3" applyNumberFormat="1" applyFont="1" applyBorder="1"/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10" fontId="13" fillId="0" borderId="8" xfId="3" applyNumberFormat="1" applyFont="1" applyBorder="1"/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/>
    <xf numFmtId="0" fontId="12" fillId="0" borderId="0" xfId="0" applyFont="1" applyBorder="1"/>
    <xf numFmtId="3" fontId="12" fillId="0" borderId="2" xfId="0" applyNumberFormat="1" applyFont="1" applyBorder="1"/>
    <xf numFmtId="10" fontId="13" fillId="0" borderId="2" xfId="3" applyNumberFormat="1" applyFont="1" applyBorder="1"/>
    <xf numFmtId="169" fontId="12" fillId="0" borderId="0" xfId="3" applyNumberFormat="1" applyFont="1"/>
    <xf numFmtId="10" fontId="12" fillId="0" borderId="2" xfId="3" applyNumberFormat="1" applyFont="1" applyBorder="1"/>
    <xf numFmtId="2" fontId="12" fillId="0" borderId="0" xfId="0" applyNumberFormat="1" applyFont="1" applyBorder="1"/>
    <xf numFmtId="10" fontId="12" fillId="0" borderId="0" xfId="3" applyNumberFormat="1" applyFont="1"/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7" fillId="5" borderId="2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168" fontId="11" fillId="0" borderId="2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12" fillId="4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3" fontId="12" fillId="4" borderId="0" xfId="0" applyNumberFormat="1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7" fontId="11" fillId="0" borderId="0" xfId="4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167" fontId="11" fillId="0" borderId="0" xfId="4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2"/>
    </xf>
    <xf numFmtId="168" fontId="12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/>
    <xf numFmtId="0" fontId="11" fillId="0" borderId="0" xfId="0" applyFont="1" applyAlignment="1">
      <alignment horizontal="left" vertical="center" indent="3"/>
    </xf>
    <xf numFmtId="10" fontId="12" fillId="0" borderId="0" xfId="3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2"/>
    </xf>
    <xf numFmtId="181" fontId="12" fillId="0" borderId="0" xfId="4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left" vertical="justify" indent="2"/>
    </xf>
    <xf numFmtId="9" fontId="12" fillId="0" borderId="0" xfId="3" applyNumberFormat="1" applyFont="1" applyFill="1" applyBorder="1" applyAlignment="1">
      <alignment horizontal="center"/>
    </xf>
    <xf numFmtId="174" fontId="11" fillId="0" borderId="0" xfId="0" applyNumberFormat="1" applyFont="1" applyFill="1" applyBorder="1"/>
    <xf numFmtId="0" fontId="19" fillId="0" borderId="0" xfId="0" applyFont="1" applyFill="1" applyAlignment="1">
      <alignment vertical="center"/>
    </xf>
    <xf numFmtId="167" fontId="19" fillId="0" borderId="0" xfId="4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82" fontId="11" fillId="0" borderId="2" xfId="0" applyNumberFormat="1" applyFont="1" applyFill="1" applyBorder="1" applyAlignment="1">
      <alignment horizontal="center" vertical="center"/>
    </xf>
    <xf numFmtId="10" fontId="11" fillId="0" borderId="0" xfId="3" applyNumberFormat="1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left"/>
    </xf>
    <xf numFmtId="3" fontId="11" fillId="7" borderId="2" xfId="0" applyNumberFormat="1" applyFont="1" applyFill="1" applyBorder="1" applyAlignment="1">
      <alignment horizontal="right"/>
    </xf>
    <xf numFmtId="3" fontId="11" fillId="7" borderId="19" xfId="0" applyNumberFormat="1" applyFont="1" applyFill="1" applyBorder="1" applyAlignment="1">
      <alignment horizontal="right"/>
    </xf>
    <xf numFmtId="0" fontId="12" fillId="0" borderId="6" xfId="0" applyFont="1" applyBorder="1"/>
    <xf numFmtId="0" fontId="11" fillId="0" borderId="13" xfId="0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72" fontId="11" fillId="0" borderId="0" xfId="0" applyNumberFormat="1" applyFont="1"/>
    <xf numFmtId="170" fontId="11" fillId="0" borderId="0" xfId="0" applyNumberFormat="1" applyFont="1"/>
    <xf numFmtId="0" fontId="26" fillId="0" borderId="15" xfId="0" applyFont="1" applyFill="1" applyBorder="1" applyAlignment="1">
      <alignment horizontal="right"/>
    </xf>
    <xf numFmtId="3" fontId="26" fillId="0" borderId="20" xfId="0" applyNumberFormat="1" applyFont="1" applyFill="1" applyBorder="1" applyAlignment="1">
      <alignment horizontal="right"/>
    </xf>
    <xf numFmtId="3" fontId="26" fillId="0" borderId="2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indent="2"/>
    </xf>
    <xf numFmtId="3" fontId="27" fillId="0" borderId="0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0" fontId="11" fillId="7" borderId="13" xfId="0" applyFont="1" applyFill="1" applyBorder="1" applyAlignment="1">
      <alignment horizontal="left" wrapText="1"/>
    </xf>
    <xf numFmtId="0" fontId="11" fillId="7" borderId="13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Border="1"/>
    <xf numFmtId="0" fontId="29" fillId="0" borderId="0" xfId="0" applyFont="1"/>
    <xf numFmtId="0" fontId="30" fillId="0" borderId="0" xfId="6" applyNumberFormat="1" applyFont="1" applyFill="1" applyBorder="1" applyAlignment="1" applyProtection="1">
      <alignment horizontal="center" vertical="center" wrapText="1"/>
    </xf>
    <xf numFmtId="17" fontId="9" fillId="0" borderId="0" xfId="6" applyNumberFormat="1" applyFont="1" applyFill="1" applyBorder="1" applyAlignment="1" applyProtection="1">
      <alignment horizontal="center" vertical="center" wrapText="1"/>
    </xf>
    <xf numFmtId="49" fontId="9" fillId="0" borderId="0" xfId="6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/>
    <xf numFmtId="166" fontId="11" fillId="0" borderId="6" xfId="1" applyNumberFormat="1" applyFont="1" applyFill="1" applyBorder="1"/>
    <xf numFmtId="0" fontId="11" fillId="0" borderId="13" xfId="0" applyFont="1" applyFill="1" applyBorder="1"/>
    <xf numFmtId="0" fontId="11" fillId="0" borderId="2" xfId="0" applyFont="1" applyFill="1" applyBorder="1"/>
    <xf numFmtId="166" fontId="11" fillId="0" borderId="2" xfId="1" applyFont="1" applyFill="1" applyBorder="1"/>
    <xf numFmtId="166" fontId="11" fillId="0" borderId="19" xfId="1" applyFont="1" applyFill="1" applyBorder="1"/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" fontId="31" fillId="0" borderId="0" xfId="0" applyNumberFormat="1" applyFont="1"/>
    <xf numFmtId="167" fontId="11" fillId="0" borderId="2" xfId="1" applyNumberFormat="1" applyFont="1" applyFill="1" applyBorder="1"/>
    <xf numFmtId="166" fontId="11" fillId="0" borderId="0" xfId="1" applyFont="1" applyFill="1" applyBorder="1"/>
    <xf numFmtId="0" fontId="11" fillId="0" borderId="15" xfId="0" applyFont="1" applyFill="1" applyBorder="1"/>
    <xf numFmtId="0" fontId="11" fillId="0" borderId="20" xfId="0" applyFont="1" applyFill="1" applyBorder="1"/>
    <xf numFmtId="166" fontId="11" fillId="0" borderId="20" xfId="1" applyFont="1" applyFill="1" applyBorder="1"/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/>
    <xf numFmtId="3" fontId="12" fillId="0" borderId="8" xfId="0" applyNumberFormat="1" applyFont="1" applyFill="1" applyBorder="1"/>
    <xf numFmtId="3" fontId="12" fillId="0" borderId="11" xfId="0" applyNumberFormat="1" applyFont="1" applyFill="1" applyBorder="1"/>
    <xf numFmtId="0" fontId="13" fillId="0" borderId="3" xfId="0" applyFont="1" applyBorder="1"/>
    <xf numFmtId="0" fontId="13" fillId="0" borderId="7" xfId="0" applyFont="1" applyFill="1" applyBorder="1"/>
    <xf numFmtId="3" fontId="14" fillId="0" borderId="8" xfId="0" applyNumberFormat="1" applyFont="1" applyFill="1" applyBorder="1"/>
    <xf numFmtId="169" fontId="12" fillId="0" borderId="0" xfId="3" applyNumberFormat="1" applyFont="1" applyBorder="1"/>
    <xf numFmtId="166" fontId="12" fillId="0" borderId="0" xfId="1" applyFont="1" applyBorder="1"/>
    <xf numFmtId="173" fontId="14" fillId="0" borderId="0" xfId="0" applyNumberFormat="1" applyFont="1" applyFill="1" applyBorder="1"/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right"/>
    </xf>
    <xf numFmtId="17" fontId="12" fillId="0" borderId="6" xfId="0" applyNumberFormat="1" applyFont="1" applyBorder="1" applyAlignment="1">
      <alignment horizontal="left"/>
    </xf>
    <xf numFmtId="17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80" fontId="12" fillId="0" borderId="6" xfId="0" applyNumberFormat="1" applyFont="1" applyBorder="1" applyAlignment="1">
      <alignment horizontal="center" vertical="center"/>
    </xf>
    <xf numFmtId="10" fontId="28" fillId="0" borderId="6" xfId="3" applyNumberFormat="1" applyFont="1" applyFill="1" applyBorder="1" applyAlignment="1">
      <alignment horizontal="center" vertical="center"/>
    </xf>
    <xf numFmtId="0" fontId="12" fillId="0" borderId="8" xfId="0" applyFont="1" applyBorder="1"/>
    <xf numFmtId="0" fontId="12" fillId="0" borderId="8" xfId="0" applyFont="1" applyFill="1" applyBorder="1"/>
    <xf numFmtId="0" fontId="12" fillId="0" borderId="22" xfId="0" applyFont="1" applyBorder="1"/>
    <xf numFmtId="0" fontId="12" fillId="0" borderId="14" xfId="0" applyFont="1" applyBorder="1"/>
    <xf numFmtId="0" fontId="12" fillId="0" borderId="10" xfId="0" applyFont="1" applyBorder="1"/>
    <xf numFmtId="10" fontId="14" fillId="0" borderId="9" xfId="3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right"/>
    </xf>
    <xf numFmtId="0" fontId="32" fillId="0" borderId="14" xfId="0" applyFont="1" applyBorder="1"/>
    <xf numFmtId="0" fontId="32" fillId="0" borderId="14" xfId="0" applyFont="1" applyFill="1" applyBorder="1" applyAlignment="1">
      <alignment horizontal="right"/>
    </xf>
    <xf numFmtId="0" fontId="32" fillId="0" borderId="23" xfId="0" applyFont="1" applyFill="1" applyBorder="1" applyAlignment="1">
      <alignment horizontal="right"/>
    </xf>
    <xf numFmtId="0" fontId="12" fillId="0" borderId="0" xfId="0" applyFont="1" applyBorder="1" applyAlignment="1"/>
    <xf numFmtId="0" fontId="10" fillId="6" borderId="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right" wrapText="1"/>
    </xf>
    <xf numFmtId="1" fontId="11" fillId="0" borderId="2" xfId="0" applyNumberFormat="1" applyFont="1" applyBorder="1"/>
    <xf numFmtId="2" fontId="11" fillId="7" borderId="13" xfId="0" applyNumberFormat="1" applyFont="1" applyFill="1" applyBorder="1" applyAlignment="1">
      <alignment horizontal="left"/>
    </xf>
    <xf numFmtId="2" fontId="11" fillId="7" borderId="13" xfId="0" applyNumberFormat="1" applyFont="1" applyFill="1" applyBorder="1" applyAlignment="1">
      <alignment horizontal="right"/>
    </xf>
    <xf numFmtId="2" fontId="11" fillId="7" borderId="13" xfId="0" applyNumberFormat="1" applyFont="1" applyFill="1" applyBorder="1" applyAlignment="1">
      <alignment horizontal="left" wrapText="1"/>
    </xf>
    <xf numFmtId="2" fontId="11" fillId="7" borderId="13" xfId="0" applyNumberFormat="1" applyFont="1" applyFill="1" applyBorder="1" applyAlignment="1">
      <alignment horizontal="right" wrapText="1"/>
    </xf>
    <xf numFmtId="2" fontId="26" fillId="0" borderId="15" xfId="0" applyNumberFormat="1" applyFont="1" applyFill="1" applyBorder="1" applyAlignment="1">
      <alignment horizontal="right"/>
    </xf>
    <xf numFmtId="3" fontId="11" fillId="0" borderId="19" xfId="0" applyNumberFormat="1" applyFont="1" applyBorder="1"/>
    <xf numFmtId="1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0" fontId="33" fillId="0" borderId="19" xfId="0" applyNumberFormat="1" applyFon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10" fontId="33" fillId="0" borderId="20" xfId="0" applyNumberFormat="1" applyFont="1" applyFill="1" applyBorder="1" applyAlignment="1">
      <alignment horizontal="center"/>
    </xf>
    <xf numFmtId="10" fontId="33" fillId="0" borderId="21" xfId="0" applyNumberFormat="1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3" fontId="11" fillId="0" borderId="2" xfId="0" applyNumberFormat="1" applyFont="1" applyBorder="1"/>
    <xf numFmtId="3" fontId="22" fillId="7" borderId="2" xfId="0" applyNumberFormat="1" applyFont="1" applyFill="1" applyBorder="1" applyAlignment="1">
      <alignment horizontal="right"/>
    </xf>
    <xf numFmtId="2" fontId="13" fillId="0" borderId="34" xfId="0" applyNumberFormat="1" applyFont="1" applyFill="1" applyBorder="1" applyAlignment="1">
      <alignment horizontal="center"/>
    </xf>
    <xf numFmtId="0" fontId="13" fillId="0" borderId="35" xfId="0" applyFont="1" applyFill="1" applyBorder="1"/>
    <xf numFmtId="2" fontId="13" fillId="0" borderId="37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0" fontId="11" fillId="0" borderId="53" xfId="0" applyFont="1" applyBorder="1"/>
    <xf numFmtId="166" fontId="11" fillId="0" borderId="54" xfId="1" applyNumberFormat="1" applyFont="1" applyFill="1" applyBorder="1"/>
    <xf numFmtId="0" fontId="9" fillId="0" borderId="15" xfId="0" applyFont="1" applyBorder="1"/>
    <xf numFmtId="0" fontId="9" fillId="0" borderId="55" xfId="0" applyFont="1" applyBorder="1"/>
    <xf numFmtId="167" fontId="9" fillId="0" borderId="20" xfId="0" applyNumberFormat="1" applyFont="1" applyFill="1" applyBorder="1"/>
    <xf numFmtId="167" fontId="9" fillId="0" borderId="55" xfId="0" applyNumberFormat="1" applyFont="1" applyFill="1" applyBorder="1"/>
    <xf numFmtId="167" fontId="9" fillId="0" borderId="21" xfId="0" applyNumberFormat="1" applyFont="1" applyBorder="1"/>
    <xf numFmtId="166" fontId="9" fillId="0" borderId="20" xfId="0" applyNumberFormat="1" applyFont="1" applyFill="1" applyBorder="1"/>
    <xf numFmtId="166" fontId="9" fillId="0" borderId="21" xfId="0" applyNumberFormat="1" applyFont="1" applyBorder="1"/>
    <xf numFmtId="167" fontId="11" fillId="0" borderId="19" xfId="0" applyNumberFormat="1" applyFont="1" applyBorder="1"/>
    <xf numFmtId="0" fontId="9" fillId="10" borderId="26" xfId="0" applyFont="1" applyFill="1" applyBorder="1" applyAlignment="1">
      <alignment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/>
    <xf numFmtId="166" fontId="11" fillId="9" borderId="2" xfId="1" applyFont="1" applyFill="1" applyBorder="1"/>
    <xf numFmtId="166" fontId="11" fillId="9" borderId="19" xfId="1" applyFont="1" applyFill="1" applyBorder="1"/>
    <xf numFmtId="0" fontId="9" fillId="11" borderId="2" xfId="0" applyFont="1" applyFill="1" applyBorder="1" applyAlignment="1">
      <alignment horizontal="center" vertical="center" wrapText="1"/>
    </xf>
    <xf numFmtId="0" fontId="11" fillId="11" borderId="13" xfId="0" applyFont="1" applyFill="1" applyBorder="1"/>
    <xf numFmtId="0" fontId="11" fillId="11" borderId="2" xfId="0" applyFont="1" applyFill="1" applyBorder="1"/>
    <xf numFmtId="166" fontId="11" fillId="11" borderId="2" xfId="1" applyFont="1" applyFill="1" applyBorder="1"/>
    <xf numFmtId="166" fontId="11" fillId="11" borderId="19" xfId="1" applyFont="1" applyFill="1" applyBorder="1"/>
    <xf numFmtId="0" fontId="11" fillId="8" borderId="28" xfId="0" applyFont="1" applyFill="1" applyBorder="1" applyAlignment="1">
      <alignment wrapText="1"/>
    </xf>
    <xf numFmtId="0" fontId="11" fillId="8" borderId="8" xfId="0" applyFont="1" applyFill="1" applyBorder="1"/>
    <xf numFmtId="166" fontId="11" fillId="8" borderId="8" xfId="1" applyFont="1" applyFill="1" applyBorder="1"/>
    <xf numFmtId="166" fontId="11" fillId="8" borderId="41" xfId="1" applyFont="1" applyFill="1" applyBorder="1"/>
    <xf numFmtId="0" fontId="11" fillId="0" borderId="28" xfId="0" applyFont="1" applyFill="1" applyBorder="1"/>
    <xf numFmtId="0" fontId="11" fillId="0" borderId="8" xfId="0" applyFont="1" applyFill="1" applyBorder="1"/>
    <xf numFmtId="167" fontId="11" fillId="0" borderId="8" xfId="1" applyNumberFormat="1" applyFont="1" applyFill="1" applyBorder="1"/>
    <xf numFmtId="166" fontId="11" fillId="0" borderId="41" xfId="1" applyFont="1" applyFill="1" applyBorder="1"/>
    <xf numFmtId="0" fontId="10" fillId="6" borderId="9" xfId="0" applyFont="1" applyFill="1" applyBorder="1" applyAlignment="1">
      <alignment horizontal="center" vertical="center"/>
    </xf>
    <xf numFmtId="167" fontId="11" fillId="0" borderId="41" xfId="0" applyNumberFormat="1" applyFont="1" applyBorder="1"/>
    <xf numFmtId="0" fontId="10" fillId="6" borderId="10" xfId="0" applyFont="1" applyFill="1" applyBorder="1" applyAlignment="1">
      <alignment vertical="center"/>
    </xf>
    <xf numFmtId="0" fontId="10" fillId="6" borderId="59" xfId="0" applyFont="1" applyFill="1" applyBorder="1" applyAlignment="1">
      <alignment vertical="center"/>
    </xf>
    <xf numFmtId="175" fontId="13" fillId="2" borderId="6" xfId="0" applyNumberFormat="1" applyFont="1" applyFill="1" applyBorder="1"/>
    <xf numFmtId="3" fontId="13" fillId="2" borderId="6" xfId="0" applyNumberFormat="1" applyFont="1" applyFill="1" applyBorder="1"/>
    <xf numFmtId="3" fontId="13" fillId="2" borderId="8" xfId="0" applyNumberFormat="1" applyFont="1" applyFill="1" applyBorder="1"/>
    <xf numFmtId="3" fontId="13" fillId="2" borderId="11" xfId="0" applyNumberFormat="1" applyFont="1" applyFill="1" applyBorder="1"/>
    <xf numFmtId="175" fontId="13" fillId="2" borderId="4" xfId="0" applyNumberFormat="1" applyFont="1" applyFill="1" applyBorder="1"/>
    <xf numFmtId="3" fontId="13" fillId="2" borderId="4" xfId="0" applyNumberFormat="1" applyFont="1" applyFill="1" applyBorder="1"/>
    <xf numFmtId="178" fontId="13" fillId="2" borderId="8" xfId="0" applyNumberFormat="1" applyFont="1" applyFill="1" applyBorder="1"/>
    <xf numFmtId="0" fontId="8" fillId="6" borderId="61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166" fontId="9" fillId="0" borderId="20" xfId="1" applyFont="1" applyFill="1" applyBorder="1"/>
    <xf numFmtId="166" fontId="9" fillId="0" borderId="19" xfId="1" applyFont="1" applyFill="1" applyBorder="1"/>
    <xf numFmtId="43" fontId="11" fillId="0" borderId="0" xfId="0" applyNumberFormat="1" applyFont="1"/>
    <xf numFmtId="10" fontId="12" fillId="0" borderId="0" xfId="3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 wrapText="1"/>
    </xf>
    <xf numFmtId="3" fontId="9" fillId="0" borderId="21" xfId="0" applyNumberFormat="1" applyFont="1" applyBorder="1"/>
    <xf numFmtId="3" fontId="9" fillId="0" borderId="20" xfId="0" applyNumberFormat="1" applyFont="1" applyBorder="1"/>
    <xf numFmtId="0" fontId="11" fillId="9" borderId="13" xfId="0" applyFont="1" applyFill="1" applyBorder="1" applyAlignment="1">
      <alignment wrapText="1"/>
    </xf>
    <xf numFmtId="0" fontId="8" fillId="6" borderId="49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34" fillId="6" borderId="34" xfId="0" applyFont="1" applyFill="1" applyBorder="1" applyAlignment="1">
      <alignment horizontal="center" vertical="center" wrapText="1"/>
    </xf>
    <xf numFmtId="0" fontId="34" fillId="6" borderId="33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0" fontId="9" fillId="10" borderId="48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6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63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</cellXfs>
  <cellStyles count="9">
    <cellStyle name="Millares" xfId="1" builtinId="3"/>
    <cellStyle name="Millares 2" xfId="4"/>
    <cellStyle name="Millares 3" xfId="8"/>
    <cellStyle name="Normal" xfId="0" builtinId="0"/>
    <cellStyle name="Normal 2" xfId="5"/>
    <cellStyle name="Normal 3" xfId="7"/>
    <cellStyle name="Normal 4" xfId="6"/>
    <cellStyle name="Normal_COyM_DDE_DOLAR_97-04_SANJUAN" xfId="2"/>
    <cellStyle name="Porcentaje" xfId="3" builtinId="5"/>
  </cellStyles>
  <dxfs count="20"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50"/>
  <sheetViews>
    <sheetView tabSelected="1" zoomScale="110" zoomScaleNormal="110" workbookViewId="0"/>
  </sheetViews>
  <sheetFormatPr baseColWidth="10" defaultColWidth="11.42578125" defaultRowHeight="15" x14ac:dyDescent="0.25"/>
  <cols>
    <col min="1" max="1" width="3" style="3" customWidth="1"/>
    <col min="2" max="2" width="49.5703125" style="3" customWidth="1"/>
    <col min="3" max="3" width="23.85546875" style="3" bestFit="1" customWidth="1"/>
    <col min="4" max="4" width="19.28515625" style="3" bestFit="1" customWidth="1"/>
    <col min="5" max="6" width="17.42578125" style="3" bestFit="1" customWidth="1"/>
    <col min="7" max="7" width="20.42578125" style="3" customWidth="1"/>
    <col min="8" max="8" width="20.5703125" style="3" customWidth="1"/>
    <col min="9" max="9" width="17.140625" style="3" bestFit="1" customWidth="1"/>
    <col min="10" max="10" width="15.28515625" style="3" customWidth="1"/>
    <col min="11" max="11" width="22.42578125" style="3" customWidth="1"/>
    <col min="12" max="13" width="17.140625" style="3" bestFit="1" customWidth="1"/>
    <col min="14" max="14" width="16.7109375" style="3" customWidth="1"/>
    <col min="15" max="16" width="17.140625" style="3" bestFit="1" customWidth="1"/>
    <col min="17" max="16384" width="11.42578125" style="3"/>
  </cols>
  <sheetData>
    <row r="1" spans="2:6" x14ac:dyDescent="0.25">
      <c r="B1" s="11" t="s">
        <v>89</v>
      </c>
      <c r="C1" s="12"/>
    </row>
    <row r="3" spans="2:6" x14ac:dyDescent="0.25">
      <c r="B3" s="11" t="s">
        <v>101</v>
      </c>
    </row>
    <row r="5" spans="2:6" x14ac:dyDescent="0.25">
      <c r="B5" s="3" t="s">
        <v>68</v>
      </c>
    </row>
    <row r="6" spans="2:6" ht="15.75" thickBot="1" x14ac:dyDescent="0.3"/>
    <row r="7" spans="2:6" ht="15.75" customHeight="1" x14ac:dyDescent="0.25">
      <c r="B7" s="289" t="s">
        <v>144</v>
      </c>
      <c r="C7" s="285" t="s">
        <v>155</v>
      </c>
      <c r="D7" s="285" t="s">
        <v>156</v>
      </c>
      <c r="E7" s="285" t="s">
        <v>157</v>
      </c>
      <c r="F7" s="287" t="s">
        <v>158</v>
      </c>
    </row>
    <row r="8" spans="2:6" ht="15.75" customHeight="1" x14ac:dyDescent="0.25">
      <c r="B8" s="290"/>
      <c r="C8" s="286"/>
      <c r="D8" s="286"/>
      <c r="E8" s="286"/>
      <c r="F8" s="288"/>
    </row>
    <row r="9" spans="2:6" x14ac:dyDescent="0.25">
      <c r="B9" s="13" t="s">
        <v>247</v>
      </c>
      <c r="C9" s="14">
        <f>+IMPD!D15</f>
        <v>117476.05444704494</v>
      </c>
      <c r="D9" s="14">
        <f>+IMPD!E15</f>
        <v>128674.01961175386</v>
      </c>
      <c r="E9" s="14">
        <f>+IMPD!F15</f>
        <v>138323.99982550144</v>
      </c>
      <c r="F9" s="15">
        <f>+IMPD!G15</f>
        <v>146103.97936911351</v>
      </c>
    </row>
    <row r="10" spans="2:6" ht="28.5" x14ac:dyDescent="0.25">
      <c r="B10" s="13" t="s">
        <v>203</v>
      </c>
      <c r="C10" s="14">
        <f>+IMPCO!D14</f>
        <v>42206.87478076711</v>
      </c>
      <c r="D10" s="14">
        <f>+IMPCO!E14</f>
        <v>43816.16890149207</v>
      </c>
      <c r="E10" s="14">
        <f>+IMPCO!F14</f>
        <v>45477.135551867847</v>
      </c>
      <c r="F10" s="15">
        <f>+IMPCO!G14</f>
        <v>47191.081889963134</v>
      </c>
    </row>
    <row r="11" spans="2:6" ht="28.5" x14ac:dyDescent="0.25">
      <c r="B11" s="13" t="s">
        <v>243</v>
      </c>
      <c r="C11" s="14">
        <f>+ALUMPU!D14</f>
        <v>4608.0785371896109</v>
      </c>
      <c r="D11" s="14">
        <f>+ALUMPU!E14</f>
        <v>5378.1613403897554</v>
      </c>
      <c r="E11" s="14">
        <f>+ALUMPU!F14</f>
        <v>6134.3553143754671</v>
      </c>
      <c r="F11" s="15">
        <f>+ALUMPU!G14</f>
        <v>6782.4455911845007</v>
      </c>
    </row>
    <row r="12" spans="2:6" ht="28.5" x14ac:dyDescent="0.25">
      <c r="B12" s="13" t="s">
        <v>248</v>
      </c>
      <c r="C12" s="14">
        <f>+IMPD!D19</f>
        <v>52058.518897979709</v>
      </c>
      <c r="D12" s="14">
        <f>+IMPD!E19</f>
        <v>55669.924033024225</v>
      </c>
      <c r="E12" s="14">
        <f>+IMPD!F19</f>
        <v>51470.166993769068</v>
      </c>
      <c r="F12" s="15">
        <f>+IMPD!G19</f>
        <v>50037.969592983543</v>
      </c>
    </row>
    <row r="13" spans="2:6" ht="28.5" x14ac:dyDescent="0.25">
      <c r="B13" s="13" t="s">
        <v>204</v>
      </c>
      <c r="C13" s="16">
        <f>-16162619.1105903/1000</f>
        <v>-16162.6191105903</v>
      </c>
      <c r="D13" s="16"/>
      <c r="E13" s="16"/>
      <c r="F13" s="17"/>
    </row>
    <row r="14" spans="2:6" ht="3.75" customHeight="1" x14ac:dyDescent="0.25">
      <c r="B14" s="18"/>
      <c r="C14" s="19"/>
      <c r="D14" s="19"/>
      <c r="E14" s="19"/>
      <c r="F14" s="20"/>
    </row>
    <row r="15" spans="2:6" ht="18.75" customHeight="1" thickBot="1" x14ac:dyDescent="0.3">
      <c r="B15" s="228" t="s">
        <v>244</v>
      </c>
      <c r="C15" s="230">
        <f>+C9+C12+C10+C11+C13</f>
        <v>200186.90755239106</v>
      </c>
      <c r="D15" s="230">
        <f>+D9+D12+D10+D11+D13</f>
        <v>233538.27388665988</v>
      </c>
      <c r="E15" s="230">
        <f>+E9+E12+E10+E11+E13</f>
        <v>241405.65768551381</v>
      </c>
      <c r="F15" s="231">
        <f>+F9+F12+F10+F11+F13</f>
        <v>250115.4764432447</v>
      </c>
    </row>
    <row r="16" spans="2:6" x14ac:dyDescent="0.25">
      <c r="B16" s="21"/>
      <c r="C16" s="22"/>
      <c r="D16" s="22"/>
      <c r="E16" s="22"/>
      <c r="F16" s="22"/>
    </row>
    <row r="17" spans="1:7" x14ac:dyDescent="0.25">
      <c r="B17" s="23" t="s">
        <v>65</v>
      </c>
      <c r="C17" s="24">
        <f>1/(1+RETORNO!G9)</f>
        <v>0.91793647879566742</v>
      </c>
      <c r="D17" s="25">
        <f>1/(1+RETORNO!G9)*1/(1+RETORNO!G9)</f>
        <v>0.8426073791037888</v>
      </c>
      <c r="E17" s="25">
        <f>1/(1+RETORNO!G9)*1/(1+RETORNO!G9)*1/(1+RETORNO!G9)</f>
        <v>0.77346005058177791</v>
      </c>
      <c r="F17" s="25">
        <f>1/(1+RETORNO!G9)*1/(1+RETORNO!G9)*1/(1+RETORNO!G9)*1/(1+RETORNO!G9)</f>
        <v>0.70998719532015597</v>
      </c>
    </row>
    <row r="18" spans="1:7" x14ac:dyDescent="0.25">
      <c r="B18" s="26" t="s">
        <v>66</v>
      </c>
      <c r="C18" s="27">
        <f>+(1+C17)/2</f>
        <v>0.95896823939783371</v>
      </c>
      <c r="D18" s="28">
        <f>+(C17+D17)/2</f>
        <v>0.88027192894972806</v>
      </c>
      <c r="E18" s="28">
        <f>+(D17+E17)/2</f>
        <v>0.80803371484278341</v>
      </c>
      <c r="F18" s="28">
        <f>+(E17+F17)/2</f>
        <v>0.74172362295096694</v>
      </c>
      <c r="G18" s="29"/>
    </row>
    <row r="19" spans="1:7" ht="15.75" thickBot="1" x14ac:dyDescent="0.3">
      <c r="B19" s="29"/>
      <c r="C19" s="29"/>
      <c r="D19" s="29"/>
      <c r="E19" s="29"/>
      <c r="F19" s="29"/>
      <c r="G19" s="29"/>
    </row>
    <row r="20" spans="1:7" x14ac:dyDescent="0.25">
      <c r="A20" s="29"/>
      <c r="B20" s="222" t="s">
        <v>100</v>
      </c>
      <c r="C20" s="222" t="s">
        <v>155</v>
      </c>
      <c r="D20" s="222" t="s">
        <v>156</v>
      </c>
      <c r="E20" s="222" t="s">
        <v>157</v>
      </c>
      <c r="F20" s="222" t="s">
        <v>158</v>
      </c>
      <c r="G20" s="29"/>
    </row>
    <row r="21" spans="1:7" x14ac:dyDescent="0.25">
      <c r="B21" s="30"/>
      <c r="C21" s="31"/>
      <c r="D21" s="31"/>
      <c r="E21" s="31"/>
      <c r="F21" s="31"/>
      <c r="G21" s="29"/>
    </row>
    <row r="22" spans="1:7" x14ac:dyDescent="0.25">
      <c r="B22" s="32" t="s">
        <v>249</v>
      </c>
      <c r="C22" s="33">
        <f>+(C9+$C$13/SUM($C$9:$C$12)*C9)*C$18</f>
        <v>104239.73460696683</v>
      </c>
      <c r="D22" s="33">
        <f t="shared" ref="D22:F25" si="0">+D9*D$18</f>
        <v>113268.12744935371</v>
      </c>
      <c r="E22" s="33">
        <f t="shared" si="0"/>
        <v>111770.45543091245</v>
      </c>
      <c r="F22" s="33">
        <f t="shared" si="0"/>
        <v>108368.7729052122</v>
      </c>
      <c r="G22" s="29"/>
    </row>
    <row r="23" spans="1:7" x14ac:dyDescent="0.25">
      <c r="A23" s="3" t="s">
        <v>64</v>
      </c>
      <c r="B23" s="32" t="s">
        <v>14</v>
      </c>
      <c r="C23" s="33">
        <f>+(C10+$C$13/SUM($C$9:$C$12)*C10)*C$18</f>
        <v>37451.321007038772</v>
      </c>
      <c r="D23" s="33">
        <f t="shared" si="0"/>
        <v>38570.143518103512</v>
      </c>
      <c r="E23" s="33">
        <f t="shared" si="0"/>
        <v>36747.058780384592</v>
      </c>
      <c r="F23" s="33">
        <f t="shared" si="0"/>
        <v>35002.74023039922</v>
      </c>
      <c r="G23" s="34"/>
    </row>
    <row r="24" spans="1:7" x14ac:dyDescent="0.25">
      <c r="B24" s="32" t="s">
        <v>12</v>
      </c>
      <c r="C24" s="33">
        <f>+(C11+$C$13/SUM($C$9:$C$12)*C11)*C$18</f>
        <v>4088.8748436919254</v>
      </c>
      <c r="D24" s="33">
        <f t="shared" si="0"/>
        <v>4734.2444573077446</v>
      </c>
      <c r="E24" s="33">
        <f t="shared" si="0"/>
        <v>4956.7659128403793</v>
      </c>
      <c r="F24" s="33">
        <f t="shared" si="0"/>
        <v>5030.7001163611803</v>
      </c>
      <c r="G24" s="29"/>
    </row>
    <row r="25" spans="1:7" x14ac:dyDescent="0.25">
      <c r="B25" s="32" t="s">
        <v>250</v>
      </c>
      <c r="C25" s="33">
        <f>+(C12+$C$13/SUM($C$9:$C$12)*C12)*C$18</f>
        <v>46192.955828315833</v>
      </c>
      <c r="D25" s="33">
        <f t="shared" si="0"/>
        <v>49004.671413035059</v>
      </c>
      <c r="E25" s="33">
        <f t="shared" si="0"/>
        <v>41589.63023955364</v>
      </c>
      <c r="F25" s="33">
        <f t="shared" si="0"/>
        <v>37114.344091618077</v>
      </c>
      <c r="G25" s="29"/>
    </row>
    <row r="26" spans="1:7" x14ac:dyDescent="0.25">
      <c r="B26" s="32"/>
      <c r="C26" s="35"/>
      <c r="D26" s="35"/>
      <c r="E26" s="35"/>
      <c r="F26" s="35"/>
      <c r="G26" s="29"/>
    </row>
    <row r="27" spans="1:7" x14ac:dyDescent="0.25">
      <c r="B27" s="36" t="s">
        <v>15</v>
      </c>
      <c r="C27" s="37">
        <f>SUM(C22:C26)</f>
        <v>191972.88628601335</v>
      </c>
      <c r="D27" s="37">
        <f>SUM(D22:D26)</f>
        <v>205577.18683780002</v>
      </c>
      <c r="E27" s="37">
        <f>SUM(E22:E26)</f>
        <v>195063.91036369104</v>
      </c>
      <c r="F27" s="37">
        <f>SUM(F22:F26)</f>
        <v>185516.55734359068</v>
      </c>
      <c r="G27" s="29"/>
    </row>
    <row r="28" spans="1:7" x14ac:dyDescent="0.25">
      <c r="D28" s="34"/>
      <c r="E28" s="34"/>
      <c r="F28" s="34"/>
      <c r="G28" s="29"/>
    </row>
    <row r="29" spans="1:7" x14ac:dyDescent="0.25">
      <c r="B29" s="8" t="s">
        <v>90</v>
      </c>
      <c r="C29" s="9">
        <f>C18*DEMANDA!E12</f>
        <v>4063869.6932608136</v>
      </c>
      <c r="D29" s="9">
        <f>D18*DEMANDA!F12</f>
        <v>3824006.6298528179</v>
      </c>
      <c r="E29" s="9">
        <f>E18*DEMANDA!G12</f>
        <v>3598301.0797339128</v>
      </c>
      <c r="F29" s="9">
        <f>F18*DEMANDA!H12</f>
        <v>3385917.4195293132</v>
      </c>
      <c r="G29" s="29"/>
    </row>
    <row r="30" spans="1:7" x14ac:dyDescent="0.25">
      <c r="G30" s="29"/>
    </row>
    <row r="31" spans="1:7" ht="15.75" thickBot="1" x14ac:dyDescent="0.3">
      <c r="G31" s="29"/>
    </row>
    <row r="32" spans="1:7" x14ac:dyDescent="0.25">
      <c r="B32" s="291" t="s">
        <v>99</v>
      </c>
      <c r="C32" s="292"/>
      <c r="D32" s="293"/>
    </row>
    <row r="33" spans="2:7" x14ac:dyDescent="0.25">
      <c r="B33" s="296" t="s">
        <v>87</v>
      </c>
      <c r="C33" s="295" t="s">
        <v>54</v>
      </c>
      <c r="D33" s="294" t="s">
        <v>159</v>
      </c>
    </row>
    <row r="34" spans="2:7" ht="20.25" customHeight="1" x14ac:dyDescent="0.25">
      <c r="B34" s="296"/>
      <c r="C34" s="295"/>
      <c r="D34" s="294"/>
    </row>
    <row r="35" spans="2:7" x14ac:dyDescent="0.25">
      <c r="B35" s="38" t="s">
        <v>251</v>
      </c>
      <c r="C35" s="39" t="s">
        <v>97</v>
      </c>
      <c r="D35" s="40">
        <f>+C22+D22+E22+F22</f>
        <v>437647.09039244516</v>
      </c>
    </row>
    <row r="36" spans="2:7" x14ac:dyDescent="0.25">
      <c r="B36" s="38" t="s">
        <v>226</v>
      </c>
      <c r="C36" s="39" t="s">
        <v>97</v>
      </c>
      <c r="D36" s="40">
        <f>+C23+D23+E23+F23</f>
        <v>147771.26353592609</v>
      </c>
    </row>
    <row r="37" spans="2:7" x14ac:dyDescent="0.25">
      <c r="B37" s="38" t="s">
        <v>245</v>
      </c>
      <c r="C37" s="39" t="s">
        <v>97</v>
      </c>
      <c r="D37" s="40">
        <f>+C24+D24+E24+F24</f>
        <v>18810.585330201229</v>
      </c>
    </row>
    <row r="38" spans="2:7" x14ac:dyDescent="0.25">
      <c r="B38" s="38" t="s">
        <v>93</v>
      </c>
      <c r="C38" s="39" t="s">
        <v>97</v>
      </c>
      <c r="D38" s="40">
        <f>SUM(D35:D37)</f>
        <v>604228.93925857241</v>
      </c>
    </row>
    <row r="39" spans="2:7" x14ac:dyDescent="0.25">
      <c r="B39" s="38" t="s">
        <v>252</v>
      </c>
      <c r="C39" s="39" t="s">
        <v>97</v>
      </c>
      <c r="D39" s="40">
        <f>+C25+D25+E25+F25</f>
        <v>173901.6015725226</v>
      </c>
    </row>
    <row r="40" spans="2:7" x14ac:dyDescent="0.25">
      <c r="B40" s="38" t="s">
        <v>94</v>
      </c>
      <c r="C40" s="39" t="s">
        <v>97</v>
      </c>
      <c r="D40" s="40">
        <f>SUM(D35:D37)+D39</f>
        <v>778130.54083109507</v>
      </c>
    </row>
    <row r="41" spans="2:7" x14ac:dyDescent="0.25">
      <c r="B41" s="38" t="s">
        <v>227</v>
      </c>
      <c r="C41" s="39" t="s">
        <v>10</v>
      </c>
      <c r="D41" s="40">
        <f>+C29+D29+E29+F29</f>
        <v>14872094.822376857</v>
      </c>
    </row>
    <row r="42" spans="2:7" x14ac:dyDescent="0.25">
      <c r="B42" s="18" t="s">
        <v>201</v>
      </c>
      <c r="C42" s="223" t="s">
        <v>98</v>
      </c>
      <c r="D42" s="227">
        <f>+D40/D41*1000</f>
        <v>52.321515571586055</v>
      </c>
      <c r="G42" s="85"/>
    </row>
    <row r="43" spans="2:7" ht="15.75" thickBot="1" x14ac:dyDescent="0.3">
      <c r="B43" s="228" t="s">
        <v>202</v>
      </c>
      <c r="C43" s="224" t="s">
        <v>98</v>
      </c>
      <c r="D43" s="229">
        <f>D42-(D39*1000/D41)</f>
        <v>40.628367857730254</v>
      </c>
      <c r="G43" s="85"/>
    </row>
    <row r="44" spans="2:7" x14ac:dyDescent="0.25">
      <c r="D44" s="41"/>
    </row>
    <row r="45" spans="2:7" x14ac:dyDescent="0.25">
      <c r="B45" s="3" t="s">
        <v>95</v>
      </c>
    </row>
    <row r="46" spans="2:7" x14ac:dyDescent="0.25">
      <c r="B46" s="3" t="s">
        <v>96</v>
      </c>
    </row>
    <row r="47" spans="2:7" x14ac:dyDescent="0.25">
      <c r="B47" s="42"/>
    </row>
    <row r="48" spans="2:7" ht="42.75" hidden="1" x14ac:dyDescent="0.25">
      <c r="C48" s="10" t="s">
        <v>91</v>
      </c>
    </row>
    <row r="49" spans="3:3" hidden="1" x14ac:dyDescent="0.25">
      <c r="C49" s="43" t="s">
        <v>92</v>
      </c>
    </row>
    <row r="50" spans="3:3" hidden="1" x14ac:dyDescent="0.25"/>
  </sheetData>
  <sheetProtection algorithmName="SHA-512" hashValue="sYYjWvmm6SsF3/QEjMiH360kzn9Unla4ZQsU6xeIW7XvVB2sNdxMeBH8WAKzE0Iy0P3etlZCRZF0pOCVk4u0WQ==" saltValue="ZQYA2FOSk8WXkgjWHXsOVA==" spinCount="100000" sheet="1" objects="1" scenarios="1"/>
  <mergeCells count="9">
    <mergeCell ref="E7:E8"/>
    <mergeCell ref="F7:F8"/>
    <mergeCell ref="B7:B8"/>
    <mergeCell ref="B32:D32"/>
    <mergeCell ref="D33:D34"/>
    <mergeCell ref="C33:C34"/>
    <mergeCell ref="B33:B34"/>
    <mergeCell ref="C7:C8"/>
    <mergeCell ref="D7:D8"/>
  </mergeCells>
  <phoneticPr fontId="0" type="noConversion"/>
  <dataValidations count="1">
    <dataValidation type="list" allowBlank="1" showInputMessage="1" showErrorMessage="1" sqref="C49">
      <formula1>#REF!</formula1>
    </dataValidation>
  </dataValidations>
  <pageMargins left="0.74803149606299213" right="0.74803149606299213" top="0.62992125984251968" bottom="0.55118110236220474" header="0.39370078740157483" footer="0"/>
  <pageSetup scale="72" orientation="landscape" horizontalDpi="300" verticalDpi="300" r:id="rId1"/>
  <headerFooter alignWithMargins="0">
    <oddFooter xml:space="preserve">&amp;C&amp;A&amp;R.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G44"/>
  <sheetViews>
    <sheetView zoomScaleNormal="100" workbookViewId="0">
      <selection activeCell="E35" sqref="E35"/>
    </sheetView>
  </sheetViews>
  <sheetFormatPr baseColWidth="10" defaultColWidth="11.42578125" defaultRowHeight="15" x14ac:dyDescent="0.25"/>
  <cols>
    <col min="1" max="1" width="1.140625" style="3" customWidth="1"/>
    <col min="2" max="2" width="52.85546875" style="3" customWidth="1"/>
    <col min="3" max="4" width="11.42578125" style="3"/>
    <col min="5" max="5" width="4" style="3" customWidth="1"/>
    <col min="6" max="6" width="38.28515625" style="3" customWidth="1"/>
    <col min="7" max="16384" width="11.42578125" style="3"/>
  </cols>
  <sheetData>
    <row r="2" spans="2:7" x14ac:dyDescent="0.25">
      <c r="B2" s="11"/>
    </row>
    <row r="3" spans="2:7" x14ac:dyDescent="0.25">
      <c r="B3" s="11" t="s">
        <v>89</v>
      </c>
    </row>
    <row r="4" spans="2:7" x14ac:dyDescent="0.25">
      <c r="B4" s="79" t="s">
        <v>41</v>
      </c>
    </row>
    <row r="5" spans="2:7" x14ac:dyDescent="0.25">
      <c r="C5" s="4"/>
      <c r="F5" s="11" t="s">
        <v>41</v>
      </c>
    </row>
    <row r="6" spans="2:7" x14ac:dyDescent="0.25">
      <c r="B6" s="274" t="s">
        <v>70</v>
      </c>
      <c r="C6" s="274" t="s">
        <v>222</v>
      </c>
      <c r="D6" s="274" t="s">
        <v>223</v>
      </c>
    </row>
    <row r="7" spans="2:7" x14ac:dyDescent="0.25">
      <c r="B7" s="194" t="s">
        <v>71</v>
      </c>
      <c r="C7" s="212">
        <v>2.9380000000000003E-2</v>
      </c>
      <c r="D7" s="216">
        <v>2.9380000000000003E-2</v>
      </c>
      <c r="F7" s="11" t="s">
        <v>83</v>
      </c>
    </row>
    <row r="8" spans="2:7" ht="15.75" thickBot="1" x14ac:dyDescent="0.3">
      <c r="B8" s="195" t="s">
        <v>224</v>
      </c>
      <c r="C8" s="212">
        <v>1.2752676923076925E-2</v>
      </c>
      <c r="D8" s="216">
        <v>1.2752676923076925E-2</v>
      </c>
    </row>
    <row r="9" spans="2:7" ht="15.75" thickBot="1" x14ac:dyDescent="0.3">
      <c r="B9" s="195" t="s">
        <v>72</v>
      </c>
      <c r="C9" s="213">
        <v>0.88953488372093026</v>
      </c>
      <c r="D9" s="217">
        <v>0.88953488372093026</v>
      </c>
      <c r="F9" s="196" t="s">
        <v>267</v>
      </c>
      <c r="G9" s="197">
        <v>8.9399999999999993E-2</v>
      </c>
    </row>
    <row r="10" spans="2:7" x14ac:dyDescent="0.25">
      <c r="B10" s="195" t="s">
        <v>73</v>
      </c>
      <c r="C10" s="212">
        <v>6.3760297112569225E-2</v>
      </c>
      <c r="D10" s="216">
        <v>5.0007569458041606E-2</v>
      </c>
    </row>
    <row r="11" spans="2:7" x14ac:dyDescent="0.25">
      <c r="B11" s="198" t="s">
        <v>242</v>
      </c>
      <c r="C11" s="214">
        <v>9.8849685401118159E-2</v>
      </c>
      <c r="D11" s="218">
        <v>8.6616154406102305E-2</v>
      </c>
      <c r="F11" s="11" t="s">
        <v>63</v>
      </c>
    </row>
    <row r="12" spans="2:7" ht="15.75" thickBot="1" x14ac:dyDescent="0.3">
      <c r="B12" s="199" t="s">
        <v>74</v>
      </c>
      <c r="C12" s="212">
        <v>6.1212676923076928E-2</v>
      </c>
      <c r="D12" s="216">
        <v>5.3672676923076923E-2</v>
      </c>
    </row>
    <row r="13" spans="2:7" ht="15.75" thickBot="1" x14ac:dyDescent="0.3">
      <c r="B13" s="199" t="s">
        <v>75</v>
      </c>
      <c r="C13" s="214">
        <v>4.2848873846153844E-2</v>
      </c>
      <c r="D13" s="218">
        <v>3.7570873846153846E-2</v>
      </c>
      <c r="F13" s="196" t="s">
        <v>268</v>
      </c>
      <c r="G13" s="197">
        <f>+C19</f>
        <v>7.6454796290512508E-2</v>
      </c>
    </row>
    <row r="14" spans="2:7" ht="15.75" thickBot="1" x14ac:dyDescent="0.3">
      <c r="B14" s="195" t="s">
        <v>76</v>
      </c>
      <c r="C14" s="215">
        <v>0.5</v>
      </c>
      <c r="D14" s="219">
        <v>0.65</v>
      </c>
      <c r="F14" s="196" t="s">
        <v>268</v>
      </c>
      <c r="G14" s="197">
        <f>+D19</f>
        <v>5.3954366767400931E-2</v>
      </c>
    </row>
    <row r="15" spans="2:7" x14ac:dyDescent="0.25">
      <c r="B15" s="195" t="s">
        <v>77</v>
      </c>
      <c r="C15" s="215">
        <v>0.5</v>
      </c>
      <c r="D15" s="219">
        <v>0.35</v>
      </c>
    </row>
    <row r="16" spans="2:7" x14ac:dyDescent="0.25">
      <c r="B16" s="200" t="s">
        <v>79</v>
      </c>
      <c r="C16" s="214">
        <v>0.10121325660519429</v>
      </c>
      <c r="D16" s="218">
        <v>7.8195317203051146E-2</v>
      </c>
    </row>
    <row r="17" spans="2:4" x14ac:dyDescent="0.25">
      <c r="B17" s="200" t="s">
        <v>78</v>
      </c>
      <c r="C17" s="214">
        <v>7.0849279623636005E-2</v>
      </c>
      <c r="D17" s="218">
        <v>5.473672204213581E-2</v>
      </c>
    </row>
    <row r="18" spans="2:4" x14ac:dyDescent="0.25">
      <c r="B18" s="195" t="s">
        <v>225</v>
      </c>
      <c r="C18" s="212">
        <v>2.3E-2</v>
      </c>
      <c r="D18" s="216">
        <v>2.3E-2</v>
      </c>
    </row>
    <row r="19" spans="2:4" ht="15.75" thickBot="1" x14ac:dyDescent="0.3">
      <c r="B19" s="201" t="s">
        <v>80</v>
      </c>
      <c r="C19" s="220">
        <v>7.6454796290512508E-2</v>
      </c>
      <c r="D19" s="221">
        <v>5.3954366767400931E-2</v>
      </c>
    </row>
    <row r="21" spans="2:4" x14ac:dyDescent="0.25">
      <c r="B21" s="202"/>
      <c r="C21" s="202"/>
    </row>
    <row r="22" spans="2:4" x14ac:dyDescent="0.25">
      <c r="B22" s="202"/>
      <c r="C22" s="202"/>
    </row>
    <row r="23" spans="2:4" x14ac:dyDescent="0.25">
      <c r="B23" s="202"/>
      <c r="C23" s="202"/>
    </row>
    <row r="24" spans="2:4" x14ac:dyDescent="0.25">
      <c r="B24" s="202"/>
      <c r="C24" s="202"/>
    </row>
    <row r="25" spans="2:4" x14ac:dyDescent="0.25">
      <c r="B25" s="202"/>
      <c r="C25" s="202"/>
    </row>
    <row r="26" spans="2:4" x14ac:dyDescent="0.25">
      <c r="B26" s="202"/>
      <c r="C26" s="202"/>
    </row>
    <row r="27" spans="2:4" x14ac:dyDescent="0.25">
      <c r="B27" s="202"/>
      <c r="C27" s="202"/>
    </row>
    <row r="28" spans="2:4" x14ac:dyDescent="0.25">
      <c r="B28" s="202"/>
      <c r="C28" s="202"/>
    </row>
    <row r="29" spans="2:4" x14ac:dyDescent="0.25">
      <c r="B29" s="202"/>
      <c r="C29" s="202"/>
    </row>
    <row r="30" spans="2:4" x14ac:dyDescent="0.25">
      <c r="B30" s="202"/>
      <c r="C30" s="202"/>
    </row>
    <row r="31" spans="2:4" x14ac:dyDescent="0.25">
      <c r="B31" s="202"/>
      <c r="C31" s="202"/>
    </row>
    <row r="32" spans="2:4" x14ac:dyDescent="0.25">
      <c r="B32" s="202"/>
      <c r="C32" s="202"/>
    </row>
    <row r="33" spans="2:3" x14ac:dyDescent="0.25">
      <c r="B33" s="202"/>
      <c r="C33" s="202"/>
    </row>
    <row r="34" spans="2:3" x14ac:dyDescent="0.25">
      <c r="B34" s="202"/>
      <c r="C34" s="202"/>
    </row>
    <row r="35" spans="2:3" x14ac:dyDescent="0.25">
      <c r="B35" s="202"/>
      <c r="C35" s="202"/>
    </row>
    <row r="36" spans="2:3" x14ac:dyDescent="0.25">
      <c r="B36" s="202"/>
      <c r="C36" s="202"/>
    </row>
    <row r="37" spans="2:3" x14ac:dyDescent="0.25">
      <c r="B37" s="202"/>
      <c r="C37" s="202"/>
    </row>
    <row r="38" spans="2:3" x14ac:dyDescent="0.25">
      <c r="B38" s="202"/>
      <c r="C38" s="202"/>
    </row>
    <row r="39" spans="2:3" x14ac:dyDescent="0.25">
      <c r="B39" s="202"/>
      <c r="C39" s="202"/>
    </row>
    <row r="40" spans="2:3" x14ac:dyDescent="0.25">
      <c r="B40" s="202"/>
      <c r="C40" s="202"/>
    </row>
    <row r="41" spans="2:3" x14ac:dyDescent="0.25">
      <c r="B41" s="202"/>
      <c r="C41" s="202"/>
    </row>
    <row r="42" spans="2:3" x14ac:dyDescent="0.25">
      <c r="B42" s="202"/>
      <c r="C42" s="202"/>
    </row>
    <row r="43" spans="2:3" x14ac:dyDescent="0.25">
      <c r="B43" s="202"/>
      <c r="C43" s="202"/>
    </row>
    <row r="44" spans="2:3" x14ac:dyDescent="0.25">
      <c r="B44" s="202"/>
      <c r="C44" s="202"/>
    </row>
  </sheetData>
  <sheetProtection algorithmName="SHA-512" hashValue="IVOD50Or27+t/6h0b/9dGw7L4m1MQ5lYZPzfxZqZ5YUK0/RLFe7ZTW1fmOj4dqfqSE0rl/dqtLOdD2cd2UGu7Q==" saltValue="2Z2mQ3+s/+RwM6/QPgTKFw==" spinCount="100000" sheet="1" objects="1" scenarios="1"/>
  <phoneticPr fontId="0" type="noConversion"/>
  <pageMargins left="0.74803149606299213" right="0.74803149606299213" top="0.62992125984251968" bottom="0.55118110236220474" header="0.39370078740157483" footer="0"/>
  <pageSetup scale="94" orientation="landscape" r:id="rId1"/>
  <headerFooter alignWithMargins="0">
    <oddFooter xml:space="preserve">&amp;C&amp;A&amp;R.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L29"/>
  <sheetViews>
    <sheetView zoomScaleNormal="100" workbookViewId="0">
      <selection activeCell="E35" sqref="E35"/>
    </sheetView>
  </sheetViews>
  <sheetFormatPr baseColWidth="10" defaultColWidth="11.42578125" defaultRowHeight="15" x14ac:dyDescent="0.25"/>
  <cols>
    <col min="1" max="1" width="1.7109375" style="3" customWidth="1"/>
    <col min="2" max="2" width="25.140625" style="3" customWidth="1"/>
    <col min="3" max="3" width="23.42578125" style="3" customWidth="1"/>
    <col min="4" max="4" width="18.28515625" style="3" customWidth="1"/>
    <col min="5" max="5" width="19.5703125" style="3" customWidth="1"/>
    <col min="6" max="6" width="19.42578125" style="3" customWidth="1"/>
    <col min="7" max="7" width="17.42578125" style="3" customWidth="1"/>
    <col min="8" max="8" width="13.42578125" style="3" bestFit="1" customWidth="1"/>
    <col min="9" max="16384" width="11.42578125" style="3"/>
  </cols>
  <sheetData>
    <row r="2" spans="2:8" x14ac:dyDescent="0.25">
      <c r="B2" s="44" t="s">
        <v>89</v>
      </c>
    </row>
    <row r="4" spans="2:8" x14ac:dyDescent="0.25">
      <c r="B4" s="11" t="s">
        <v>102</v>
      </c>
    </row>
    <row r="5" spans="2:8" x14ac:dyDescent="0.25">
      <c r="B5" s="3" t="s">
        <v>68</v>
      </c>
    </row>
    <row r="6" spans="2:8" ht="15.75" thickBot="1" x14ac:dyDescent="0.3"/>
    <row r="7" spans="2:8" x14ac:dyDescent="0.25">
      <c r="B7" s="289" t="s">
        <v>19</v>
      </c>
      <c r="C7" s="297"/>
      <c r="D7" s="285" t="s">
        <v>155</v>
      </c>
      <c r="E7" s="285" t="s">
        <v>156</v>
      </c>
      <c r="F7" s="285" t="s">
        <v>157</v>
      </c>
      <c r="G7" s="287" t="s">
        <v>158</v>
      </c>
    </row>
    <row r="8" spans="2:8" x14ac:dyDescent="0.25">
      <c r="B8" s="290"/>
      <c r="C8" s="298"/>
      <c r="D8" s="286"/>
      <c r="E8" s="286"/>
      <c r="F8" s="286"/>
      <c r="G8" s="288"/>
    </row>
    <row r="9" spans="2:8" ht="4.5" customHeight="1" x14ac:dyDescent="0.25">
      <c r="B9" s="38"/>
      <c r="C9" s="1"/>
      <c r="D9" s="1"/>
      <c r="E9" s="1"/>
      <c r="F9" s="1"/>
      <c r="G9" s="2"/>
    </row>
    <row r="10" spans="2:8" x14ac:dyDescent="0.25">
      <c r="B10" s="38" t="s">
        <v>5</v>
      </c>
      <c r="C10" s="1" t="s">
        <v>27</v>
      </c>
      <c r="D10" s="45">
        <f>+ACTIVOS!G14*RETORNO!$G$9</f>
        <v>41926.280124997043</v>
      </c>
      <c r="E10" s="45">
        <f>+ACTIVOS!H14*RETORNO!$G$9</f>
        <v>48477.50902314081</v>
      </c>
      <c r="F10" s="45">
        <f>+ACTIVOS!I14*RETORNO!$G$9</f>
        <v>53765.730016906302</v>
      </c>
      <c r="G10" s="46">
        <f>+ACTIVOS!J14*RETORNO!$G$9</f>
        <v>57557.133927972412</v>
      </c>
    </row>
    <row r="11" spans="2:8" x14ac:dyDescent="0.25">
      <c r="B11" s="38" t="s">
        <v>6</v>
      </c>
      <c r="C11" s="1" t="s">
        <v>28</v>
      </c>
      <c r="D11" s="45">
        <f>+ACTIVOS!G9*'PERDIDAS y OTROS'!E11</f>
        <v>25780.093059468196</v>
      </c>
      <c r="E11" s="45">
        <f>+ACTIVOS!H9*'PERDIDAS y OTROS'!F11</f>
        <v>28797.150674587683</v>
      </c>
      <c r="F11" s="45">
        <f>+ACTIVOS!I9*'PERDIDAS y OTROS'!G11</f>
        <v>31475.815977648232</v>
      </c>
      <c r="G11" s="46">
        <f>+ACTIVOS!J9*'PERDIDAS y OTROS'!H11</f>
        <v>33726.128333955203</v>
      </c>
    </row>
    <row r="12" spans="2:8" x14ac:dyDescent="0.25">
      <c r="B12" s="38" t="s">
        <v>7</v>
      </c>
      <c r="C12" s="1" t="s">
        <v>26</v>
      </c>
      <c r="D12" s="45">
        <f>+REGRESIONES!D60/1000</f>
        <v>30823.821972726546</v>
      </c>
      <c r="E12" s="45">
        <f>+REGRESIONES!E60/1000</f>
        <v>31839.464531441809</v>
      </c>
      <c r="F12" s="45">
        <f>+REGRESIONES!F60/1000</f>
        <v>32888.62142016166</v>
      </c>
      <c r="G12" s="46">
        <f>+REGRESIONES!G60/1000</f>
        <v>33972.401742575916</v>
      </c>
      <c r="H12" s="47"/>
    </row>
    <row r="13" spans="2:8" x14ac:dyDescent="0.25">
      <c r="B13" s="38" t="s">
        <v>8</v>
      </c>
      <c r="C13" s="1" t="s">
        <v>24</v>
      </c>
      <c r="D13" s="45">
        <f>+REGRESIONES!D62/1000</f>
        <v>18945.859289853161</v>
      </c>
      <c r="E13" s="45">
        <f>+REGRESIONES!E62/1000</f>
        <v>19559.89538258356</v>
      </c>
      <c r="F13" s="45">
        <f>+REGRESIONES!F62/1000</f>
        <v>20193.83241078525</v>
      </c>
      <c r="G13" s="46">
        <f>+REGRESIONES!G62/1000</f>
        <v>20848.315364609993</v>
      </c>
      <c r="H13" s="47"/>
    </row>
    <row r="14" spans="2:8" ht="3" customHeight="1" x14ac:dyDescent="0.25">
      <c r="B14" s="38"/>
      <c r="C14" s="1"/>
      <c r="D14" s="48"/>
      <c r="E14" s="48"/>
      <c r="F14" s="48"/>
      <c r="G14" s="49"/>
    </row>
    <row r="15" spans="2:8" x14ac:dyDescent="0.25">
      <c r="B15" s="299" t="s">
        <v>249</v>
      </c>
      <c r="C15" s="300"/>
      <c r="D15" s="50">
        <f>+D13+D12+D11+D10</f>
        <v>117476.05444704494</v>
      </c>
      <c r="E15" s="50">
        <f>+E13+E12+E11+E10</f>
        <v>128674.01961175386</v>
      </c>
      <c r="F15" s="50">
        <f>+F13+F12+F11+F10</f>
        <v>138323.99982550144</v>
      </c>
      <c r="G15" s="51">
        <f>+G13+G12+G11+G10</f>
        <v>146103.97936911351</v>
      </c>
    </row>
    <row r="16" spans="2:8" ht="2.25" customHeight="1" x14ac:dyDescent="0.25">
      <c r="B16" s="52"/>
      <c r="C16" s="53"/>
      <c r="D16" s="45"/>
      <c r="E16" s="45"/>
      <c r="F16" s="45"/>
      <c r="G16" s="46"/>
    </row>
    <row r="17" spans="2:12" x14ac:dyDescent="0.25">
      <c r="B17" s="38" t="s">
        <v>138</v>
      </c>
      <c r="C17" s="1" t="s">
        <v>258</v>
      </c>
      <c r="D17" s="45">
        <f>+('PERDIDAS y OTROS'!E9+'PERDIDAS y OTROS'!E10)*'PERDIDAS y OTROS'!E8*DEMANDA!E7/1000</f>
        <v>52058.518897979709</v>
      </c>
      <c r="E17" s="45">
        <f>+('PERDIDAS y OTROS'!F9+'PERDIDAS y OTROS'!F10)*'PERDIDAS y OTROS'!F8*DEMANDA!F7/1000</f>
        <v>55669.924033024225</v>
      </c>
      <c r="F17" s="45">
        <f>+('PERDIDAS y OTROS'!G9+'PERDIDAS y OTROS'!G10)*'PERDIDAS y OTROS'!G8*DEMANDA!G7/1000</f>
        <v>51470.166993769068</v>
      </c>
      <c r="G17" s="46">
        <f>+('PERDIDAS y OTROS'!H9+'PERDIDAS y OTROS'!H10)*'PERDIDAS y OTROS'!H8*DEMANDA!H7/1000</f>
        <v>50037.969592983543</v>
      </c>
    </row>
    <row r="18" spans="2:12" ht="2.25" customHeight="1" x14ac:dyDescent="0.25">
      <c r="B18" s="38"/>
      <c r="C18" s="53"/>
      <c r="D18" s="45"/>
      <c r="E18" s="45"/>
      <c r="F18" s="45"/>
      <c r="G18" s="46"/>
    </row>
    <row r="19" spans="2:12" x14ac:dyDescent="0.25">
      <c r="B19" s="299" t="s">
        <v>250</v>
      </c>
      <c r="C19" s="300"/>
      <c r="D19" s="50">
        <f>+D17+D18</f>
        <v>52058.518897979709</v>
      </c>
      <c r="E19" s="50">
        <f>+E17+E18</f>
        <v>55669.924033024225</v>
      </c>
      <c r="F19" s="50">
        <f>+F17+F18</f>
        <v>51470.166993769068</v>
      </c>
      <c r="G19" s="51">
        <f>+G17+G18</f>
        <v>50037.969592983543</v>
      </c>
      <c r="L19" s="47"/>
    </row>
    <row r="20" spans="2:12" ht="2.25" customHeight="1" x14ac:dyDescent="0.25">
      <c r="B20" s="52"/>
      <c r="C20" s="1"/>
      <c r="D20" s="45"/>
      <c r="E20" s="45"/>
      <c r="F20" s="45"/>
      <c r="G20" s="46"/>
    </row>
    <row r="21" spans="2:12" ht="15.75" thickBot="1" x14ac:dyDescent="0.3">
      <c r="B21" s="301" t="s">
        <v>13</v>
      </c>
      <c r="C21" s="302"/>
      <c r="D21" s="54">
        <f>+D15+D19</f>
        <v>169534.57334502466</v>
      </c>
      <c r="E21" s="54">
        <f>+E15+E19</f>
        <v>184343.94364477808</v>
      </c>
      <c r="F21" s="54">
        <f>+F15+F19</f>
        <v>189794.1668192705</v>
      </c>
      <c r="G21" s="55">
        <f>+G15+G19</f>
        <v>196141.94896209706</v>
      </c>
    </row>
    <row r="23" spans="2:12" x14ac:dyDescent="0.25">
      <c r="B23" s="56"/>
      <c r="C23" s="56"/>
    </row>
    <row r="24" spans="2:12" x14ac:dyDescent="0.25">
      <c r="B24" s="56"/>
    </row>
    <row r="25" spans="2:12" x14ac:dyDescent="0.25">
      <c r="B25" s="56"/>
      <c r="C25" s="56"/>
      <c r="D25" s="57"/>
    </row>
    <row r="26" spans="2:12" x14ac:dyDescent="0.25">
      <c r="B26" s="56"/>
    </row>
    <row r="27" spans="2:12" x14ac:dyDescent="0.25">
      <c r="B27" s="56"/>
      <c r="C27" s="56"/>
    </row>
    <row r="28" spans="2:12" x14ac:dyDescent="0.25">
      <c r="B28" s="56"/>
      <c r="C28" s="56"/>
    </row>
    <row r="29" spans="2:12" x14ac:dyDescent="0.25">
      <c r="B29" s="56"/>
      <c r="C29" s="56"/>
    </row>
  </sheetData>
  <sheetProtection algorithmName="SHA-512" hashValue="km1kXhT9LDF7BCjmLjAGFMi+ZVLLqzlXZpAHMrJJmGy15NllmqRihkidj5F6djmQQK50SgwCazjg2Y9J1YsrmQ==" saltValue="xg6y4AllyYoZFnvWMU8ZcQ==" spinCount="100000" sheet="1" objects="1" scenarios="1"/>
  <mergeCells count="8">
    <mergeCell ref="G7:G8"/>
    <mergeCell ref="B7:C8"/>
    <mergeCell ref="B15:C15"/>
    <mergeCell ref="B19:C19"/>
    <mergeCell ref="B21:C21"/>
    <mergeCell ref="D7:D8"/>
    <mergeCell ref="E7:E8"/>
    <mergeCell ref="F7:F8"/>
  </mergeCells>
  <phoneticPr fontId="0" type="noConversion"/>
  <pageMargins left="0.74803149606299213" right="0.74803149606299213" top="0.62992125984251968" bottom="0.55118110236220474" header="0.39370078740157483" footer="0"/>
  <pageSetup scale="97" orientation="landscape" horizontalDpi="300" verticalDpi="300" r:id="rId1"/>
  <headerFooter alignWithMargins="0">
    <oddFooter xml:space="preserve">&amp;C&amp;A&amp;R.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G20"/>
  <sheetViews>
    <sheetView zoomScaleNormal="100" workbookViewId="0">
      <selection activeCell="E35" sqref="E35"/>
    </sheetView>
  </sheetViews>
  <sheetFormatPr baseColWidth="10" defaultColWidth="11.42578125" defaultRowHeight="15" x14ac:dyDescent="0.25"/>
  <cols>
    <col min="1" max="1" width="1.28515625" style="3" customWidth="1"/>
    <col min="2" max="2" width="24.28515625" style="3" customWidth="1"/>
    <col min="3" max="3" width="13.7109375" style="3" customWidth="1"/>
    <col min="4" max="7" width="18.5703125" style="3" bestFit="1" customWidth="1"/>
    <col min="8" max="8" width="13.42578125" style="3" bestFit="1" customWidth="1"/>
    <col min="9" max="16384" width="11.42578125" style="3"/>
  </cols>
  <sheetData>
    <row r="2" spans="2:7" x14ac:dyDescent="0.25">
      <c r="B2" s="44" t="s">
        <v>89</v>
      </c>
    </row>
    <row r="4" spans="2:7" x14ac:dyDescent="0.25">
      <c r="B4" s="11" t="s">
        <v>253</v>
      </c>
    </row>
    <row r="5" spans="2:7" x14ac:dyDescent="0.25">
      <c r="B5" s="3" t="s">
        <v>68</v>
      </c>
    </row>
    <row r="6" spans="2:7" ht="15.75" thickBot="1" x14ac:dyDescent="0.3">
      <c r="B6" s="58"/>
      <c r="C6" s="56"/>
    </row>
    <row r="7" spans="2:7" x14ac:dyDescent="0.25">
      <c r="B7" s="289" t="s">
        <v>11</v>
      </c>
      <c r="C7" s="297"/>
      <c r="D7" s="285" t="s">
        <v>155</v>
      </c>
      <c r="E7" s="285" t="s">
        <v>156</v>
      </c>
      <c r="F7" s="285" t="s">
        <v>157</v>
      </c>
      <c r="G7" s="287" t="s">
        <v>158</v>
      </c>
    </row>
    <row r="8" spans="2:7" x14ac:dyDescent="0.25">
      <c r="B8" s="290"/>
      <c r="C8" s="298"/>
      <c r="D8" s="286"/>
      <c r="E8" s="286"/>
      <c r="F8" s="286"/>
      <c r="G8" s="288"/>
    </row>
    <row r="9" spans="2:7" ht="3" customHeight="1" x14ac:dyDescent="0.25">
      <c r="B9" s="18"/>
      <c r="C9" s="1"/>
      <c r="D9" s="1"/>
      <c r="E9" s="1"/>
      <c r="F9" s="1"/>
      <c r="G9" s="2"/>
    </row>
    <row r="10" spans="2:7" x14ac:dyDescent="0.25">
      <c r="B10" s="38" t="s">
        <v>5</v>
      </c>
      <c r="C10" s="1" t="s">
        <v>32</v>
      </c>
      <c r="D10" s="45">
        <f>+ACTIVOS!G15*RETORNO!$G$9</f>
        <v>2659.8061160149941</v>
      </c>
      <c r="E10" s="45">
        <f>+ACTIVOS!H15*RETORNO!$G$9</f>
        <v>2717.8637989852332</v>
      </c>
      <c r="F10" s="45">
        <f>+ACTIVOS!I15*RETORNO!$G$9</f>
        <v>2770.3666806803567</v>
      </c>
      <c r="G10" s="46">
        <f>+ACTIVOS!J15*RETORNO!$G$9</f>
        <v>2816.7419124924349</v>
      </c>
    </row>
    <row r="11" spans="2:7" x14ac:dyDescent="0.25">
      <c r="B11" s="38" t="s">
        <v>6</v>
      </c>
      <c r="C11" s="1" t="s">
        <v>33</v>
      </c>
      <c r="D11" s="45">
        <f>+ACTIVOS!G10*'PERDIDAS y OTROS'!E12</f>
        <v>2259.5290208159795</v>
      </c>
      <c r="E11" s="45">
        <f>+ACTIVOS!H10*'PERDIDAS y OTROS'!F12</f>
        <v>2414.2187752883065</v>
      </c>
      <c r="F11" s="45">
        <f>+ACTIVOS!I10*'PERDIDAS y OTROS'!G12</f>
        <v>2573.8303812365666</v>
      </c>
      <c r="G11" s="46">
        <f>+ACTIVOS!J10*'PERDIDAS y OTROS'!H12</f>
        <v>2738.2848251245596</v>
      </c>
    </row>
    <row r="12" spans="2:7" x14ac:dyDescent="0.25">
      <c r="B12" s="38" t="s">
        <v>34</v>
      </c>
      <c r="C12" s="1" t="s">
        <v>20</v>
      </c>
      <c r="D12" s="45">
        <f>+REGRESIONES!D61/1000</f>
        <v>37287.539643936136</v>
      </c>
      <c r="E12" s="45">
        <f>+REGRESIONES!E61/1000</f>
        <v>38684.086327218531</v>
      </c>
      <c r="F12" s="45">
        <f>+REGRESIONES!F61/1000</f>
        <v>40132.938489950924</v>
      </c>
      <c r="G12" s="46">
        <f>+REGRESIONES!G61/1000</f>
        <v>41636.05515234614</v>
      </c>
    </row>
    <row r="13" spans="2:7" ht="2.25" customHeight="1" x14ac:dyDescent="0.25">
      <c r="B13" s="52"/>
      <c r="C13" s="53"/>
      <c r="D13" s="45"/>
      <c r="E13" s="45"/>
      <c r="F13" s="45"/>
      <c r="G13" s="46"/>
    </row>
    <row r="14" spans="2:7" ht="15.75" thickBot="1" x14ac:dyDescent="0.3">
      <c r="B14" s="301" t="s">
        <v>14</v>
      </c>
      <c r="C14" s="302"/>
      <c r="D14" s="54">
        <f>+D10+D11+D12</f>
        <v>42206.87478076711</v>
      </c>
      <c r="E14" s="54">
        <f>+E10+E11+E12</f>
        <v>43816.16890149207</v>
      </c>
      <c r="F14" s="54">
        <f>+F10+F11+F12</f>
        <v>45477.135551867847</v>
      </c>
      <c r="G14" s="55">
        <f>+G10+G11+G12</f>
        <v>47191.081889963134</v>
      </c>
    </row>
    <row r="17" spans="4:7" x14ac:dyDescent="0.25">
      <c r="D17" s="47"/>
      <c r="E17" s="47"/>
      <c r="F17" s="47"/>
      <c r="G17" s="47"/>
    </row>
    <row r="18" spans="4:7" x14ac:dyDescent="0.25">
      <c r="D18" s="47"/>
      <c r="E18" s="47"/>
      <c r="F18" s="47"/>
      <c r="G18" s="47"/>
    </row>
    <row r="19" spans="4:7" x14ac:dyDescent="0.25">
      <c r="D19" s="42"/>
      <c r="E19" s="42"/>
      <c r="F19" s="42"/>
      <c r="G19" s="42"/>
    </row>
    <row r="20" spans="4:7" x14ac:dyDescent="0.25">
      <c r="D20" s="47"/>
      <c r="E20" s="47"/>
      <c r="F20" s="47"/>
      <c r="G20" s="47"/>
    </row>
  </sheetData>
  <sheetProtection algorithmName="SHA-512" hashValue="YQSm2dXekuE1/+nz2CyxK7RprWjtrc4cwga23t2/0Jl1hni6PfiZTxdOGBlEuFuip0y/+AdxGe3g5jEANFkWgw==" saltValue="HMjY46YoIdU0IxyajzKd/Q==" spinCount="100000" sheet="1" objects="1" scenarios="1"/>
  <mergeCells count="6">
    <mergeCell ref="G7:G8"/>
    <mergeCell ref="B7:C8"/>
    <mergeCell ref="B14:C14"/>
    <mergeCell ref="D7:D8"/>
    <mergeCell ref="E7:E8"/>
    <mergeCell ref="F7:F8"/>
  </mergeCells>
  <phoneticPr fontId="0" type="noConversion"/>
  <pageMargins left="0.74803149606299213" right="0.74803149606299213" top="0.62992125984251968" bottom="0.55118110236220474" header="0.39370078740157483" footer="0"/>
  <pageSetup orientation="landscape" r:id="rId1"/>
  <headerFooter alignWithMargins="0">
    <oddFooter xml:space="preserve">&amp;C&amp;A&amp;R.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H25"/>
  <sheetViews>
    <sheetView zoomScaleNormal="100" workbookViewId="0">
      <selection activeCell="E35" sqref="E35"/>
    </sheetView>
  </sheetViews>
  <sheetFormatPr baseColWidth="10" defaultColWidth="11.42578125" defaultRowHeight="15" x14ac:dyDescent="0.25"/>
  <cols>
    <col min="1" max="1" width="1.7109375" style="3" customWidth="1"/>
    <col min="2" max="2" width="28.5703125" style="3" customWidth="1"/>
    <col min="3" max="3" width="17.42578125" style="3" customWidth="1"/>
    <col min="4" max="5" width="18.5703125" style="3" bestFit="1" customWidth="1"/>
    <col min="6" max="6" width="18.5703125" style="3" customWidth="1"/>
    <col min="7" max="7" width="18.5703125" style="3" bestFit="1" customWidth="1"/>
    <col min="8" max="8" width="13.42578125" style="3" bestFit="1" customWidth="1"/>
    <col min="9" max="16384" width="11.42578125" style="3"/>
  </cols>
  <sheetData>
    <row r="2" spans="2:7" x14ac:dyDescent="0.25">
      <c r="B2" s="44" t="s">
        <v>89</v>
      </c>
    </row>
    <row r="4" spans="2:7" x14ac:dyDescent="0.25">
      <c r="B4" s="11" t="s">
        <v>104</v>
      </c>
    </row>
    <row r="5" spans="2:7" x14ac:dyDescent="0.25">
      <c r="B5" s="3" t="s">
        <v>68</v>
      </c>
    </row>
    <row r="6" spans="2:7" ht="15.75" thickBot="1" x14ac:dyDescent="0.3"/>
    <row r="7" spans="2:7" x14ac:dyDescent="0.25">
      <c r="B7" s="289" t="s">
        <v>9</v>
      </c>
      <c r="C7" s="297"/>
      <c r="D7" s="285" t="s">
        <v>155</v>
      </c>
      <c r="E7" s="285" t="s">
        <v>156</v>
      </c>
      <c r="F7" s="285" t="s">
        <v>157</v>
      </c>
      <c r="G7" s="287" t="s">
        <v>158</v>
      </c>
    </row>
    <row r="8" spans="2:7" x14ac:dyDescent="0.25">
      <c r="B8" s="290"/>
      <c r="C8" s="298"/>
      <c r="D8" s="286"/>
      <c r="E8" s="286"/>
      <c r="F8" s="286"/>
      <c r="G8" s="288"/>
    </row>
    <row r="9" spans="2:7" ht="3" customHeight="1" x14ac:dyDescent="0.25">
      <c r="B9" s="38"/>
      <c r="C9" s="1"/>
      <c r="D9" s="1"/>
      <c r="E9" s="1"/>
      <c r="F9" s="1"/>
      <c r="G9" s="2"/>
    </row>
    <row r="10" spans="2:7" x14ac:dyDescent="0.25">
      <c r="B10" s="38" t="s">
        <v>5</v>
      </c>
      <c r="C10" s="1" t="s">
        <v>35</v>
      </c>
      <c r="D10" s="45">
        <f>+ACTIVOS!G16*RETORNO!$G$9</f>
        <v>2342.4148872123455</v>
      </c>
      <c r="E10" s="45">
        <f>+ACTIVOS!H16*RETORNO!$G$9</f>
        <v>2829.7611973724902</v>
      </c>
      <c r="F10" s="45">
        <f>+ACTIVOS!I16*RETORNO!$G$9</f>
        <v>3285.9743418382027</v>
      </c>
      <c r="G10" s="46">
        <f>+ACTIVOS!J16*RETORNO!$G$9</f>
        <v>3658.3427037672354</v>
      </c>
    </row>
    <row r="11" spans="2:7" x14ac:dyDescent="0.25">
      <c r="B11" s="38" t="s">
        <v>6</v>
      </c>
      <c r="C11" s="1" t="s">
        <v>36</v>
      </c>
      <c r="D11" s="45">
        <f>+ACTIVOS!G11*'PERDIDAS y OTROS'!E13</f>
        <v>1168.2036499772648</v>
      </c>
      <c r="E11" s="45">
        <f>+ACTIVOS!H11*'PERDIDAS y OTROS'!F13</f>
        <v>1390.3120930172647</v>
      </c>
      <c r="F11" s="45">
        <f>+ACTIVOS!I11*'PERDIDAS y OTROS'!G13</f>
        <v>1608.1881725372648</v>
      </c>
      <c r="G11" s="46">
        <f>+ACTIVOS!J11*'PERDIDAS y OTROS'!H13</f>
        <v>1801.9061374172647</v>
      </c>
    </row>
    <row r="12" spans="2:7" x14ac:dyDescent="0.25">
      <c r="B12" s="38" t="s">
        <v>7</v>
      </c>
      <c r="C12" s="1" t="s">
        <v>37</v>
      </c>
      <c r="D12" s="45">
        <f>$D$25*(D24+E24)/2/1000</f>
        <v>1097.46</v>
      </c>
      <c r="E12" s="45">
        <f>$D$25*(E24+F24)/2/1000</f>
        <v>1158.0880500000001</v>
      </c>
      <c r="F12" s="45">
        <f>$D$25*(F24+G24)/2/1000</f>
        <v>1240.1928</v>
      </c>
      <c r="G12" s="46">
        <f>$D$25*(G24+H24)/2/1000</f>
        <v>1322.1967500000001</v>
      </c>
    </row>
    <row r="13" spans="2:7" ht="3" customHeight="1" x14ac:dyDescent="0.25">
      <c r="B13" s="52"/>
      <c r="C13" s="53"/>
      <c r="D13" s="45"/>
      <c r="E13" s="45"/>
      <c r="F13" s="45"/>
      <c r="G13" s="46"/>
    </row>
    <row r="14" spans="2:7" ht="15.75" thickBot="1" x14ac:dyDescent="0.3">
      <c r="B14" s="301" t="s">
        <v>12</v>
      </c>
      <c r="C14" s="302"/>
      <c r="D14" s="54">
        <f>+D10+D11+D12</f>
        <v>4608.0785371896109</v>
      </c>
      <c r="E14" s="54">
        <f t="shared" ref="E14:G14" si="0">+E10+E11+E12</f>
        <v>5378.1613403897554</v>
      </c>
      <c r="F14" s="54">
        <f t="shared" si="0"/>
        <v>6134.3553143754671</v>
      </c>
      <c r="G14" s="55">
        <f t="shared" si="0"/>
        <v>6782.4455911845007</v>
      </c>
    </row>
    <row r="23" spans="2:8" x14ac:dyDescent="0.25">
      <c r="D23" s="62">
        <v>43252</v>
      </c>
      <c r="E23" s="62">
        <v>43617</v>
      </c>
      <c r="F23" s="62">
        <v>43983</v>
      </c>
      <c r="G23" s="62">
        <v>44348</v>
      </c>
      <c r="H23" s="62">
        <v>44713</v>
      </c>
    </row>
    <row r="24" spans="2:8" x14ac:dyDescent="0.25">
      <c r="B24" s="23" t="s">
        <v>81</v>
      </c>
      <c r="C24" s="23"/>
      <c r="D24" s="63">
        <v>171025</v>
      </c>
      <c r="E24" s="63">
        <f>+D24+INVERSIONES!D31</f>
        <v>177375</v>
      </c>
      <c r="F24" s="63">
        <f>+E24+INVERSIONES!E31</f>
        <v>190272</v>
      </c>
      <c r="G24" s="63">
        <f>+F24+INVERSIONES!F31</f>
        <v>203440</v>
      </c>
      <c r="H24" s="63">
        <f>+G24+INVERSIONES!G31</f>
        <v>216305</v>
      </c>
    </row>
    <row r="25" spans="2:8" x14ac:dyDescent="0.25">
      <c r="B25" s="59" t="s">
        <v>82</v>
      </c>
      <c r="C25" s="23"/>
      <c r="D25" s="60">
        <v>6.3</v>
      </c>
    </row>
  </sheetData>
  <sheetProtection algorithmName="SHA-512" hashValue="v7UIpw/7PfcUJKX2tVRDDkO1eoOeqV4A2mtGTtrBc/qhHKgHvAH0tI8o+zAirNMsgfzFkaO+DI4h3RXu+YId2A==" saltValue="sn0LvOaBUZRJk23mwqrsHQ==" spinCount="100000" sheet="1" objects="1" scenarios="1"/>
  <mergeCells count="6">
    <mergeCell ref="G7:G8"/>
    <mergeCell ref="B7:C8"/>
    <mergeCell ref="B14:C14"/>
    <mergeCell ref="D7:D8"/>
    <mergeCell ref="E7:E8"/>
    <mergeCell ref="F7:F8"/>
  </mergeCells>
  <phoneticPr fontId="0" type="noConversion"/>
  <pageMargins left="0.74803149606299213" right="0.74803149606299213" top="0.62992125984251968" bottom="0.55118110236220474" header="0.39370078740157483" footer="0"/>
  <pageSetup scale="91" orientation="landscape" r:id="rId1"/>
  <headerFooter alignWithMargins="0">
    <oddFooter xml:space="preserve">&amp;C&amp;A&amp;R.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3:L16"/>
  <sheetViews>
    <sheetView zoomScaleNormal="100" workbookViewId="0">
      <selection activeCell="E35" sqref="E35"/>
    </sheetView>
  </sheetViews>
  <sheetFormatPr baseColWidth="10" defaultColWidth="11.42578125" defaultRowHeight="15" x14ac:dyDescent="0.25"/>
  <cols>
    <col min="1" max="1" width="2.5703125" style="3" customWidth="1"/>
    <col min="2" max="2" width="37" style="3" customWidth="1"/>
    <col min="3" max="3" width="11.42578125" style="3"/>
    <col min="4" max="4" width="13.85546875" style="3" customWidth="1"/>
    <col min="5" max="8" width="15.7109375" style="3" bestFit="1" customWidth="1"/>
    <col min="9" max="9" width="11.42578125" style="3"/>
    <col min="10" max="11" width="0" style="3" hidden="1" customWidth="1"/>
    <col min="12" max="12" width="11.42578125" style="3"/>
    <col min="13" max="16" width="17.42578125" style="3" customWidth="1"/>
    <col min="17" max="16384" width="11.42578125" style="3"/>
  </cols>
  <sheetData>
    <row r="3" spans="2:12" x14ac:dyDescent="0.25">
      <c r="B3" s="44" t="s">
        <v>89</v>
      </c>
    </row>
    <row r="4" spans="2:12" ht="15.75" thickBot="1" x14ac:dyDescent="0.3"/>
    <row r="5" spans="2:12" x14ac:dyDescent="0.25">
      <c r="B5" s="222" t="s">
        <v>2</v>
      </c>
      <c r="C5" s="222" t="s">
        <v>254</v>
      </c>
      <c r="D5" s="222" t="s">
        <v>59</v>
      </c>
      <c r="E5" s="222" t="s">
        <v>155</v>
      </c>
      <c r="F5" s="222" t="s">
        <v>156</v>
      </c>
      <c r="G5" s="222" t="s">
        <v>157</v>
      </c>
      <c r="H5" s="222" t="s">
        <v>158</v>
      </c>
      <c r="I5" s="222" t="s">
        <v>58</v>
      </c>
    </row>
    <row r="6" spans="2:12" x14ac:dyDescent="0.25">
      <c r="B6" s="67" t="s">
        <v>3</v>
      </c>
      <c r="C6" s="68" t="s">
        <v>67</v>
      </c>
      <c r="D6" s="69">
        <f>+D7/8760/D15</f>
        <v>799.5218980104795</v>
      </c>
      <c r="E6" s="69">
        <f>+E7/8760/E15</f>
        <v>821.30287148627951</v>
      </c>
      <c r="F6" s="69">
        <f>+F7/8760/F15</f>
        <v>842.63317465675289</v>
      </c>
      <c r="G6" s="69">
        <f>+G7/8760/G15</f>
        <v>864.5413236608066</v>
      </c>
      <c r="H6" s="69">
        <f>+H7/8760/H15</f>
        <v>887.04433291196972</v>
      </c>
      <c r="I6" s="70">
        <f>(H6/D6)^(1/4)-1</f>
        <v>2.6310425615524435E-2</v>
      </c>
    </row>
    <row r="7" spans="2:12" x14ac:dyDescent="0.25">
      <c r="B7" s="67" t="s">
        <v>167</v>
      </c>
      <c r="C7" s="68" t="s">
        <v>10</v>
      </c>
      <c r="D7" s="71">
        <f>+(D12+D13)/(1-D14)</f>
        <v>4622515.8055373887</v>
      </c>
      <c r="E7" s="71">
        <f t="shared" ref="E7:H7" si="0">+(E12+E13)/(1-E14)</f>
        <v>4748444.6817850741</v>
      </c>
      <c r="F7" s="71">
        <f t="shared" si="0"/>
        <v>4871767.9625954824</v>
      </c>
      <c r="G7" s="71">
        <f t="shared" si="0"/>
        <v>4998432.1168773193</v>
      </c>
      <c r="H7" s="71">
        <f t="shared" si="0"/>
        <v>5128535.5151638445</v>
      </c>
      <c r="I7" s="72">
        <f>(H7/D7)^(1/4)-1</f>
        <v>2.6310425615524435E-2</v>
      </c>
    </row>
    <row r="8" spans="2:12" x14ac:dyDescent="0.25">
      <c r="B8" s="73" t="s">
        <v>4</v>
      </c>
      <c r="C8" s="74" t="s">
        <v>21</v>
      </c>
      <c r="D8" s="75">
        <v>473191</v>
      </c>
      <c r="E8" s="75">
        <v>490841.02430000005</v>
      </c>
      <c r="F8" s="75">
        <v>509149.39450639009</v>
      </c>
      <c r="G8" s="75">
        <v>528140.66692147846</v>
      </c>
      <c r="H8" s="75">
        <v>547840.31379764969</v>
      </c>
      <c r="I8" s="76">
        <f>(H8/D8)^(1/4)-1</f>
        <v>3.7300000000000111E-2</v>
      </c>
    </row>
    <row r="9" spans="2:12" x14ac:dyDescent="0.25">
      <c r="B9" s="23" t="s">
        <v>55</v>
      </c>
      <c r="C9" s="77" t="s">
        <v>57</v>
      </c>
      <c r="D9" s="78">
        <f>D6/D8*1000</f>
        <v>1.6896388519867864</v>
      </c>
      <c r="E9" s="78">
        <v>1.8369350047542534</v>
      </c>
      <c r="F9" s="78">
        <v>1.8143079216741513</v>
      </c>
      <c r="G9" s="78">
        <v>1.784533004263946</v>
      </c>
      <c r="H9" s="78">
        <v>1.8060682817147111</v>
      </c>
      <c r="I9" s="79"/>
      <c r="J9" s="79"/>
      <c r="K9" s="79"/>
      <c r="L9" s="79"/>
    </row>
    <row r="10" spans="2:12" x14ac:dyDescent="0.25">
      <c r="B10" s="23" t="s">
        <v>56</v>
      </c>
      <c r="C10" s="77" t="s">
        <v>61</v>
      </c>
      <c r="D10" s="78">
        <f>+D12/D8</f>
        <v>8.7364066518593972</v>
      </c>
      <c r="E10" s="78">
        <v>9.0600380812163337</v>
      </c>
      <c r="F10" s="78">
        <v>9.3260849802730856</v>
      </c>
      <c r="G10" s="78">
        <v>8.9827326715219087</v>
      </c>
      <c r="H10" s="78">
        <v>9.0396665612601872</v>
      </c>
      <c r="I10" s="79"/>
      <c r="J10" s="79"/>
      <c r="K10" s="79"/>
      <c r="L10" s="79"/>
    </row>
    <row r="11" spans="2:12" x14ac:dyDescent="0.25">
      <c r="J11" s="79"/>
      <c r="K11" s="79"/>
      <c r="L11" s="79"/>
    </row>
    <row r="12" spans="2:12" x14ac:dyDescent="0.25">
      <c r="B12" s="23" t="s">
        <v>163</v>
      </c>
      <c r="C12" s="77" t="s">
        <v>10</v>
      </c>
      <c r="D12" s="80">
        <v>4133989</v>
      </c>
      <c r="E12" s="80">
        <f>+D12*(1+$K$12)</f>
        <v>4237752.1239</v>
      </c>
      <c r="F12" s="80">
        <f t="shared" ref="F12:H12" si="1">+E12*(1+$K$12)</f>
        <v>4344119.7022098899</v>
      </c>
      <c r="G12" s="80">
        <f t="shared" si="1"/>
        <v>4453157.106735358</v>
      </c>
      <c r="H12" s="80">
        <f t="shared" si="1"/>
        <v>4564931.3501144154</v>
      </c>
      <c r="I12" s="81">
        <f>(H12/D12)^(1/4)-1</f>
        <v>2.50999999999999E-2</v>
      </c>
      <c r="J12" s="3" t="s">
        <v>171</v>
      </c>
      <c r="K12" s="82">
        <v>2.5100000000000001E-2</v>
      </c>
    </row>
    <row r="13" spans="2:12" x14ac:dyDescent="0.25">
      <c r="B13" s="23" t="s">
        <v>200</v>
      </c>
      <c r="C13" s="77" t="s">
        <v>10</v>
      </c>
      <c r="D13" s="80">
        <v>106707</v>
      </c>
      <c r="E13" s="80">
        <f>+D13*(1+$K$13)</f>
        <v>113002.71299999999</v>
      </c>
      <c r="F13" s="80">
        <f t="shared" ref="F13:H13" si="2">+E13*(1+$K$13)</f>
        <v>119669.87306699998</v>
      </c>
      <c r="G13" s="80">
        <f t="shared" si="2"/>
        <v>126730.39557795296</v>
      </c>
      <c r="H13" s="80">
        <f t="shared" si="2"/>
        <v>134207.48891705219</v>
      </c>
      <c r="I13" s="81">
        <f>(H13/D13)^(1/4)-1</f>
        <v>5.8999999999999941E-2</v>
      </c>
      <c r="K13" s="82">
        <v>5.8999999999999997E-2</v>
      </c>
    </row>
    <row r="14" spans="2:12" x14ac:dyDescent="0.25">
      <c r="B14" s="23" t="s">
        <v>168</v>
      </c>
      <c r="C14" s="23"/>
      <c r="D14" s="83">
        <v>8.2600000000000007E-2</v>
      </c>
      <c r="E14" s="83">
        <f>+'PERDIDAS y OTROS'!E9+'PERDIDAS y OTROS'!E10</f>
        <v>8.3751601110697099E-2</v>
      </c>
      <c r="F14" s="83">
        <f>+'PERDIDAS y OTROS'!F9+'PERDIDAS y OTROS'!F10</f>
        <v>8.3743394687713732E-2</v>
      </c>
      <c r="G14" s="83">
        <f>+'PERDIDAS y OTROS'!G9+'PERDIDAS y OTROS'!G10</f>
        <v>8.3735180307997592E-2</v>
      </c>
      <c r="H14" s="83">
        <f>+'PERDIDAS y OTROS'!H9+'PERDIDAS y OTROS'!H10</f>
        <v>8.3726957698304905E-2</v>
      </c>
    </row>
    <row r="15" spans="2:12" x14ac:dyDescent="0.25">
      <c r="B15" s="23" t="s">
        <v>169</v>
      </c>
      <c r="C15" s="23"/>
      <c r="D15" s="78">
        <v>0.66</v>
      </c>
      <c r="E15" s="78">
        <v>0.66</v>
      </c>
      <c r="F15" s="78">
        <v>0.66</v>
      </c>
      <c r="G15" s="78">
        <v>0.66</v>
      </c>
      <c r="H15" s="78">
        <v>0.66</v>
      </c>
    </row>
    <row r="16" spans="2:12" x14ac:dyDescent="0.25">
      <c r="B16" s="11"/>
      <c r="D16" s="84"/>
      <c r="E16" s="84"/>
      <c r="F16" s="84"/>
      <c r="G16" s="84"/>
      <c r="H16" s="84"/>
    </row>
  </sheetData>
  <sheetProtection algorithmName="SHA-512" hashValue="Oy4YFGcj/UG91p1z1jLrT58AdzI/TkLHBgMpsYB3OeTNNcyOAZhZYc7y8HriznXWML64H3aglzAlwakQf/4Hfw==" saltValue="yE67n+nYj/6VcOdze2K86w==" spinCount="100000" sheet="1" objects="1" scenarios="1"/>
  <phoneticPr fontId="0" type="noConversion"/>
  <pageMargins left="0.74803149606299213" right="0.74803149606299213" top="0.62992125984251968" bottom="0.55118110236220474" header="0.39370078740157483" footer="0"/>
  <pageSetup scale="86" orientation="landscape" r:id="rId1"/>
  <headerFooter alignWithMargins="0">
    <oddFooter xml:space="preserve">&amp;C&amp;A&amp;R.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zoomScaleNormal="100" workbookViewId="0"/>
  </sheetViews>
  <sheetFormatPr baseColWidth="10" defaultColWidth="16.7109375" defaultRowHeight="12.75" x14ac:dyDescent="0.2"/>
  <cols>
    <col min="1" max="1" width="30.7109375" style="87" customWidth="1"/>
    <col min="2" max="16384" width="16.7109375" style="87"/>
  </cols>
  <sheetData>
    <row r="1" spans="1:13" ht="14.25" x14ac:dyDescent="0.2">
      <c r="A1" s="86" t="s">
        <v>164</v>
      </c>
    </row>
    <row r="2" spans="1:13" ht="14.25" x14ac:dyDescent="0.2">
      <c r="A2" s="86"/>
    </row>
    <row r="3" spans="1:13" ht="14.25" x14ac:dyDescent="0.2">
      <c r="A3" s="86" t="s">
        <v>106</v>
      </c>
    </row>
    <row r="4" spans="1:13" s="91" customFormat="1" ht="14.25" x14ac:dyDescent="0.2">
      <c r="A4" s="88" t="s">
        <v>107</v>
      </c>
      <c r="B4" s="89" t="s">
        <v>22</v>
      </c>
      <c r="C4" s="89" t="s">
        <v>23</v>
      </c>
      <c r="D4" s="89" t="s">
        <v>26</v>
      </c>
      <c r="E4" s="89" t="s">
        <v>20</v>
      </c>
      <c r="F4" s="89" t="s">
        <v>24</v>
      </c>
      <c r="G4" s="90"/>
      <c r="I4" s="6"/>
      <c r="J4" s="6"/>
      <c r="K4" s="6"/>
      <c r="L4" s="6"/>
      <c r="M4" s="6"/>
    </row>
    <row r="5" spans="1:13" ht="15" x14ac:dyDescent="0.2">
      <c r="A5" s="92" t="s">
        <v>108</v>
      </c>
      <c r="B5" s="93">
        <v>0.994336</v>
      </c>
      <c r="C5" s="93"/>
      <c r="D5" s="93">
        <v>0.90142100000000003</v>
      </c>
      <c r="E5" s="93"/>
      <c r="F5" s="93"/>
      <c r="G5" s="94"/>
      <c r="I5" s="6"/>
      <c r="J5" s="6"/>
      <c r="K5" s="6"/>
      <c r="L5" s="6"/>
      <c r="M5" s="6"/>
    </row>
    <row r="6" spans="1:13" ht="15" x14ac:dyDescent="0.2">
      <c r="A6" s="92" t="s">
        <v>152</v>
      </c>
      <c r="B6" s="93"/>
      <c r="C6" s="93">
        <v>0.98074600000000001</v>
      </c>
      <c r="D6" s="93"/>
      <c r="E6" s="93">
        <v>1.0040389999999999</v>
      </c>
      <c r="F6" s="93">
        <v>0.87096899999999999</v>
      </c>
      <c r="G6" s="94"/>
      <c r="I6" s="6"/>
      <c r="J6" s="6"/>
      <c r="K6" s="6"/>
      <c r="L6" s="6"/>
      <c r="M6" s="6"/>
    </row>
    <row r="7" spans="1:13" ht="15" x14ac:dyDescent="0.2">
      <c r="A7" s="92" t="s">
        <v>151</v>
      </c>
      <c r="B7" s="93">
        <v>-0.83731299999999997</v>
      </c>
      <c r="C7" s="93"/>
      <c r="D7" s="93">
        <v>-0.84747600000000001</v>
      </c>
      <c r="E7" s="93"/>
      <c r="F7" s="93"/>
      <c r="G7" s="94"/>
      <c r="I7" s="6"/>
      <c r="J7" s="6"/>
      <c r="K7" s="6"/>
      <c r="L7" s="6"/>
      <c r="M7" s="6"/>
    </row>
    <row r="8" spans="1:13" ht="15" x14ac:dyDescent="0.2">
      <c r="A8" s="92" t="s">
        <v>154</v>
      </c>
      <c r="B8" s="93"/>
      <c r="C8" s="93"/>
      <c r="D8" s="93"/>
      <c r="E8" s="93"/>
      <c r="F8" s="93"/>
      <c r="G8" s="94"/>
      <c r="I8" s="6"/>
      <c r="J8" s="6"/>
      <c r="K8" s="6"/>
      <c r="L8" s="6"/>
      <c r="M8" s="6"/>
    </row>
    <row r="9" spans="1:13" ht="15" x14ac:dyDescent="0.2">
      <c r="A9" s="92" t="s">
        <v>153</v>
      </c>
      <c r="B9" s="93"/>
      <c r="C9" s="93"/>
      <c r="D9" s="93"/>
      <c r="E9" s="93"/>
      <c r="F9" s="93"/>
      <c r="G9" s="94"/>
      <c r="I9" s="6"/>
      <c r="J9" s="6"/>
      <c r="K9" s="6"/>
      <c r="L9" s="6"/>
      <c r="M9" s="6"/>
    </row>
    <row r="10" spans="1:13" ht="15" x14ac:dyDescent="0.2">
      <c r="A10" s="92" t="s">
        <v>25</v>
      </c>
      <c r="B10" s="93">
        <v>9.3116339999999997</v>
      </c>
      <c r="C10" s="93">
        <v>5.5468419999999998</v>
      </c>
      <c r="D10" s="93">
        <v>6.1940470000000003</v>
      </c>
      <c r="E10" s="93">
        <v>4.5432420000000002</v>
      </c>
      <c r="F10" s="93">
        <v>5.9060639999999998</v>
      </c>
      <c r="G10" s="94"/>
      <c r="I10" s="6"/>
      <c r="J10" s="6"/>
      <c r="K10" s="6"/>
      <c r="L10" s="6"/>
      <c r="M10" s="6"/>
    </row>
    <row r="13" spans="1:13" ht="14.25" x14ac:dyDescent="0.2">
      <c r="A13" s="86" t="s">
        <v>109</v>
      </c>
    </row>
    <row r="14" spans="1:13" ht="6" customHeight="1" x14ac:dyDescent="0.2">
      <c r="A14" s="86"/>
    </row>
    <row r="15" spans="1:13" ht="14.25" x14ac:dyDescent="0.2">
      <c r="A15" s="95" t="s">
        <v>89</v>
      </c>
      <c r="C15" s="96"/>
      <c r="D15" s="96"/>
      <c r="E15" s="96"/>
      <c r="F15" s="96"/>
      <c r="G15" s="96"/>
      <c r="H15" s="96"/>
    </row>
    <row r="16" spans="1:13" ht="15" x14ac:dyDescent="0.2">
      <c r="A16" s="303" t="s">
        <v>110</v>
      </c>
      <c r="B16" s="303" t="s">
        <v>111</v>
      </c>
      <c r="C16" s="91"/>
      <c r="D16" s="304" t="s">
        <v>133</v>
      </c>
      <c r="E16" s="304"/>
      <c r="F16" s="304"/>
      <c r="G16" s="304"/>
      <c r="H16" s="304"/>
    </row>
    <row r="17" spans="1:10" ht="13.5" x14ac:dyDescent="0.2">
      <c r="A17" s="303"/>
      <c r="B17" s="303"/>
      <c r="C17" s="97"/>
      <c r="D17" s="97" t="s">
        <v>112</v>
      </c>
      <c r="E17" s="97" t="s">
        <v>147</v>
      </c>
      <c r="F17" s="97" t="s">
        <v>148</v>
      </c>
      <c r="G17" s="97" t="s">
        <v>149</v>
      </c>
      <c r="H17" s="97" t="s">
        <v>150</v>
      </c>
    </row>
    <row r="18" spans="1:10" ht="15" x14ac:dyDescent="0.2">
      <c r="A18" s="98" t="s">
        <v>113</v>
      </c>
      <c r="B18" s="87" t="s">
        <v>67</v>
      </c>
      <c r="C18" s="99"/>
      <c r="D18" s="99">
        <f>+DEMANDA!D6</f>
        <v>799.5218980104795</v>
      </c>
      <c r="E18" s="99">
        <f>+DEMANDA!E6</f>
        <v>821.30287148627951</v>
      </c>
      <c r="F18" s="99">
        <f>+DEMANDA!F6</f>
        <v>842.63317465675289</v>
      </c>
      <c r="G18" s="99">
        <f>+DEMANDA!G6</f>
        <v>864.5413236608066</v>
      </c>
      <c r="H18" s="99">
        <f>+DEMANDA!H6</f>
        <v>887.04433291196972</v>
      </c>
      <c r="I18" s="100"/>
    </row>
    <row r="19" spans="1:10" ht="15" x14ac:dyDescent="0.2">
      <c r="A19" s="101" t="s">
        <v>170</v>
      </c>
      <c r="B19" s="87" t="s">
        <v>10</v>
      </c>
      <c r="C19" s="102"/>
      <c r="D19" s="102">
        <v>4622515.8055373887</v>
      </c>
      <c r="E19" s="102">
        <v>4748444.7904088786</v>
      </c>
      <c r="F19" s="102">
        <v>4871768.0740264542</v>
      </c>
      <c r="G19" s="102">
        <v>4998432.2311911471</v>
      </c>
      <c r="H19" s="102">
        <v>5128535.6324384334</v>
      </c>
    </row>
    <row r="20" spans="1:10" x14ac:dyDescent="0.2">
      <c r="A20" s="98" t="s">
        <v>4</v>
      </c>
      <c r="B20" s="87" t="s">
        <v>114</v>
      </c>
      <c r="C20" s="103"/>
      <c r="D20" s="103">
        <f>+DEMANDA!D8</f>
        <v>473191</v>
      </c>
      <c r="E20" s="103">
        <f>+DEMANDA!E8</f>
        <v>490841.02430000005</v>
      </c>
      <c r="F20" s="103">
        <f>+DEMANDA!F8</f>
        <v>509149.39450639009</v>
      </c>
      <c r="G20" s="103">
        <f>+DEMANDA!G8</f>
        <v>528140.66692147846</v>
      </c>
      <c r="H20" s="103">
        <f>+DEMANDA!H8</f>
        <v>547840.31379764969</v>
      </c>
    </row>
    <row r="23" spans="1:10" ht="14.25" x14ac:dyDescent="0.2">
      <c r="A23" s="86" t="s">
        <v>115</v>
      </c>
    </row>
    <row r="24" spans="1:10" ht="6" customHeight="1" x14ac:dyDescent="0.2">
      <c r="A24" s="86"/>
    </row>
    <row r="25" spans="1:10" ht="14.25" x14ac:dyDescent="0.2">
      <c r="A25" s="95" t="s">
        <v>89</v>
      </c>
      <c r="C25" s="96"/>
      <c r="D25" s="96"/>
      <c r="E25" s="96"/>
      <c r="F25" s="96"/>
      <c r="G25" s="96"/>
      <c r="H25" s="96"/>
    </row>
    <row r="26" spans="1:10" ht="15" x14ac:dyDescent="0.2">
      <c r="A26" s="104" t="s">
        <v>270</v>
      </c>
      <c r="B26" s="105"/>
      <c r="C26" s="96"/>
      <c r="D26" s="96"/>
      <c r="E26" s="96"/>
      <c r="F26" s="96"/>
      <c r="G26" s="96"/>
      <c r="H26" s="96"/>
    </row>
    <row r="27" spans="1:10" ht="14.25" x14ac:dyDescent="0.2">
      <c r="A27" s="96" t="s">
        <v>116</v>
      </c>
      <c r="B27" s="97"/>
      <c r="C27" s="97" t="s">
        <v>112</v>
      </c>
      <c r="D27" s="97" t="s">
        <v>147</v>
      </c>
      <c r="E27" s="97" t="s">
        <v>148</v>
      </c>
      <c r="F27" s="97" t="s">
        <v>149</v>
      </c>
      <c r="G27" s="97" t="s">
        <v>150</v>
      </c>
      <c r="I27" s="6"/>
      <c r="J27" s="6"/>
    </row>
    <row r="28" spans="1:10" x14ac:dyDescent="0.2">
      <c r="A28" s="106" t="s">
        <v>22</v>
      </c>
      <c r="B28" s="107"/>
      <c r="C28" s="107">
        <f>EXP($B$10+$B$5*LN(D18)+$B$7*LN(D18/D20))</f>
        <v>1784778034.9536788</v>
      </c>
      <c r="D28" s="107">
        <f>EXP($B$10+$B$5*LN(E18)+$B$7*LN(E18/E20))</f>
        <v>1848136655.9513328</v>
      </c>
      <c r="E28" s="107">
        <f t="shared" ref="E28:G28" si="0">EXP($B$10+$B$5*LN(F18)+$B$7*LN(F18/F20))</f>
        <v>1913372411.6335828</v>
      </c>
      <c r="F28" s="107">
        <f t="shared" si="0"/>
        <v>1980919455.3090475</v>
      </c>
      <c r="G28" s="107">
        <f t="shared" si="0"/>
        <v>2050860255.2816391</v>
      </c>
      <c r="I28" s="6"/>
      <c r="J28" s="6"/>
    </row>
    <row r="29" spans="1:10" x14ac:dyDescent="0.2">
      <c r="A29" s="106" t="s">
        <v>23</v>
      </c>
      <c r="B29" s="107"/>
      <c r="C29" s="107">
        <f t="shared" ref="C29:G29" si="1">EXP($C$10+$C$6*LN(D20))</f>
        <v>94347890.888890088</v>
      </c>
      <c r="D29" s="107">
        <f t="shared" si="1"/>
        <v>97798085.055090815</v>
      </c>
      <c r="E29" s="107">
        <f t="shared" si="1"/>
        <v>101374448.86506738</v>
      </c>
      <c r="F29" s="107">
        <f t="shared" si="1"/>
        <v>105081596.19799474</v>
      </c>
      <c r="G29" s="107">
        <f t="shared" si="1"/>
        <v>108924309.65731676</v>
      </c>
      <c r="I29" s="6"/>
      <c r="J29" s="6"/>
    </row>
    <row r="30" spans="1:10" x14ac:dyDescent="0.2">
      <c r="A30" s="106" t="s">
        <v>26</v>
      </c>
      <c r="B30" s="107"/>
      <c r="C30" s="107">
        <f t="shared" ref="C30:G30" si="2">EXP($D$10+$D$5*LN(D18)+$D$7*LN(D18/D20))</f>
        <v>45299230.957648374</v>
      </c>
      <c r="D30" s="107">
        <f t="shared" si="2"/>
        <v>46794962.809128776</v>
      </c>
      <c r="E30" s="107">
        <f t="shared" si="2"/>
        <v>48336853.227666155</v>
      </c>
      <c r="F30" s="107">
        <f t="shared" si="2"/>
        <v>49929623.184358321</v>
      </c>
      <c r="G30" s="107">
        <f t="shared" si="2"/>
        <v>51574956.456965283</v>
      </c>
      <c r="I30" s="6"/>
      <c r="J30" s="6"/>
    </row>
    <row r="31" spans="1:10" x14ac:dyDescent="0.2">
      <c r="A31" s="106" t="s">
        <v>20</v>
      </c>
      <c r="B31" s="107"/>
      <c r="C31" s="107">
        <f>EXP($E$10+$E$6*LN(D20))</f>
        <v>46888126.35452079</v>
      </c>
      <c r="D31" s="107">
        <f t="shared" ref="D31:G31" si="3">EXP($E$10+$E$6*LN(E20))</f>
        <v>48644248.050160393</v>
      </c>
      <c r="E31" s="107">
        <f t="shared" si="3"/>
        <v>50466142.546926022</v>
      </c>
      <c r="F31" s="107">
        <f t="shared" si="3"/>
        <v>52356273.262574553</v>
      </c>
      <c r="G31" s="107">
        <f t="shared" si="3"/>
        <v>54317195.878335632</v>
      </c>
      <c r="I31" s="6"/>
      <c r="J31" s="6"/>
    </row>
    <row r="32" spans="1:10" s="110" customFormat="1" x14ac:dyDescent="0.2">
      <c r="A32" s="108" t="s">
        <v>24</v>
      </c>
      <c r="B32" s="109"/>
      <c r="C32" s="109">
        <f>EXP($F$10+$F$6*LN(D20))</f>
        <v>32192288.365539823</v>
      </c>
      <c r="D32" s="109">
        <f t="shared" ref="D32:G32" si="4">EXP($F$10+$F$6*LN(E20))</f>
        <v>33235641.779159501</v>
      </c>
      <c r="E32" s="109">
        <f t="shared" si="4"/>
        <v>34312810.320593365</v>
      </c>
      <c r="F32" s="109">
        <f t="shared" si="4"/>
        <v>35424889.939549498</v>
      </c>
      <c r="G32" s="109">
        <f t="shared" si="4"/>
        <v>36573012.105511911</v>
      </c>
      <c r="I32" s="6"/>
      <c r="J32" s="6"/>
    </row>
    <row r="33" spans="1:8" x14ac:dyDescent="0.2">
      <c r="A33" s="106"/>
    </row>
    <row r="34" spans="1:8" x14ac:dyDescent="0.2">
      <c r="A34" s="106"/>
    </row>
    <row r="35" spans="1:8" x14ac:dyDescent="0.2">
      <c r="A35" s="106"/>
    </row>
    <row r="36" spans="1:8" ht="15" x14ac:dyDescent="0.2">
      <c r="A36" s="104" t="s">
        <v>117</v>
      </c>
    </row>
    <row r="37" spans="1:8" x14ac:dyDescent="0.2">
      <c r="A37" s="111" t="s">
        <v>118</v>
      </c>
    </row>
    <row r="38" spans="1:8" s="115" customFormat="1" ht="15" x14ac:dyDescent="0.2">
      <c r="A38" s="112" t="s">
        <v>119</v>
      </c>
      <c r="B38" s="113">
        <v>0.32100000000000001</v>
      </c>
      <c r="C38" s="114"/>
    </row>
    <row r="39" spans="1:8" s="115" customFormat="1" ht="15" x14ac:dyDescent="0.25">
      <c r="A39" s="116" t="s">
        <v>120</v>
      </c>
      <c r="B39" s="117"/>
      <c r="C39" s="114" t="s">
        <v>260</v>
      </c>
      <c r="D39" s="117" t="s">
        <v>261</v>
      </c>
      <c r="E39" s="117"/>
      <c r="F39" s="117"/>
      <c r="G39" s="7"/>
      <c r="H39" s="7"/>
    </row>
    <row r="40" spans="1:8" s="115" customFormat="1" ht="15" x14ac:dyDescent="0.25">
      <c r="A40" s="118" t="s">
        <v>22</v>
      </c>
      <c r="B40" s="119">
        <v>0.58899999999999997</v>
      </c>
      <c r="C40" s="279">
        <v>0.63009999999999999</v>
      </c>
      <c r="D40" s="280">
        <f>+C40*105.5/104.1+(1-C40)</f>
        <v>1.008473967339097</v>
      </c>
      <c r="E40" s="5"/>
      <c r="F40" s="5"/>
      <c r="G40" s="7"/>
      <c r="H40" s="7"/>
    </row>
    <row r="41" spans="1:8" s="115" customFormat="1" ht="15" x14ac:dyDescent="0.25">
      <c r="A41" s="118" t="s">
        <v>23</v>
      </c>
      <c r="B41" s="119">
        <v>0.371</v>
      </c>
      <c r="C41" s="279">
        <v>0.43390000000000001</v>
      </c>
      <c r="D41" s="280">
        <f t="shared" ref="D41:D44" si="5">+C41*105.5/104.1+(1-C41)</f>
        <v>1.0058353506243998</v>
      </c>
      <c r="E41" s="113"/>
      <c r="F41" s="113"/>
      <c r="G41" s="7"/>
      <c r="H41" s="7"/>
    </row>
    <row r="42" spans="1:8" s="115" customFormat="1" ht="15" x14ac:dyDescent="0.25">
      <c r="A42" s="118" t="s">
        <v>26</v>
      </c>
      <c r="B42" s="119">
        <v>0.47799999999999998</v>
      </c>
      <c r="C42" s="279">
        <v>0.5302</v>
      </c>
      <c r="D42" s="280">
        <f t="shared" si="5"/>
        <v>1.007130451488953</v>
      </c>
      <c r="E42" s="119"/>
      <c r="F42" s="119"/>
      <c r="G42" s="7"/>
      <c r="H42" s="7"/>
    </row>
    <row r="43" spans="1:8" s="115" customFormat="1" ht="15" x14ac:dyDescent="0.25">
      <c r="A43" s="118" t="s">
        <v>20</v>
      </c>
      <c r="B43" s="119">
        <v>0.28499999999999998</v>
      </c>
      <c r="C43" s="279">
        <v>0.39229999999999998</v>
      </c>
      <c r="D43" s="280">
        <f t="shared" si="5"/>
        <v>1.0052758885686841</v>
      </c>
      <c r="E43" s="119"/>
      <c r="F43" s="119"/>
      <c r="G43" s="7"/>
      <c r="H43" s="7"/>
    </row>
    <row r="44" spans="1:8" s="115" customFormat="1" ht="15" x14ac:dyDescent="0.25">
      <c r="A44" s="118" t="s">
        <v>24</v>
      </c>
      <c r="B44" s="119">
        <v>0.57699999999999996</v>
      </c>
      <c r="C44" s="279">
        <v>0.68279999999999996</v>
      </c>
      <c r="D44" s="280">
        <f t="shared" si="5"/>
        <v>1.0091827089337175</v>
      </c>
      <c r="E44" s="5"/>
      <c r="F44" s="119"/>
      <c r="G44" s="7"/>
      <c r="H44" s="7"/>
    </row>
    <row r="45" spans="1:8" s="115" customFormat="1" ht="15" x14ac:dyDescent="0.25">
      <c r="A45" s="21"/>
      <c r="C45" s="119"/>
      <c r="D45" s="119"/>
      <c r="E45" s="119"/>
      <c r="F45" s="7"/>
      <c r="G45" s="7"/>
      <c r="H45" s="7"/>
    </row>
    <row r="46" spans="1:8" s="115" customFormat="1" ht="15" x14ac:dyDescent="0.25">
      <c r="A46" s="111" t="s">
        <v>121</v>
      </c>
      <c r="C46" s="119"/>
      <c r="D46" s="119"/>
      <c r="E46" s="119"/>
      <c r="F46" s="7"/>
      <c r="G46" s="7"/>
      <c r="H46" s="7"/>
    </row>
    <row r="47" spans="1:8" s="115" customFormat="1" ht="14.25" x14ac:dyDescent="0.2">
      <c r="A47" s="111"/>
      <c r="B47" s="96">
        <v>2017</v>
      </c>
      <c r="C47" s="96">
        <f>B47+1</f>
        <v>2018</v>
      </c>
      <c r="D47" s="96">
        <f>C47+1</f>
        <v>2019</v>
      </c>
      <c r="E47" s="96">
        <f>D47+1</f>
        <v>2020</v>
      </c>
      <c r="F47" s="96">
        <f>E47+1</f>
        <v>2021</v>
      </c>
      <c r="G47" s="96">
        <f>F47+1</f>
        <v>2022</v>
      </c>
      <c r="H47" s="7"/>
    </row>
    <row r="48" spans="1:8" s="115" customFormat="1" ht="15" x14ac:dyDescent="0.2">
      <c r="A48" s="120" t="s">
        <v>122</v>
      </c>
      <c r="B48" s="121">
        <v>0.59</v>
      </c>
      <c r="C48" s="121">
        <v>0.59</v>
      </c>
      <c r="D48" s="121">
        <v>0.59</v>
      </c>
      <c r="E48" s="121">
        <v>0.59</v>
      </c>
      <c r="F48" s="121">
        <v>0.59</v>
      </c>
      <c r="G48" s="121">
        <v>0.59</v>
      </c>
      <c r="H48" s="114"/>
    </row>
    <row r="49" spans="1:17" s="115" customFormat="1" ht="15" customHeight="1" x14ac:dyDescent="0.25">
      <c r="A49" s="122" t="s">
        <v>123</v>
      </c>
      <c r="C49" s="119"/>
      <c r="D49" s="119"/>
      <c r="E49" s="119"/>
      <c r="F49" s="7"/>
      <c r="G49" s="7"/>
      <c r="H49" s="7"/>
    </row>
    <row r="50" spans="1:17" s="115" customFormat="1" ht="15" x14ac:dyDescent="0.25">
      <c r="A50" s="118" t="s">
        <v>22</v>
      </c>
      <c r="B50" s="123">
        <v>0.1</v>
      </c>
      <c r="C50" s="114"/>
      <c r="D50" s="7"/>
      <c r="E50" s="124"/>
      <c r="F50" s="7"/>
      <c r="G50" s="7"/>
      <c r="H50" s="7"/>
    </row>
    <row r="51" spans="1:17" s="115" customFormat="1" ht="15" x14ac:dyDescent="0.25">
      <c r="A51" s="118" t="s">
        <v>23</v>
      </c>
      <c r="B51" s="123">
        <v>0.1</v>
      </c>
      <c r="C51" s="7"/>
      <c r="D51" s="7"/>
      <c r="E51" s="124"/>
      <c r="F51" s="7"/>
      <c r="G51" s="7"/>
      <c r="H51" s="7"/>
    </row>
    <row r="52" spans="1:17" s="115" customFormat="1" ht="15" x14ac:dyDescent="0.25">
      <c r="A52" s="118" t="s">
        <v>26</v>
      </c>
      <c r="B52" s="123">
        <v>0.1</v>
      </c>
      <c r="C52" s="7"/>
      <c r="D52" s="7"/>
      <c r="E52" s="124"/>
      <c r="F52" s="7"/>
      <c r="G52" s="7"/>
      <c r="H52" s="7"/>
    </row>
    <row r="53" spans="1:17" s="115" customFormat="1" ht="15" x14ac:dyDescent="0.25">
      <c r="A53" s="118" t="s">
        <v>20</v>
      </c>
      <c r="B53" s="123">
        <v>0.15</v>
      </c>
      <c r="C53" s="7"/>
      <c r="D53" s="7"/>
      <c r="E53" s="124"/>
      <c r="F53" s="7"/>
      <c r="G53" s="7"/>
      <c r="H53" s="7"/>
    </row>
    <row r="54" spans="1:17" s="115" customFormat="1" ht="15" x14ac:dyDescent="0.25">
      <c r="A54" s="118" t="s">
        <v>24</v>
      </c>
      <c r="B54" s="123">
        <v>0.25</v>
      </c>
      <c r="C54" s="7"/>
      <c r="D54" s="7"/>
      <c r="E54" s="124"/>
      <c r="F54" s="7"/>
      <c r="G54" s="7"/>
      <c r="H54" s="7"/>
    </row>
    <row r="55" spans="1:17" s="115" customFormat="1" ht="15" x14ac:dyDescent="0.2">
      <c r="A55" s="7"/>
      <c r="B55" s="113"/>
      <c r="C55" s="7"/>
      <c r="D55" s="7"/>
      <c r="E55" s="124"/>
      <c r="F55" s="7"/>
      <c r="G55" s="7"/>
      <c r="H55" s="7"/>
    </row>
    <row r="56" spans="1:17" s="115" customFormat="1" ht="15" x14ac:dyDescent="0.2">
      <c r="A56" s="104" t="s">
        <v>269</v>
      </c>
      <c r="B56" s="87"/>
      <c r="C56" s="96"/>
      <c r="D56" s="96"/>
      <c r="E56" s="96"/>
      <c r="F56" s="96"/>
      <c r="G56" s="96"/>
      <c r="I56" s="6"/>
      <c r="J56" s="6"/>
      <c r="K56" s="6"/>
      <c r="L56" s="6"/>
      <c r="M56" s="6"/>
      <c r="N56" s="6"/>
      <c r="O56" s="6"/>
      <c r="P56" s="6"/>
      <c r="Q56" s="6"/>
    </row>
    <row r="57" spans="1:17" s="115" customFormat="1" ht="14.25" x14ac:dyDescent="0.2">
      <c r="A57" s="96" t="s">
        <v>116</v>
      </c>
      <c r="B57" s="97"/>
      <c r="C57" s="97" t="s">
        <v>112</v>
      </c>
      <c r="D57" s="97" t="s">
        <v>147</v>
      </c>
      <c r="E57" s="97" t="s">
        <v>148</v>
      </c>
      <c r="F57" s="97" t="s">
        <v>149</v>
      </c>
      <c r="G57" s="97" t="s">
        <v>150</v>
      </c>
      <c r="I57" s="6"/>
      <c r="J57" s="6"/>
      <c r="K57" s="6"/>
      <c r="L57" s="6"/>
      <c r="M57" s="6"/>
      <c r="N57" s="6"/>
      <c r="O57" s="6"/>
      <c r="P57" s="6"/>
      <c r="Q57" s="6"/>
    </row>
    <row r="58" spans="1:17" s="115" customFormat="1" x14ac:dyDescent="0.2">
      <c r="A58" s="106" t="s">
        <v>22</v>
      </c>
      <c r="B58" s="107"/>
      <c r="C58" s="107">
        <f>C28*($B40*$B$38+C$48*(1-$B40)*$B50+(1-$B40)*(1-$B50))*$D40</f>
        <v>1049735352.9567374</v>
      </c>
      <c r="D58" s="107">
        <f>D28*($B40*$B$38+D$48*(1-$B40)*$B50+(1-$B40)*(1-$B50))*$D40</f>
        <v>1087000370.2716501</v>
      </c>
      <c r="E58" s="107">
        <f t="shared" ref="E58:G58" si="6">E28*($B40*$B$38+E$48*(1-$B40)*$B50+(1-$B40)*(1-$B50))*$D40</f>
        <v>1125369443.4422996</v>
      </c>
      <c r="F58" s="107">
        <f t="shared" si="6"/>
        <v>1165097924.1526132</v>
      </c>
      <c r="G58" s="107">
        <f t="shared" si="6"/>
        <v>1206234316.9742618</v>
      </c>
      <c r="I58" s="6"/>
      <c r="J58" s="6"/>
      <c r="K58" s="6"/>
      <c r="L58" s="6"/>
      <c r="M58" s="6"/>
      <c r="N58" s="6"/>
      <c r="O58" s="6"/>
      <c r="P58" s="6"/>
      <c r="Q58" s="6"/>
    </row>
    <row r="59" spans="1:17" s="115" customFormat="1" x14ac:dyDescent="0.2">
      <c r="A59" s="106" t="s">
        <v>23</v>
      </c>
      <c r="B59" s="107"/>
      <c r="C59" s="107">
        <f t="shared" ref="C59:G62" si="7">C29*($B41*$B$38+C$48*(1-$B41)*$B51+(1-$B41)*(1-$B51))*$D41</f>
        <v>68545335.835175037</v>
      </c>
      <c r="D59" s="107">
        <f t="shared" si="7"/>
        <v>71051960.154920578</v>
      </c>
      <c r="E59" s="107">
        <f t="shared" si="7"/>
        <v>73650248.851297542</v>
      </c>
      <c r="F59" s="107">
        <f t="shared" si="7"/>
        <v>76343553.985433847</v>
      </c>
      <c r="G59" s="107">
        <f t="shared" si="7"/>
        <v>79135350.199487761</v>
      </c>
      <c r="I59" s="6"/>
      <c r="J59" s="6"/>
      <c r="K59" s="6"/>
      <c r="L59" s="6"/>
      <c r="M59" s="6"/>
      <c r="N59" s="6"/>
      <c r="O59" s="6"/>
      <c r="P59" s="6"/>
      <c r="Q59" s="6"/>
    </row>
    <row r="60" spans="1:17" s="115" customFormat="1" x14ac:dyDescent="0.2">
      <c r="A60" s="106" t="s">
        <v>26</v>
      </c>
      <c r="B60" s="107"/>
      <c r="C60" s="107"/>
      <c r="D60" s="107">
        <f t="shared" si="7"/>
        <v>30823821.972726546</v>
      </c>
      <c r="E60" s="107">
        <f t="shared" si="7"/>
        <v>31839464.531441808</v>
      </c>
      <c r="F60" s="107">
        <f t="shared" si="7"/>
        <v>32888621.420161661</v>
      </c>
      <c r="G60" s="107">
        <f t="shared" si="7"/>
        <v>33972401.742575914</v>
      </c>
      <c r="I60" s="6"/>
      <c r="J60" s="6"/>
      <c r="K60" s="6"/>
      <c r="L60" s="6"/>
      <c r="M60" s="6"/>
      <c r="N60" s="6"/>
      <c r="O60" s="6"/>
      <c r="P60" s="6"/>
      <c r="Q60" s="6"/>
    </row>
    <row r="61" spans="1:17" s="115" customFormat="1" x14ac:dyDescent="0.2">
      <c r="A61" s="106" t="s">
        <v>20</v>
      </c>
      <c r="B61" s="107"/>
      <c r="C61" s="107"/>
      <c r="D61" s="107">
        <f t="shared" si="7"/>
        <v>37287539.643936135</v>
      </c>
      <c r="E61" s="107">
        <f t="shared" si="7"/>
        <v>38684086.327218533</v>
      </c>
      <c r="F61" s="107">
        <f t="shared" si="7"/>
        <v>40132938.489950925</v>
      </c>
      <c r="G61" s="107">
        <f t="shared" si="7"/>
        <v>41636055.152346142</v>
      </c>
      <c r="I61" s="6"/>
      <c r="J61" s="6"/>
      <c r="K61" s="6"/>
      <c r="L61" s="6"/>
      <c r="M61" s="6"/>
      <c r="N61" s="6"/>
      <c r="O61" s="6"/>
      <c r="P61" s="6"/>
      <c r="Q61" s="6"/>
    </row>
    <row r="62" spans="1:17" s="115" customFormat="1" x14ac:dyDescent="0.2">
      <c r="A62" s="108" t="s">
        <v>24</v>
      </c>
      <c r="B62" s="109"/>
      <c r="C62" s="107"/>
      <c r="D62" s="107">
        <f t="shared" si="7"/>
        <v>18945859.289853159</v>
      </c>
      <c r="E62" s="107">
        <f t="shared" si="7"/>
        <v>19559895.382583559</v>
      </c>
      <c r="F62" s="107">
        <f t="shared" si="7"/>
        <v>20193832.41078525</v>
      </c>
      <c r="G62" s="107">
        <f t="shared" si="7"/>
        <v>20848315.364609994</v>
      </c>
      <c r="I62" s="6"/>
      <c r="J62" s="6"/>
      <c r="K62" s="6"/>
      <c r="L62" s="6"/>
      <c r="M62" s="6"/>
      <c r="N62" s="6"/>
      <c r="O62" s="6"/>
      <c r="P62" s="6"/>
      <c r="Q62" s="6"/>
    </row>
    <row r="63" spans="1:17" s="115" customFormat="1" x14ac:dyDescent="0.2">
      <c r="A63" s="108"/>
      <c r="B63" s="109"/>
      <c r="C63" s="109"/>
      <c r="D63" s="109">
        <f>+D60+D61+D62</f>
        <v>87057220.906515837</v>
      </c>
      <c r="E63" s="109">
        <f t="shared" ref="E63:G63" si="8">+E60+E61+E62</f>
        <v>90083446.241243899</v>
      </c>
      <c r="F63" s="109">
        <f t="shared" si="8"/>
        <v>93215392.320897847</v>
      </c>
      <c r="G63" s="109">
        <f t="shared" si="8"/>
        <v>96456772.259532034</v>
      </c>
      <c r="I63" s="6"/>
      <c r="J63" s="6"/>
      <c r="K63" s="6"/>
      <c r="L63" s="6"/>
      <c r="M63" s="6"/>
      <c r="N63" s="6"/>
      <c r="O63" s="6"/>
      <c r="P63" s="6"/>
      <c r="Q63" s="6"/>
    </row>
    <row r="64" spans="1:17" s="115" customFormat="1" ht="15" x14ac:dyDescent="0.2">
      <c r="A64" s="125"/>
      <c r="B64" s="126"/>
      <c r="C64" s="126"/>
      <c r="D64" s="126"/>
      <c r="E64" s="126"/>
      <c r="F64" s="126"/>
      <c r="G64" s="126"/>
      <c r="I64" s="6"/>
      <c r="J64" s="6"/>
      <c r="K64" s="6"/>
      <c r="L64" s="6"/>
      <c r="M64" s="6"/>
      <c r="N64" s="6"/>
      <c r="O64" s="6"/>
      <c r="P64" s="6"/>
      <c r="Q64" s="6"/>
    </row>
    <row r="65" spans="1:17" s="115" customFormat="1" x14ac:dyDescent="0.2">
      <c r="I65" s="6"/>
      <c r="J65" s="6"/>
      <c r="K65" s="6"/>
      <c r="L65" s="6"/>
      <c r="M65" s="6"/>
      <c r="N65" s="6"/>
      <c r="O65" s="6"/>
      <c r="P65" s="6"/>
      <c r="Q65" s="6"/>
    </row>
    <row r="66" spans="1:17" s="115" customFormat="1" ht="14.25" x14ac:dyDescent="0.2">
      <c r="A66" s="127" t="s">
        <v>124</v>
      </c>
      <c r="B66" s="128"/>
      <c r="C66" s="128"/>
      <c r="D66" s="128">
        <f t="shared" ref="D66:G66" si="9">SUM(D58:D59)</f>
        <v>1158052330.4265707</v>
      </c>
      <c r="E66" s="128">
        <f t="shared" si="9"/>
        <v>1199019692.2935972</v>
      </c>
      <c r="F66" s="128">
        <f t="shared" si="9"/>
        <v>1241441478.138047</v>
      </c>
      <c r="G66" s="128">
        <f t="shared" si="9"/>
        <v>1285369667.1737494</v>
      </c>
      <c r="I66" s="6"/>
      <c r="J66" s="6"/>
      <c r="K66" s="6"/>
      <c r="L66" s="6"/>
      <c r="M66" s="6"/>
      <c r="N66" s="6"/>
      <c r="O66" s="6"/>
      <c r="P66" s="6"/>
      <c r="Q66" s="6"/>
    </row>
    <row r="67" spans="1:17" s="115" customFormat="1" ht="14.25" x14ac:dyDescent="0.2">
      <c r="A67" s="127" t="s">
        <v>125</v>
      </c>
      <c r="B67" s="128"/>
      <c r="C67" s="128"/>
      <c r="D67" s="128">
        <f t="shared" ref="D67:G67" si="10">SUM(D60:D62)</f>
        <v>87057220.906515837</v>
      </c>
      <c r="E67" s="128">
        <f t="shared" si="10"/>
        <v>90083446.241243899</v>
      </c>
      <c r="F67" s="128">
        <f t="shared" si="10"/>
        <v>93215392.320897847</v>
      </c>
      <c r="G67" s="128">
        <f t="shared" si="10"/>
        <v>96456772.259532034</v>
      </c>
      <c r="I67" s="6"/>
      <c r="J67" s="6"/>
      <c r="K67" s="6"/>
      <c r="L67" s="6"/>
      <c r="M67" s="6"/>
      <c r="N67" s="6"/>
      <c r="O67" s="6"/>
      <c r="P67" s="6"/>
      <c r="Q67" s="6"/>
    </row>
    <row r="68" spans="1:17" s="115" customFormat="1" ht="14.25" x14ac:dyDescent="0.2">
      <c r="A68" s="129" t="s">
        <v>126</v>
      </c>
      <c r="B68" s="128"/>
      <c r="C68" s="128"/>
      <c r="D68" s="128">
        <f t="shared" ref="D68:G68" si="11">D66+D67</f>
        <v>1245109551.3330865</v>
      </c>
      <c r="E68" s="128">
        <f t="shared" si="11"/>
        <v>1289103138.5348411</v>
      </c>
      <c r="F68" s="128">
        <f t="shared" si="11"/>
        <v>1334656870.4589448</v>
      </c>
      <c r="G68" s="128">
        <f t="shared" si="11"/>
        <v>1381826439.4332814</v>
      </c>
      <c r="I68" s="6"/>
      <c r="J68" s="6"/>
      <c r="K68" s="6"/>
      <c r="L68" s="6"/>
      <c r="M68" s="6"/>
      <c r="N68" s="6"/>
      <c r="O68" s="6"/>
      <c r="P68" s="6"/>
      <c r="Q68" s="6"/>
    </row>
    <row r="69" spans="1:17" s="115" customFormat="1" x14ac:dyDescent="0.2">
      <c r="I69" s="6"/>
      <c r="J69" s="6"/>
      <c r="K69" s="6"/>
      <c r="L69" s="6"/>
      <c r="M69" s="6"/>
      <c r="N69" s="6"/>
      <c r="O69" s="6"/>
      <c r="P69" s="6"/>
      <c r="Q69" s="6"/>
    </row>
    <row r="70" spans="1:17" s="115" customFormat="1" ht="14.25" x14ac:dyDescent="0.2">
      <c r="A70" s="130" t="s">
        <v>17</v>
      </c>
      <c r="B70" s="97"/>
      <c r="C70" s="97"/>
      <c r="D70" s="97" t="s">
        <v>147</v>
      </c>
      <c r="E70" s="97" t="s">
        <v>148</v>
      </c>
      <c r="F70" s="97" t="s">
        <v>149</v>
      </c>
      <c r="G70" s="97" t="s">
        <v>150</v>
      </c>
      <c r="I70" s="6"/>
      <c r="J70" s="6"/>
      <c r="K70" s="6"/>
      <c r="L70" s="6"/>
      <c r="M70" s="6"/>
      <c r="N70" s="6"/>
      <c r="O70" s="6"/>
      <c r="P70" s="6"/>
      <c r="Q70" s="6"/>
    </row>
    <row r="71" spans="1:17" s="115" customFormat="1" x14ac:dyDescent="0.2">
      <c r="A71" s="108" t="s">
        <v>38</v>
      </c>
      <c r="C71" s="131"/>
      <c r="D71" s="131">
        <f>D58-C58</f>
        <v>37265017.314912677</v>
      </c>
      <c r="E71" s="131">
        <f t="shared" ref="D71:G72" si="12">E58-D58</f>
        <v>38369073.170649529</v>
      </c>
      <c r="F71" s="131">
        <f t="shared" si="12"/>
        <v>39728480.710313559</v>
      </c>
      <c r="G71" s="131">
        <f t="shared" si="12"/>
        <v>41136392.821648598</v>
      </c>
      <c r="H71" s="131"/>
      <c r="I71" s="6"/>
      <c r="J71" s="6"/>
      <c r="K71" s="6"/>
      <c r="L71" s="6"/>
      <c r="M71" s="6"/>
      <c r="N71" s="6"/>
      <c r="O71" s="6"/>
      <c r="P71" s="6"/>
      <c r="Q71" s="6"/>
    </row>
    <row r="72" spans="1:17" s="115" customFormat="1" x14ac:dyDescent="0.2">
      <c r="A72" s="108" t="s">
        <v>39</v>
      </c>
      <c r="C72" s="131"/>
      <c r="D72" s="131">
        <f t="shared" si="12"/>
        <v>2506624.3197455406</v>
      </c>
      <c r="E72" s="131">
        <f t="shared" si="12"/>
        <v>2598288.6963769644</v>
      </c>
      <c r="F72" s="131">
        <f t="shared" si="12"/>
        <v>2693305.1341363043</v>
      </c>
      <c r="G72" s="131">
        <f t="shared" si="12"/>
        <v>2791796.214053914</v>
      </c>
      <c r="H72" s="131"/>
      <c r="I72" s="6"/>
      <c r="J72" s="6"/>
      <c r="K72" s="6"/>
      <c r="L72" s="6"/>
      <c r="M72" s="6"/>
      <c r="N72" s="6"/>
      <c r="O72" s="6"/>
      <c r="P72" s="6"/>
      <c r="Q72" s="6"/>
    </row>
    <row r="73" spans="1:17" s="115" customFormat="1" x14ac:dyDescent="0.2">
      <c r="I73" s="6"/>
      <c r="J73" s="6"/>
      <c r="K73" s="6"/>
      <c r="L73" s="6"/>
      <c r="M73" s="6"/>
      <c r="N73" s="6"/>
      <c r="O73" s="6"/>
      <c r="P73" s="6"/>
      <c r="Q73" s="6"/>
    </row>
    <row r="74" spans="1:17" s="115" customFormat="1" ht="14.25" x14ac:dyDescent="0.2">
      <c r="A74" s="127" t="s">
        <v>127</v>
      </c>
      <c r="C74" s="128"/>
      <c r="D74" s="128">
        <f>SUM(D71:D72)</f>
        <v>39771641.634658217</v>
      </c>
      <c r="E74" s="128">
        <f>SUM(E71:E72)</f>
        <v>40967361.867026493</v>
      </c>
      <c r="F74" s="128">
        <f>SUM(F71:F72)</f>
        <v>42421785.844449863</v>
      </c>
      <c r="G74" s="128">
        <f>SUM(G71:G72)</f>
        <v>43928189.035702512</v>
      </c>
      <c r="I74" s="6"/>
      <c r="J74" s="6"/>
      <c r="K74" s="6"/>
      <c r="L74" s="6"/>
      <c r="M74" s="6"/>
      <c r="N74" s="6"/>
      <c r="O74" s="6"/>
      <c r="P74" s="6"/>
      <c r="Q74" s="6"/>
    </row>
    <row r="75" spans="1:17" s="115" customFormat="1" x14ac:dyDescent="0.2">
      <c r="I75" s="6"/>
      <c r="J75" s="6"/>
      <c r="K75" s="6"/>
      <c r="L75" s="6"/>
      <c r="M75" s="6"/>
      <c r="N75" s="6"/>
      <c r="O75" s="6"/>
      <c r="P75" s="6"/>
      <c r="Q75" s="6"/>
    </row>
    <row r="76" spans="1:17" s="115" customFormat="1" x14ac:dyDescent="0.2"/>
    <row r="77" spans="1:17" s="115" customFormat="1" ht="14.25" x14ac:dyDescent="0.2">
      <c r="A77" s="86" t="s">
        <v>128</v>
      </c>
    </row>
    <row r="78" spans="1:17" s="115" customFormat="1" ht="14.25" x14ac:dyDescent="0.2">
      <c r="A78" s="88" t="s">
        <v>107</v>
      </c>
      <c r="B78" s="89" t="s">
        <v>259</v>
      </c>
    </row>
    <row r="79" spans="1:17" s="115" customFormat="1" x14ac:dyDescent="0.2">
      <c r="A79" s="92" t="s">
        <v>228</v>
      </c>
      <c r="B79" s="132">
        <v>0.99582199999999998</v>
      </c>
    </row>
    <row r="80" spans="1:17" s="115" customFormat="1" x14ac:dyDescent="0.2">
      <c r="A80" s="92" t="s">
        <v>229</v>
      </c>
      <c r="B80" s="132">
        <v>-2.5047769999999998</v>
      </c>
    </row>
    <row r="81" spans="1:7" s="115" customFormat="1" x14ac:dyDescent="0.2"/>
    <row r="82" spans="1:7" s="115" customFormat="1" x14ac:dyDescent="0.2"/>
    <row r="83" spans="1:7" s="115" customFormat="1" ht="14.25" x14ac:dyDescent="0.2">
      <c r="A83" s="86" t="s">
        <v>129</v>
      </c>
    </row>
    <row r="84" spans="1:7" s="115" customFormat="1" ht="14.25" x14ac:dyDescent="0.2">
      <c r="A84" s="86"/>
      <c r="B84" s="87"/>
      <c r="C84" s="87"/>
      <c r="D84" s="87"/>
      <c r="E84" s="87"/>
      <c r="F84" s="87"/>
      <c r="G84" s="87"/>
    </row>
    <row r="85" spans="1:7" s="115" customFormat="1" ht="14.25" x14ac:dyDescent="0.2">
      <c r="A85" s="95"/>
      <c r="B85" s="87"/>
      <c r="C85" s="96"/>
      <c r="D85" s="96"/>
      <c r="E85" s="96"/>
      <c r="F85" s="96"/>
      <c r="G85" s="96"/>
    </row>
    <row r="86" spans="1:7" s="115" customFormat="1" ht="15" x14ac:dyDescent="0.2">
      <c r="A86" s="104" t="s">
        <v>130</v>
      </c>
      <c r="B86" s="87"/>
      <c r="C86" s="96"/>
      <c r="D86" s="96"/>
      <c r="E86" s="96"/>
      <c r="F86" s="96"/>
      <c r="G86" s="96"/>
    </row>
    <row r="87" spans="1:7" s="115" customFormat="1" ht="14.25" x14ac:dyDescent="0.2">
      <c r="A87" s="96" t="s">
        <v>116</v>
      </c>
      <c r="B87" s="97"/>
      <c r="C87" s="97" t="s">
        <v>112</v>
      </c>
      <c r="D87" s="97" t="s">
        <v>147</v>
      </c>
      <c r="E87" s="97" t="s">
        <v>148</v>
      </c>
      <c r="F87" s="97" t="s">
        <v>149</v>
      </c>
      <c r="G87" s="97" t="s">
        <v>150</v>
      </c>
    </row>
    <row r="88" spans="1:7" s="115" customFormat="1" x14ac:dyDescent="0.2">
      <c r="A88" s="106" t="s">
        <v>131</v>
      </c>
      <c r="B88" s="107"/>
      <c r="C88" s="107">
        <f t="shared" ref="C88:G88" si="13">EXP($B$80+$B$79*LN(D19))</f>
        <v>354178.10774555255</v>
      </c>
      <c r="D88" s="107">
        <f t="shared" si="13"/>
        <v>363785.95817897271</v>
      </c>
      <c r="E88" s="107">
        <f t="shared" si="13"/>
        <v>373193.97260165151</v>
      </c>
      <c r="F88" s="107">
        <f t="shared" si="13"/>
        <v>382855.81800539268</v>
      </c>
      <c r="G88" s="107">
        <f t="shared" si="13"/>
        <v>392778.94153581175</v>
      </c>
    </row>
    <row r="89" spans="1:7" s="115" customFormat="1" x14ac:dyDescent="0.2">
      <c r="A89" s="106" t="s">
        <v>132</v>
      </c>
      <c r="B89" s="133"/>
      <c r="C89" s="133">
        <f>C88/D19</f>
        <v>7.6620204807364145E-2</v>
      </c>
      <c r="D89" s="133">
        <f t="shared" ref="D89:G89" si="14">D88/E19</f>
        <v>7.6611601110697106E-2</v>
      </c>
      <c r="E89" s="133">
        <f t="shared" si="14"/>
        <v>7.6603394687713738E-2</v>
      </c>
      <c r="F89" s="133">
        <f t="shared" si="14"/>
        <v>7.6595180307997598E-2</v>
      </c>
      <c r="G89" s="133">
        <f t="shared" si="14"/>
        <v>7.6586957698304911E-2</v>
      </c>
    </row>
    <row r="90" spans="1:7" s="115" customFormat="1" x14ac:dyDescent="0.2"/>
    <row r="91" spans="1:7" s="115" customFormat="1" x14ac:dyDescent="0.2"/>
    <row r="92" spans="1:7" s="115" customFormat="1" x14ac:dyDescent="0.2"/>
    <row r="93" spans="1:7" s="115" customFormat="1" x14ac:dyDescent="0.2"/>
    <row r="94" spans="1:7" s="115" customFormat="1" x14ac:dyDescent="0.2"/>
    <row r="95" spans="1:7" s="115" customFormat="1" x14ac:dyDescent="0.2"/>
    <row r="96" spans="1:7" s="115" customFormat="1" x14ac:dyDescent="0.2"/>
    <row r="97" s="115" customFormat="1" x14ac:dyDescent="0.2"/>
    <row r="98" s="115" customFormat="1" x14ac:dyDescent="0.2"/>
    <row r="99" s="115" customFormat="1" x14ac:dyDescent="0.2"/>
    <row r="100" s="115" customFormat="1" x14ac:dyDescent="0.2"/>
  </sheetData>
  <sheetProtection algorithmName="SHA-512" hashValue="X4Q7VOHXuo8nPe2UWsoQOmqEqcCvvsUsozjScocF9c4G7ALzw1oCbiwcWSjkrvt5rRv/Avs/5wHBuHtQYS3cxg==" saltValue="TcReHF2joWeUfHYwisSvzA==" spinCount="100000" sheet="1" objects="1" scenarios="1"/>
  <mergeCells count="3">
    <mergeCell ref="A16:A17"/>
    <mergeCell ref="B16:B17"/>
    <mergeCell ref="D16:H16"/>
  </mergeCells>
  <pageMargins left="0.74803149606299213" right="0.74803149606299213" top="0.62992125984251968" bottom="0.55118110236220474" header="0.39370078740157483" footer="0"/>
  <pageSetup scale="43" orientation="landscape" r:id="rId1"/>
  <headerFooter alignWithMargins="0">
    <oddFooter xml:space="preserve">&amp;C&amp;A&amp;R.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S395"/>
  <sheetViews>
    <sheetView zoomScaleNormal="100" workbookViewId="0"/>
  </sheetViews>
  <sheetFormatPr baseColWidth="10" defaultColWidth="11.42578125" defaultRowHeight="12.75" x14ac:dyDescent="0.2"/>
  <cols>
    <col min="1" max="1" width="3.7109375" style="6" customWidth="1"/>
    <col min="2" max="2" width="30.7109375" style="6" customWidth="1"/>
    <col min="3" max="3" width="6" style="6" customWidth="1"/>
    <col min="4" max="8" width="18.5703125" style="6" bestFit="1" customWidth="1"/>
    <col min="9" max="9" width="10.85546875" style="6" customWidth="1"/>
    <col min="10" max="10" width="74.5703125" style="6" customWidth="1"/>
    <col min="11" max="12" width="9.140625" style="6" customWidth="1"/>
    <col min="13" max="13" width="8.28515625" style="6" customWidth="1"/>
    <col min="14" max="14" width="9.28515625" style="6" customWidth="1"/>
    <col min="15" max="15" width="8.5703125" style="6" customWidth="1"/>
    <col min="16" max="16" width="9.140625" style="6" customWidth="1"/>
    <col min="17" max="16384" width="11.42578125" style="6"/>
  </cols>
  <sheetData>
    <row r="1" spans="2:19" x14ac:dyDescent="0.2">
      <c r="B1" s="153" t="s">
        <v>89</v>
      </c>
      <c r="D1" s="154"/>
      <c r="K1" s="155"/>
      <c r="L1" s="155"/>
      <c r="M1" s="156"/>
      <c r="N1" s="157"/>
      <c r="O1" s="157"/>
    </row>
    <row r="2" spans="2:19" ht="15.6" customHeight="1" thickBot="1" x14ac:dyDescent="0.25"/>
    <row r="3" spans="2:19" ht="20.25" customHeight="1" thickBot="1" x14ac:dyDescent="0.25">
      <c r="B3" s="66" t="s">
        <v>17</v>
      </c>
      <c r="J3" s="305" t="s">
        <v>255</v>
      </c>
      <c r="K3" s="306"/>
      <c r="L3" s="306"/>
      <c r="M3" s="306"/>
      <c r="N3" s="306"/>
      <c r="O3" s="306"/>
      <c r="P3" s="306"/>
      <c r="Q3" s="306"/>
      <c r="R3" s="306"/>
      <c r="S3" s="307"/>
    </row>
    <row r="4" spans="2:19" ht="15.6" customHeight="1" x14ac:dyDescent="0.2">
      <c r="B4" s="6" t="s">
        <v>68</v>
      </c>
      <c r="J4" s="344" t="s">
        <v>70</v>
      </c>
      <c r="K4" s="242">
        <v>2018</v>
      </c>
      <c r="L4" s="331">
        <v>2019</v>
      </c>
      <c r="M4" s="332"/>
      <c r="N4" s="331">
        <v>2020</v>
      </c>
      <c r="O4" s="332"/>
      <c r="P4" s="331">
        <v>2021</v>
      </c>
      <c r="Q4" s="332"/>
      <c r="R4" s="243">
        <v>2022</v>
      </c>
      <c r="S4" s="322" t="s">
        <v>219</v>
      </c>
    </row>
    <row r="5" spans="2:19" ht="15.6" customHeight="1" thickBot="1" x14ac:dyDescent="0.25">
      <c r="C5" s="66"/>
      <c r="J5" s="345"/>
      <c r="K5" s="244" t="s">
        <v>240</v>
      </c>
      <c r="L5" s="245" t="s">
        <v>241</v>
      </c>
      <c r="M5" s="244" t="s">
        <v>240</v>
      </c>
      <c r="N5" s="245" t="s">
        <v>241</v>
      </c>
      <c r="O5" s="244" t="s">
        <v>240</v>
      </c>
      <c r="P5" s="245" t="s">
        <v>241</v>
      </c>
      <c r="Q5" s="244" t="s">
        <v>240</v>
      </c>
      <c r="R5" s="244" t="s">
        <v>241</v>
      </c>
      <c r="S5" s="323"/>
    </row>
    <row r="6" spans="2:19" ht="15.6" customHeight="1" x14ac:dyDescent="0.2">
      <c r="B6" s="338" t="s">
        <v>145</v>
      </c>
      <c r="C6" s="339"/>
      <c r="D6" s="310" t="s">
        <v>155</v>
      </c>
      <c r="E6" s="310" t="s">
        <v>156</v>
      </c>
      <c r="F6" s="310" t="s">
        <v>157</v>
      </c>
      <c r="G6" s="310" t="s">
        <v>158</v>
      </c>
      <c r="H6" s="310" t="s">
        <v>60</v>
      </c>
      <c r="J6" s="134" t="s">
        <v>174</v>
      </c>
      <c r="K6" s="135">
        <v>0</v>
      </c>
      <c r="L6" s="135">
        <v>9577.5</v>
      </c>
      <c r="M6" s="135">
        <v>4577.5</v>
      </c>
      <c r="N6" s="135">
        <v>0</v>
      </c>
      <c r="O6" s="135">
        <v>0</v>
      </c>
      <c r="P6" s="135">
        <v>0</v>
      </c>
      <c r="Q6" s="135">
        <v>0</v>
      </c>
      <c r="R6" s="135">
        <v>0</v>
      </c>
      <c r="S6" s="136">
        <f t="shared" ref="S6:S31" si="0">+SUM(K6:R6)</f>
        <v>14155</v>
      </c>
    </row>
    <row r="7" spans="2:19" ht="15.6" customHeight="1" thickBot="1" x14ac:dyDescent="0.25">
      <c r="B7" s="340"/>
      <c r="C7" s="341"/>
      <c r="D7" s="313" t="s">
        <v>103</v>
      </c>
      <c r="E7" s="313" t="s">
        <v>103</v>
      </c>
      <c r="F7" s="313" t="s">
        <v>103</v>
      </c>
      <c r="G7" s="313" t="s">
        <v>103</v>
      </c>
      <c r="H7" s="313" t="s">
        <v>103</v>
      </c>
      <c r="J7" s="134" t="s">
        <v>175</v>
      </c>
      <c r="K7" s="135">
        <v>0</v>
      </c>
      <c r="L7" s="135"/>
      <c r="M7" s="135"/>
      <c r="N7" s="135">
        <v>0</v>
      </c>
      <c r="O7" s="135">
        <v>0</v>
      </c>
      <c r="P7" s="135">
        <v>2135.1861536505571</v>
      </c>
      <c r="Q7" s="135">
        <v>1814.8138463494465</v>
      </c>
      <c r="R7" s="135">
        <v>0</v>
      </c>
      <c r="S7" s="136">
        <f t="shared" si="0"/>
        <v>3950.0000000000036</v>
      </c>
    </row>
    <row r="8" spans="2:19" ht="15.6" customHeight="1" x14ac:dyDescent="0.2">
      <c r="B8" s="232" t="s">
        <v>40</v>
      </c>
      <c r="C8" s="64" t="s">
        <v>38</v>
      </c>
      <c r="D8" s="159">
        <f>(REGRESIONES!D71)/1000+D35</f>
        <v>69172.517314912679</v>
      </c>
      <c r="E8" s="159">
        <f>(REGRESIONES!E71)/1000+E35</f>
        <v>100568.58717064952</v>
      </c>
      <c r="F8" s="159">
        <f>(REGRESIONES!F71)/1000+F35</f>
        <v>89288.843435351708</v>
      </c>
      <c r="G8" s="159">
        <f>(REGRESIONES!G71)/1000+G35</f>
        <v>75010.411876899307</v>
      </c>
      <c r="H8" s="233">
        <f>SUM(D8:G8)</f>
        <v>334040.35979781323</v>
      </c>
      <c r="J8" s="134" t="s">
        <v>220</v>
      </c>
      <c r="K8" s="135">
        <v>0</v>
      </c>
      <c r="L8" s="135"/>
      <c r="M8" s="135"/>
      <c r="N8" s="135"/>
      <c r="O8" s="135">
        <v>500</v>
      </c>
      <c r="P8" s="135">
        <v>500</v>
      </c>
      <c r="Q8" s="135">
        <v>500</v>
      </c>
      <c r="R8" s="135">
        <v>500</v>
      </c>
      <c r="S8" s="136">
        <f t="shared" si="0"/>
        <v>2000</v>
      </c>
    </row>
    <row r="9" spans="2:19" ht="15.6" customHeight="1" x14ac:dyDescent="0.2">
      <c r="B9" s="232" t="s">
        <v>34</v>
      </c>
      <c r="C9" s="64" t="s">
        <v>39</v>
      </c>
      <c r="D9" s="159">
        <f>(REGRESIONES!D72)/1000+D36</f>
        <v>2700.6243197455406</v>
      </c>
      <c r="E9" s="159">
        <f>(REGRESIONES!E72)/1000+E36</f>
        <v>2986.2886963769643</v>
      </c>
      <c r="F9" s="159">
        <f>(REGRESIONES!F72)/1000+F36</f>
        <v>3081.3051341363043</v>
      </c>
      <c r="G9" s="159">
        <f>(REGRESIONES!G72)/1000+G36</f>
        <v>3174.7962140539139</v>
      </c>
      <c r="H9" s="233">
        <f t="shared" ref="H9:H10" si="1">SUM(D9:G9)</f>
        <v>11943.014364312723</v>
      </c>
      <c r="J9" s="134" t="s">
        <v>176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500</v>
      </c>
      <c r="Q9" s="135">
        <v>500</v>
      </c>
      <c r="R9" s="135">
        <v>4500</v>
      </c>
      <c r="S9" s="136">
        <f t="shared" si="0"/>
        <v>5500</v>
      </c>
    </row>
    <row r="10" spans="2:19" ht="15.6" customHeight="1" x14ac:dyDescent="0.2">
      <c r="B10" s="232" t="s">
        <v>69</v>
      </c>
      <c r="C10" s="158" t="s">
        <v>52</v>
      </c>
      <c r="D10" s="159">
        <f>+D25</f>
        <v>3095.2240000000002</v>
      </c>
      <c r="E10" s="159">
        <f>+E25</f>
        <v>6730.5588799999996</v>
      </c>
      <c r="F10" s="159">
        <f>+F25</f>
        <v>6602.3054400000001</v>
      </c>
      <c r="G10" s="159">
        <f>+G25</f>
        <v>5870.24136</v>
      </c>
      <c r="H10" s="233">
        <f t="shared" si="1"/>
        <v>22298.329679999999</v>
      </c>
      <c r="J10" s="134" t="s">
        <v>177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1860</v>
      </c>
      <c r="Q10" s="135">
        <v>0</v>
      </c>
      <c r="R10" s="135"/>
      <c r="S10" s="136">
        <f t="shared" si="0"/>
        <v>1860</v>
      </c>
    </row>
    <row r="11" spans="2:19" ht="15.6" customHeight="1" thickBot="1" x14ac:dyDescent="0.25">
      <c r="B11" s="234" t="s">
        <v>18</v>
      </c>
      <c r="C11" s="235"/>
      <c r="D11" s="236">
        <f>+D8+D9+D10</f>
        <v>74968.365634658214</v>
      </c>
      <c r="E11" s="237">
        <f>+E8+E9+E10</f>
        <v>110285.43474702649</v>
      </c>
      <c r="F11" s="237">
        <f>+F8+F9+F10</f>
        <v>98972.454009488007</v>
      </c>
      <c r="G11" s="236">
        <f>+G8+G9+G10</f>
        <v>84055.449450953223</v>
      </c>
      <c r="H11" s="238">
        <f>SUM(D11:G11)</f>
        <v>368281.70384212595</v>
      </c>
      <c r="J11" s="134" t="s">
        <v>178</v>
      </c>
      <c r="K11" s="135">
        <v>0</v>
      </c>
      <c r="L11" s="135">
        <v>250</v>
      </c>
      <c r="M11" s="135">
        <v>250</v>
      </c>
      <c r="N11" s="135">
        <v>2000</v>
      </c>
      <c r="O11" s="135">
        <v>2000</v>
      </c>
      <c r="P11" s="135">
        <v>1000</v>
      </c>
      <c r="Q11" s="135">
        <v>1000</v>
      </c>
      <c r="R11" s="135">
        <v>0</v>
      </c>
      <c r="S11" s="136">
        <f t="shared" si="0"/>
        <v>6500</v>
      </c>
    </row>
    <row r="12" spans="2:19" ht="15.6" customHeight="1" thickBot="1" x14ac:dyDescent="0.25">
      <c r="B12" s="65"/>
      <c r="C12" s="65"/>
      <c r="E12" s="7"/>
      <c r="F12" s="7"/>
      <c r="G12" s="7"/>
      <c r="H12" s="7"/>
      <c r="J12" s="134" t="s">
        <v>221</v>
      </c>
      <c r="K12" s="135">
        <v>0</v>
      </c>
      <c r="L12" s="135"/>
      <c r="M12" s="135">
        <v>420.00000000000006</v>
      </c>
      <c r="N12" s="135">
        <v>420.00000000000006</v>
      </c>
      <c r="O12" s="135">
        <v>840.00000000000011</v>
      </c>
      <c r="P12" s="135">
        <v>840.00000000000011</v>
      </c>
      <c r="Q12" s="135">
        <v>840</v>
      </c>
      <c r="R12" s="135">
        <v>840</v>
      </c>
      <c r="S12" s="136">
        <f t="shared" si="0"/>
        <v>4200</v>
      </c>
    </row>
    <row r="13" spans="2:19" ht="15.6" customHeight="1" x14ac:dyDescent="0.2">
      <c r="B13" s="338" t="s">
        <v>135</v>
      </c>
      <c r="C13" s="339"/>
      <c r="D13" s="310" t="s">
        <v>155</v>
      </c>
      <c r="E13" s="310" t="s">
        <v>156</v>
      </c>
      <c r="F13" s="310" t="s">
        <v>157</v>
      </c>
      <c r="G13" s="310" t="s">
        <v>158</v>
      </c>
      <c r="H13" s="310" t="s">
        <v>60</v>
      </c>
      <c r="J13" s="134" t="s">
        <v>179</v>
      </c>
      <c r="K13" s="135">
        <v>0</v>
      </c>
      <c r="L13" s="135">
        <v>250</v>
      </c>
      <c r="M13" s="135">
        <v>250</v>
      </c>
      <c r="N13" s="135">
        <v>750</v>
      </c>
      <c r="O13" s="135">
        <v>750</v>
      </c>
      <c r="P13" s="135"/>
      <c r="Q13" s="135"/>
      <c r="R13" s="135">
        <v>0</v>
      </c>
      <c r="S13" s="136">
        <f t="shared" si="0"/>
        <v>2000</v>
      </c>
    </row>
    <row r="14" spans="2:19" ht="14.25" customHeight="1" thickBot="1" x14ac:dyDescent="0.25">
      <c r="B14" s="340"/>
      <c r="C14" s="341"/>
      <c r="D14" s="313"/>
      <c r="E14" s="313"/>
      <c r="F14" s="313"/>
      <c r="G14" s="313"/>
      <c r="H14" s="313"/>
      <c r="J14" s="134" t="s">
        <v>180</v>
      </c>
      <c r="K14" s="135">
        <v>0</v>
      </c>
      <c r="L14" s="135">
        <v>500</v>
      </c>
      <c r="M14" s="135">
        <v>500</v>
      </c>
      <c r="N14" s="135">
        <v>7000</v>
      </c>
      <c r="O14" s="135"/>
      <c r="P14" s="135"/>
      <c r="Q14" s="135"/>
      <c r="R14" s="135"/>
      <c r="S14" s="136">
        <f t="shared" si="0"/>
        <v>8000</v>
      </c>
    </row>
    <row r="15" spans="2:19" ht="27" customHeight="1" x14ac:dyDescent="0.2">
      <c r="B15" s="255" t="s">
        <v>213</v>
      </c>
      <c r="C15" s="256" t="s">
        <v>38</v>
      </c>
      <c r="D15" s="257">
        <f>+K31+L31</f>
        <v>24302.5</v>
      </c>
      <c r="E15" s="257">
        <f>+M31+N31</f>
        <v>44917.5</v>
      </c>
      <c r="F15" s="257">
        <f>+O31+P31</f>
        <v>37700.41202044113</v>
      </c>
      <c r="G15" s="257">
        <f>+Q31+R31</f>
        <v>30829.813846349447</v>
      </c>
      <c r="H15" s="258">
        <f>SUM(D15:G15)</f>
        <v>137750.22586679057</v>
      </c>
      <c r="J15" s="134" t="s">
        <v>181</v>
      </c>
      <c r="K15" s="135">
        <v>0</v>
      </c>
      <c r="L15" s="135">
        <v>350</v>
      </c>
      <c r="M15" s="135">
        <v>350</v>
      </c>
      <c r="N15" s="135">
        <v>3000</v>
      </c>
      <c r="O15" s="135"/>
      <c r="P15" s="135"/>
      <c r="Q15" s="135"/>
      <c r="R15" s="135"/>
      <c r="S15" s="136">
        <f t="shared" si="0"/>
        <v>3700</v>
      </c>
    </row>
    <row r="16" spans="2:19" ht="27" customHeight="1" x14ac:dyDescent="0.2">
      <c r="B16" s="284" t="s">
        <v>265</v>
      </c>
      <c r="C16" s="247" t="s">
        <v>38</v>
      </c>
      <c r="D16" s="248">
        <f>+K40+L40</f>
        <v>7030</v>
      </c>
      <c r="E16" s="248">
        <f>+M40+N40</f>
        <v>16137.013999999999</v>
      </c>
      <c r="F16" s="248">
        <f>+O40+P40</f>
        <v>10719.950704597009</v>
      </c>
      <c r="G16" s="248">
        <f>+Q40+R40</f>
        <v>1904.2052089012689</v>
      </c>
      <c r="H16" s="249">
        <f>SUM(D16:G16)</f>
        <v>35791.169913498277</v>
      </c>
      <c r="J16" s="134" t="s">
        <v>182</v>
      </c>
      <c r="K16" s="135">
        <v>0</v>
      </c>
      <c r="L16" s="135"/>
      <c r="M16" s="135"/>
      <c r="N16" s="135"/>
      <c r="O16" s="135">
        <v>1500</v>
      </c>
      <c r="P16" s="135">
        <v>1500</v>
      </c>
      <c r="Q16" s="135">
        <v>1750</v>
      </c>
      <c r="R16" s="135">
        <v>1750</v>
      </c>
      <c r="S16" s="136">
        <f t="shared" si="0"/>
        <v>6500</v>
      </c>
    </row>
    <row r="17" spans="1:19" ht="15.6" customHeight="1" x14ac:dyDescent="0.2">
      <c r="B17" s="251" t="s">
        <v>214</v>
      </c>
      <c r="C17" s="252" t="s">
        <v>39</v>
      </c>
      <c r="D17" s="253">
        <f>+K45+L45</f>
        <v>194</v>
      </c>
      <c r="E17" s="253">
        <f>+M45+N45</f>
        <v>388</v>
      </c>
      <c r="F17" s="253">
        <f>+O45+P45</f>
        <v>388</v>
      </c>
      <c r="G17" s="253">
        <f>+Q45+R45</f>
        <v>383</v>
      </c>
      <c r="H17" s="254">
        <f t="shared" ref="H17:H18" si="2">SUM(D17:G17)</f>
        <v>1353</v>
      </c>
      <c r="J17" s="134" t="s">
        <v>183</v>
      </c>
      <c r="K17" s="135">
        <v>0</v>
      </c>
      <c r="L17" s="135"/>
      <c r="M17" s="135"/>
      <c r="N17" s="135">
        <v>0</v>
      </c>
      <c r="O17" s="135"/>
      <c r="P17" s="135"/>
      <c r="Q17" s="135">
        <v>1750</v>
      </c>
      <c r="R17" s="135">
        <v>1750</v>
      </c>
      <c r="S17" s="136">
        <f t="shared" si="0"/>
        <v>3500</v>
      </c>
    </row>
    <row r="18" spans="1:19" ht="15.6" customHeight="1" x14ac:dyDescent="0.2">
      <c r="B18" s="251" t="s">
        <v>134</v>
      </c>
      <c r="C18" s="252" t="s">
        <v>38</v>
      </c>
      <c r="D18" s="253">
        <f>+K46+L46</f>
        <v>575</v>
      </c>
      <c r="E18" s="253">
        <f>+M46+N46</f>
        <v>1145</v>
      </c>
      <c r="F18" s="253">
        <f>+O46+P46</f>
        <v>1140</v>
      </c>
      <c r="G18" s="253">
        <f>+Q46+R46</f>
        <v>1140</v>
      </c>
      <c r="H18" s="254">
        <f t="shared" si="2"/>
        <v>4000</v>
      </c>
      <c r="J18" s="138" t="s">
        <v>184</v>
      </c>
      <c r="K18" s="139">
        <v>0</v>
      </c>
      <c r="L18" s="139"/>
      <c r="M18" s="139"/>
      <c r="N18" s="139">
        <v>0</v>
      </c>
      <c r="O18" s="139">
        <v>0</v>
      </c>
      <c r="P18" s="139">
        <v>353.35164005575757</v>
      </c>
      <c r="Q18" s="139">
        <v>0</v>
      </c>
      <c r="R18" s="139">
        <v>0</v>
      </c>
      <c r="S18" s="140">
        <f t="shared" si="0"/>
        <v>353.35164005575757</v>
      </c>
    </row>
    <row r="19" spans="1:19" ht="15.6" customHeight="1" thickBot="1" x14ac:dyDescent="0.25">
      <c r="A19" s="141"/>
      <c r="B19" s="164" t="s">
        <v>88</v>
      </c>
      <c r="C19" s="165"/>
      <c r="D19" s="165"/>
      <c r="E19" s="165"/>
      <c r="F19" s="165"/>
      <c r="G19" s="165"/>
      <c r="H19" s="166"/>
      <c r="J19" s="138" t="s">
        <v>185</v>
      </c>
      <c r="K19" s="139">
        <v>0</v>
      </c>
      <c r="L19" s="139"/>
      <c r="M19" s="139"/>
      <c r="N19" s="139">
        <v>0</v>
      </c>
      <c r="O19" s="139">
        <v>0</v>
      </c>
      <c r="P19" s="139">
        <v>431.8742267348149</v>
      </c>
      <c r="Q19" s="139">
        <v>0</v>
      </c>
      <c r="R19" s="139">
        <v>0</v>
      </c>
      <c r="S19" s="140">
        <f t="shared" si="0"/>
        <v>431.8742267348149</v>
      </c>
    </row>
    <row r="20" spans="1:19" ht="15.6" customHeight="1" thickBot="1" x14ac:dyDescent="0.25">
      <c r="J20" s="138" t="s">
        <v>186</v>
      </c>
      <c r="K20" s="139">
        <v>0</v>
      </c>
      <c r="L20" s="139"/>
      <c r="M20" s="139"/>
      <c r="N20" s="139">
        <v>0</v>
      </c>
      <c r="O20" s="139">
        <v>0</v>
      </c>
      <c r="P20" s="139">
        <v>275</v>
      </c>
      <c r="Q20" s="139">
        <v>275</v>
      </c>
      <c r="R20" s="139">
        <v>0</v>
      </c>
      <c r="S20" s="140">
        <f t="shared" si="0"/>
        <v>550</v>
      </c>
    </row>
    <row r="21" spans="1:19" ht="18" customHeight="1" thickBot="1" x14ac:dyDescent="0.25">
      <c r="B21" s="308" t="s">
        <v>266</v>
      </c>
      <c r="C21" s="309"/>
      <c r="D21" s="263" t="s">
        <v>161</v>
      </c>
      <c r="E21" s="263" t="s">
        <v>156</v>
      </c>
      <c r="F21" s="263" t="s">
        <v>157</v>
      </c>
      <c r="G21" s="263" t="s">
        <v>162</v>
      </c>
      <c r="H21" s="263" t="s">
        <v>60</v>
      </c>
      <c r="J21" s="138" t="s">
        <v>187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/>
      <c r="Q21" s="139">
        <v>1925</v>
      </c>
      <c r="R21" s="139">
        <v>1925</v>
      </c>
      <c r="S21" s="140">
        <f t="shared" si="0"/>
        <v>3850</v>
      </c>
    </row>
    <row r="22" spans="1:19" ht="15.6" customHeight="1" x14ac:dyDescent="0.2">
      <c r="B22" s="259" t="s">
        <v>207</v>
      </c>
      <c r="C22" s="260" t="s">
        <v>52</v>
      </c>
      <c r="D22" s="261">
        <f>+K53+L53</f>
        <v>1484.8</v>
      </c>
      <c r="E22" s="261">
        <f>+M53+N53</f>
        <v>2977.2799999999997</v>
      </c>
      <c r="F22" s="261">
        <f>+O53+P53</f>
        <v>2987.52</v>
      </c>
      <c r="G22" s="261">
        <f>+Q53+R53</f>
        <v>2987.0079999999998</v>
      </c>
      <c r="H22" s="262">
        <f>SUM(D22:G22)</f>
        <v>10436.608</v>
      </c>
      <c r="I22" s="142"/>
      <c r="J22" s="138" t="s">
        <v>188</v>
      </c>
      <c r="K22" s="139">
        <v>0</v>
      </c>
      <c r="L22" s="139">
        <v>375</v>
      </c>
      <c r="M22" s="139">
        <v>375</v>
      </c>
      <c r="N22" s="139">
        <v>375</v>
      </c>
      <c r="O22" s="139">
        <v>375</v>
      </c>
      <c r="P22" s="139">
        <v>0</v>
      </c>
      <c r="Q22" s="139">
        <v>0</v>
      </c>
      <c r="R22" s="139">
        <v>0</v>
      </c>
      <c r="S22" s="140">
        <f t="shared" si="0"/>
        <v>1500</v>
      </c>
    </row>
    <row r="23" spans="1:19" ht="15.6" customHeight="1" x14ac:dyDescent="0.2">
      <c r="B23" s="160" t="s">
        <v>208</v>
      </c>
      <c r="C23" s="161" t="s">
        <v>52</v>
      </c>
      <c r="D23" s="168">
        <f>+K54+L54</f>
        <v>165.624</v>
      </c>
      <c r="E23" s="168">
        <f>+M54+N54</f>
        <v>337.32088000000005</v>
      </c>
      <c r="F23" s="168">
        <f>+O54+P54</f>
        <v>341.18544000000003</v>
      </c>
      <c r="G23" s="168">
        <f>+Q54+R54</f>
        <v>340.63336000000004</v>
      </c>
      <c r="H23" s="163">
        <f>SUM(D23:G23)</f>
        <v>1184.76368</v>
      </c>
      <c r="I23" s="142"/>
      <c r="J23" s="138" t="s">
        <v>189</v>
      </c>
      <c r="K23" s="139">
        <v>0</v>
      </c>
      <c r="L23" s="139">
        <v>4000</v>
      </c>
      <c r="M23" s="139">
        <v>3000</v>
      </c>
      <c r="N23" s="139">
        <v>3750</v>
      </c>
      <c r="O23" s="139">
        <v>3750</v>
      </c>
      <c r="P23" s="139">
        <v>0</v>
      </c>
      <c r="Q23" s="139">
        <v>0</v>
      </c>
      <c r="R23" s="139">
        <v>0</v>
      </c>
      <c r="S23" s="140">
        <f t="shared" si="0"/>
        <v>14500</v>
      </c>
    </row>
    <row r="24" spans="1:19" ht="15.6" customHeight="1" x14ac:dyDescent="0.2">
      <c r="B24" s="160" t="s">
        <v>215</v>
      </c>
      <c r="C24" s="161" t="s">
        <v>52</v>
      </c>
      <c r="D24" s="168">
        <f>+K63+L63</f>
        <v>1444.8</v>
      </c>
      <c r="E24" s="168">
        <f>+M63+N63</f>
        <v>3415.9579999999996</v>
      </c>
      <c r="F24" s="168">
        <f>+O63+P63</f>
        <v>3273.6000000000004</v>
      </c>
      <c r="G24" s="168">
        <f>+Q63+R63</f>
        <v>2542.6</v>
      </c>
      <c r="H24" s="163">
        <f>SUM(D24:G24)</f>
        <v>10676.958000000001</v>
      </c>
      <c r="J24" s="138" t="s">
        <v>190</v>
      </c>
      <c r="K24" s="139">
        <v>0</v>
      </c>
      <c r="L24" s="139">
        <v>0</v>
      </c>
      <c r="M24" s="139">
        <v>0</v>
      </c>
      <c r="N24" s="139"/>
      <c r="O24" s="139">
        <v>855</v>
      </c>
      <c r="P24" s="139">
        <v>855</v>
      </c>
      <c r="Q24" s="139">
        <v>1995</v>
      </c>
      <c r="R24" s="139">
        <v>1995</v>
      </c>
      <c r="S24" s="140">
        <f t="shared" si="0"/>
        <v>5700</v>
      </c>
    </row>
    <row r="25" spans="1:19" ht="15.6" customHeight="1" thickBot="1" x14ac:dyDescent="0.25">
      <c r="B25" s="234" t="s">
        <v>216</v>
      </c>
      <c r="C25" s="235"/>
      <c r="D25" s="239">
        <f>SUM(D22:D24)</f>
        <v>3095.2240000000002</v>
      </c>
      <c r="E25" s="239">
        <f>SUM(E22:E24)</f>
        <v>6730.5588799999996</v>
      </c>
      <c r="F25" s="239">
        <f>SUM(F22:F24)</f>
        <v>6602.3054400000001</v>
      </c>
      <c r="G25" s="239">
        <f>SUM(G22:G24)</f>
        <v>5870.24136</v>
      </c>
      <c r="H25" s="240">
        <f>SUM(D25:G25)</f>
        <v>22298.329679999999</v>
      </c>
      <c r="J25" s="138" t="s">
        <v>191</v>
      </c>
      <c r="K25" s="139">
        <v>0</v>
      </c>
      <c r="L25" s="139">
        <v>1000</v>
      </c>
      <c r="M25" s="139">
        <v>1000</v>
      </c>
      <c r="N25" s="139">
        <v>1700</v>
      </c>
      <c r="O25" s="139">
        <v>1700</v>
      </c>
      <c r="P25" s="139"/>
      <c r="Q25" s="139"/>
      <c r="R25" s="139">
        <v>0</v>
      </c>
      <c r="S25" s="140">
        <f t="shared" si="0"/>
        <v>5400</v>
      </c>
    </row>
    <row r="26" spans="1:19" ht="15.6" customHeight="1" thickBot="1" x14ac:dyDescent="0.25">
      <c r="D26" s="167"/>
      <c r="E26" s="167"/>
      <c r="J26" s="138" t="s">
        <v>192</v>
      </c>
      <c r="K26" s="139">
        <v>0</v>
      </c>
      <c r="L26" s="139">
        <v>0</v>
      </c>
      <c r="M26" s="139">
        <v>0</v>
      </c>
      <c r="N26" s="139"/>
      <c r="O26" s="139">
        <v>1240</v>
      </c>
      <c r="P26" s="139">
        <v>1240</v>
      </c>
      <c r="Q26" s="139">
        <v>1860</v>
      </c>
      <c r="R26" s="139">
        <v>1860</v>
      </c>
      <c r="S26" s="140">
        <f t="shared" si="0"/>
        <v>6200</v>
      </c>
    </row>
    <row r="27" spans="1:19" ht="15.6" customHeight="1" thickBot="1" x14ac:dyDescent="0.25">
      <c r="B27" s="265" t="s">
        <v>217</v>
      </c>
      <c r="C27" s="266"/>
      <c r="D27" s="263" t="s">
        <v>161</v>
      </c>
      <c r="E27" s="263" t="s">
        <v>156</v>
      </c>
      <c r="F27" s="263" t="s">
        <v>157</v>
      </c>
      <c r="G27" s="263" t="s">
        <v>162</v>
      </c>
      <c r="H27" s="263" t="s">
        <v>60</v>
      </c>
      <c r="J27" s="138" t="s">
        <v>193</v>
      </c>
      <c r="K27" s="139">
        <v>0</v>
      </c>
      <c r="L27" s="139"/>
      <c r="M27" s="139"/>
      <c r="N27" s="139"/>
      <c r="O27" s="139"/>
      <c r="P27" s="139">
        <v>3000</v>
      </c>
      <c r="Q27" s="139">
        <v>750</v>
      </c>
      <c r="R27" s="139">
        <v>750</v>
      </c>
      <c r="S27" s="140">
        <f t="shared" si="0"/>
        <v>4500</v>
      </c>
    </row>
    <row r="28" spans="1:19" ht="26.25" customHeight="1" x14ac:dyDescent="0.2">
      <c r="B28" s="259" t="s">
        <v>207</v>
      </c>
      <c r="C28" s="260"/>
      <c r="D28" s="261">
        <f>+K69+L69</f>
        <v>5800</v>
      </c>
      <c r="E28" s="261">
        <f>+M69+N69</f>
        <v>11630</v>
      </c>
      <c r="F28" s="261">
        <f>+O69+P69</f>
        <v>11670</v>
      </c>
      <c r="G28" s="261">
        <f>+Q69+R69</f>
        <v>11668</v>
      </c>
      <c r="H28" s="264">
        <f t="shared" ref="H28:H30" si="3">SUM(D28:G28)</f>
        <v>40768</v>
      </c>
      <c r="I28" s="143"/>
      <c r="J28" s="138" t="s">
        <v>194</v>
      </c>
      <c r="K28" s="139">
        <v>0</v>
      </c>
      <c r="L28" s="139">
        <v>2500</v>
      </c>
      <c r="M28" s="139">
        <v>2500</v>
      </c>
      <c r="N28" s="139">
        <v>4500</v>
      </c>
      <c r="O28" s="139">
        <v>4500</v>
      </c>
      <c r="P28" s="139">
        <v>0</v>
      </c>
      <c r="Q28" s="139">
        <v>0</v>
      </c>
      <c r="R28" s="139">
        <v>0</v>
      </c>
      <c r="S28" s="140">
        <f t="shared" si="0"/>
        <v>14000</v>
      </c>
    </row>
    <row r="29" spans="1:19" ht="15.6" customHeight="1" x14ac:dyDescent="0.2">
      <c r="B29" s="160" t="s">
        <v>208</v>
      </c>
      <c r="C29" s="161"/>
      <c r="D29" s="168">
        <f>+K70+L70</f>
        <v>300</v>
      </c>
      <c r="E29" s="168">
        <f>+M70+N70</f>
        <v>611</v>
      </c>
      <c r="F29" s="168">
        <f>+O70+P70</f>
        <v>618</v>
      </c>
      <c r="G29" s="168">
        <f>+Q70+R70</f>
        <v>617</v>
      </c>
      <c r="H29" s="241">
        <f t="shared" ref="H29" si="4">SUM(D29:G29)</f>
        <v>2146</v>
      </c>
      <c r="J29" s="138" t="s">
        <v>195</v>
      </c>
      <c r="K29" s="139">
        <v>0</v>
      </c>
      <c r="L29" s="139">
        <v>4000</v>
      </c>
      <c r="M29" s="139">
        <v>4000</v>
      </c>
      <c r="N29" s="139">
        <v>3700</v>
      </c>
      <c r="O29" s="139"/>
      <c r="P29" s="139"/>
      <c r="Q29" s="139"/>
      <c r="R29" s="139"/>
      <c r="S29" s="140">
        <f t="shared" si="0"/>
        <v>11700</v>
      </c>
    </row>
    <row r="30" spans="1:19" ht="15.6" customHeight="1" x14ac:dyDescent="0.2">
      <c r="B30" s="160" t="s">
        <v>215</v>
      </c>
      <c r="C30" s="161"/>
      <c r="D30" s="168">
        <f>+K79+L79</f>
        <v>250</v>
      </c>
      <c r="E30" s="168">
        <f>+M79+N79</f>
        <v>656</v>
      </c>
      <c r="F30" s="168">
        <f>+O79+P79</f>
        <v>880</v>
      </c>
      <c r="G30" s="168">
        <f>+Q79+R79</f>
        <v>580</v>
      </c>
      <c r="H30" s="241">
        <f t="shared" si="3"/>
        <v>2366</v>
      </c>
      <c r="I30" s="65"/>
      <c r="J30" s="138" t="s">
        <v>196</v>
      </c>
      <c r="K30" s="139">
        <v>0</v>
      </c>
      <c r="L30" s="139">
        <v>1500</v>
      </c>
      <c r="M30" s="139">
        <v>250</v>
      </c>
      <c r="N30" s="139">
        <v>250</v>
      </c>
      <c r="O30" s="139">
        <v>2600</v>
      </c>
      <c r="P30" s="139">
        <v>2600</v>
      </c>
      <c r="Q30" s="139"/>
      <c r="R30" s="139">
        <v>0</v>
      </c>
      <c r="S30" s="140">
        <f t="shared" si="0"/>
        <v>7200</v>
      </c>
    </row>
    <row r="31" spans="1:19" ht="15.6" customHeight="1" thickBot="1" x14ac:dyDescent="0.25">
      <c r="B31" s="234" t="s">
        <v>218</v>
      </c>
      <c r="C31" s="235"/>
      <c r="D31" s="236">
        <f>SUM(D28:D30)</f>
        <v>6350</v>
      </c>
      <c r="E31" s="236">
        <f>SUM(E28:E30)</f>
        <v>12897</v>
      </c>
      <c r="F31" s="236">
        <f>SUM(F28:F30)</f>
        <v>13168</v>
      </c>
      <c r="G31" s="236">
        <f>SUM(G28:G30)</f>
        <v>12865</v>
      </c>
      <c r="H31" s="238">
        <f>SUM(D31:G31)</f>
        <v>45280</v>
      </c>
      <c r="I31" s="65"/>
      <c r="J31" s="144" t="s">
        <v>173</v>
      </c>
      <c r="K31" s="145">
        <f t="shared" ref="K31:L31" si="5">SUM(K6:K30)</f>
        <v>0</v>
      </c>
      <c r="L31" s="145">
        <f t="shared" si="5"/>
        <v>24302.5</v>
      </c>
      <c r="M31" s="145">
        <f>SUM(M6:M30)</f>
        <v>17472.5</v>
      </c>
      <c r="N31" s="145">
        <f t="shared" ref="N31" si="6">SUM(N6:N30)</f>
        <v>27445</v>
      </c>
      <c r="O31" s="145">
        <f t="shared" ref="O31:P31" si="7">SUM(O6:O30)</f>
        <v>20610</v>
      </c>
      <c r="P31" s="145">
        <f t="shared" si="7"/>
        <v>17090.41202044113</v>
      </c>
      <c r="Q31" s="145">
        <f t="shared" ref="Q31" si="8">SUM(Q6:Q30)</f>
        <v>14959.813846349447</v>
      </c>
      <c r="R31" s="145">
        <f t="shared" ref="R31" si="9">SUM(R6:R30)</f>
        <v>15870</v>
      </c>
      <c r="S31" s="146">
        <f t="shared" si="0"/>
        <v>137750.22586679057</v>
      </c>
    </row>
    <row r="32" spans="1:19" ht="15.6" customHeight="1" thickBot="1" x14ac:dyDescent="0.25">
      <c r="D32" s="169"/>
      <c r="E32" s="169"/>
      <c r="F32" s="169"/>
      <c r="G32" s="169"/>
      <c r="J32" s="147"/>
      <c r="K32" s="148"/>
      <c r="L32" s="148"/>
      <c r="M32" s="148"/>
      <c r="N32" s="148"/>
      <c r="O32" s="148"/>
    </row>
    <row r="33" spans="2:19" ht="15.6" customHeight="1" x14ac:dyDescent="0.2">
      <c r="B33" s="338" t="s">
        <v>135</v>
      </c>
      <c r="C33" s="339"/>
      <c r="D33" s="310" t="s">
        <v>155</v>
      </c>
      <c r="E33" s="310" t="s">
        <v>156</v>
      </c>
      <c r="F33" s="310" t="s">
        <v>157</v>
      </c>
      <c r="G33" s="310" t="s">
        <v>158</v>
      </c>
      <c r="H33" s="310" t="s">
        <v>60</v>
      </c>
      <c r="J33" s="325" t="s">
        <v>262</v>
      </c>
      <c r="K33" s="326"/>
      <c r="L33" s="326"/>
      <c r="M33" s="326"/>
      <c r="N33" s="326"/>
      <c r="O33" s="326"/>
      <c r="P33" s="326"/>
      <c r="Q33" s="326"/>
      <c r="R33" s="326"/>
      <c r="S33" s="327"/>
    </row>
    <row r="34" spans="2:19" ht="15.6" customHeight="1" x14ac:dyDescent="0.2">
      <c r="B34" s="342"/>
      <c r="C34" s="343"/>
      <c r="D34" s="311" t="s">
        <v>103</v>
      </c>
      <c r="E34" s="311" t="s">
        <v>103</v>
      </c>
      <c r="F34" s="311" t="s">
        <v>103</v>
      </c>
      <c r="G34" s="311" t="s">
        <v>103</v>
      </c>
      <c r="H34" s="311" t="s">
        <v>103</v>
      </c>
      <c r="J34" s="336" t="s">
        <v>70</v>
      </c>
      <c r="K34" s="281">
        <v>2018</v>
      </c>
      <c r="L34" s="333">
        <v>2019</v>
      </c>
      <c r="M34" s="334"/>
      <c r="N34" s="335">
        <v>2020</v>
      </c>
      <c r="O34" s="335"/>
      <c r="P34" s="335">
        <v>2021</v>
      </c>
      <c r="Q34" s="335"/>
      <c r="R34" s="246">
        <v>2022</v>
      </c>
      <c r="S34" s="312" t="s">
        <v>219</v>
      </c>
    </row>
    <row r="35" spans="2:19" ht="22.5" customHeight="1" x14ac:dyDescent="0.2">
      <c r="B35" s="160" t="s">
        <v>165</v>
      </c>
      <c r="C35" s="161" t="s">
        <v>38</v>
      </c>
      <c r="D35" s="162">
        <f>+D15+D16+D18</f>
        <v>31907.5</v>
      </c>
      <c r="E35" s="162">
        <f>+E15+E16+E18</f>
        <v>62199.513999999996</v>
      </c>
      <c r="F35" s="162">
        <f>+F15+F16+F18</f>
        <v>49560.36272503814</v>
      </c>
      <c r="G35" s="162">
        <f>+G15+G16+G18</f>
        <v>33874.019055250712</v>
      </c>
      <c r="H35" s="277">
        <f>+H15+H16+H18</f>
        <v>177541.39578028885</v>
      </c>
      <c r="J35" s="337"/>
      <c r="K35" s="281" t="s">
        <v>240</v>
      </c>
      <c r="L35" s="281" t="s">
        <v>241</v>
      </c>
      <c r="M35" s="281" t="s">
        <v>240</v>
      </c>
      <c r="N35" s="246" t="s">
        <v>241</v>
      </c>
      <c r="O35" s="246" t="s">
        <v>240</v>
      </c>
      <c r="P35" s="246" t="s">
        <v>241</v>
      </c>
      <c r="Q35" s="246" t="s">
        <v>240</v>
      </c>
      <c r="R35" s="246" t="s">
        <v>241</v>
      </c>
      <c r="S35" s="312"/>
    </row>
    <row r="36" spans="2:19" ht="15.6" customHeight="1" x14ac:dyDescent="0.2">
      <c r="B36" s="160" t="s">
        <v>166</v>
      </c>
      <c r="C36" s="161" t="s">
        <v>39</v>
      </c>
      <c r="D36" s="162">
        <f>+D17</f>
        <v>194</v>
      </c>
      <c r="E36" s="162">
        <f>+E17</f>
        <v>388</v>
      </c>
      <c r="F36" s="162">
        <f>+F17</f>
        <v>388</v>
      </c>
      <c r="G36" s="162">
        <f>+G17</f>
        <v>383</v>
      </c>
      <c r="H36" s="277">
        <f>+H17</f>
        <v>1353</v>
      </c>
      <c r="J36" s="134" t="s">
        <v>263</v>
      </c>
      <c r="K36" s="135"/>
      <c r="L36" s="135"/>
      <c r="M36" s="135">
        <v>710.12</v>
      </c>
      <c r="N36" s="135"/>
      <c r="O36" s="135"/>
      <c r="P36" s="135"/>
      <c r="Q36" s="135"/>
      <c r="R36" s="135"/>
      <c r="S36" s="140">
        <f t="shared" ref="S36:S37" si="10">+SUM(K36:R36)</f>
        <v>710.12</v>
      </c>
    </row>
    <row r="37" spans="2:19" ht="15.6" customHeight="1" thickBot="1" x14ac:dyDescent="0.25">
      <c r="B37" s="170" t="s">
        <v>172</v>
      </c>
      <c r="C37" s="171" t="s">
        <v>52</v>
      </c>
      <c r="D37" s="172">
        <f>+D25</f>
        <v>3095.2240000000002</v>
      </c>
      <c r="E37" s="172">
        <f t="shared" ref="E37:H37" si="11">+E25</f>
        <v>6730.5588799999996</v>
      </c>
      <c r="F37" s="172">
        <f t="shared" si="11"/>
        <v>6602.3054400000001</v>
      </c>
      <c r="G37" s="172">
        <f t="shared" si="11"/>
        <v>5870.24136</v>
      </c>
      <c r="H37" s="276">
        <f t="shared" si="11"/>
        <v>22298.329679999999</v>
      </c>
      <c r="J37" s="134" t="s">
        <v>264</v>
      </c>
      <c r="K37" s="135"/>
      <c r="L37" s="135"/>
      <c r="M37" s="135">
        <v>1661.894</v>
      </c>
      <c r="N37" s="135"/>
      <c r="O37" s="135"/>
      <c r="P37" s="135"/>
      <c r="Q37" s="135"/>
      <c r="R37" s="135"/>
      <c r="S37" s="140">
        <f t="shared" si="10"/>
        <v>1661.894</v>
      </c>
    </row>
    <row r="38" spans="2:19" ht="15.6" customHeight="1" x14ac:dyDescent="0.2">
      <c r="J38" s="134" t="s">
        <v>197</v>
      </c>
      <c r="K38" s="135">
        <v>0</v>
      </c>
      <c r="L38" s="135">
        <v>4360</v>
      </c>
      <c r="M38" s="135">
        <v>4360</v>
      </c>
      <c r="N38" s="135">
        <v>4360</v>
      </c>
      <c r="O38" s="135">
        <v>4360</v>
      </c>
      <c r="P38" s="135">
        <v>1904.2052089012689</v>
      </c>
      <c r="Q38" s="135">
        <v>1904.2052089012689</v>
      </c>
      <c r="R38" s="135">
        <v>0</v>
      </c>
      <c r="S38" s="140">
        <f>+SUM(K38:R38)</f>
        <v>21248.410417802537</v>
      </c>
    </row>
    <row r="39" spans="2:19" ht="15.6" customHeight="1" x14ac:dyDescent="0.2">
      <c r="D39" s="278"/>
      <c r="E39" s="278"/>
      <c r="F39" s="278"/>
      <c r="G39" s="278"/>
      <c r="H39" s="278"/>
      <c r="J39" s="134" t="s">
        <v>198</v>
      </c>
      <c r="K39" s="135">
        <v>0</v>
      </c>
      <c r="L39" s="135">
        <v>2670</v>
      </c>
      <c r="M39" s="135">
        <v>2670</v>
      </c>
      <c r="N39" s="135">
        <v>2375</v>
      </c>
      <c r="O39" s="135">
        <v>2375</v>
      </c>
      <c r="P39" s="135">
        <v>2080.7454956957399</v>
      </c>
      <c r="Q39" s="135"/>
      <c r="R39" s="135"/>
      <c r="S39" s="140">
        <f>+SUM(K39:R39)</f>
        <v>12170.745495695741</v>
      </c>
    </row>
    <row r="40" spans="2:19" ht="15.6" customHeight="1" thickBot="1" x14ac:dyDescent="0.25">
      <c r="D40" s="278"/>
      <c r="E40" s="278"/>
      <c r="F40" s="278"/>
      <c r="G40" s="278"/>
      <c r="H40" s="278"/>
      <c r="J40" s="144" t="s">
        <v>173</v>
      </c>
      <c r="K40" s="145">
        <f>SUM(K36:K39)</f>
        <v>0</v>
      </c>
      <c r="L40" s="145">
        <f t="shared" ref="L40:R40" si="12">SUM(L36:L39)</f>
        <v>7030</v>
      </c>
      <c r="M40" s="145">
        <f t="shared" si="12"/>
        <v>9402.0139999999992</v>
      </c>
      <c r="N40" s="145">
        <f t="shared" si="12"/>
        <v>6735</v>
      </c>
      <c r="O40" s="145">
        <f t="shared" si="12"/>
        <v>6735</v>
      </c>
      <c r="P40" s="145">
        <f t="shared" si="12"/>
        <v>3984.9507045970086</v>
      </c>
      <c r="Q40" s="145">
        <f t="shared" si="12"/>
        <v>1904.2052089012689</v>
      </c>
      <c r="R40" s="145">
        <f t="shared" si="12"/>
        <v>0</v>
      </c>
      <c r="S40" s="149">
        <f>+SUM(K40:R40)</f>
        <v>35791.169913498277</v>
      </c>
    </row>
    <row r="41" spans="2:19" ht="15.6" customHeight="1" thickBot="1" x14ac:dyDescent="0.25"/>
    <row r="42" spans="2:19" ht="15.6" customHeight="1" x14ac:dyDescent="0.2">
      <c r="J42" s="328" t="s">
        <v>256</v>
      </c>
      <c r="K42" s="329"/>
      <c r="L42" s="329"/>
      <c r="M42" s="329"/>
      <c r="N42" s="329"/>
      <c r="O42" s="329"/>
      <c r="P42" s="329"/>
      <c r="Q42" s="329"/>
      <c r="R42" s="329"/>
      <c r="S42" s="330"/>
    </row>
    <row r="43" spans="2:19" ht="26.25" customHeight="1" x14ac:dyDescent="0.2">
      <c r="J43" s="321" t="s">
        <v>70</v>
      </c>
      <c r="K43" s="250">
        <v>2018</v>
      </c>
      <c r="L43" s="324">
        <v>2019</v>
      </c>
      <c r="M43" s="324"/>
      <c r="N43" s="324">
        <v>2020</v>
      </c>
      <c r="O43" s="324"/>
      <c r="P43" s="324">
        <v>2021</v>
      </c>
      <c r="Q43" s="324"/>
      <c r="R43" s="250">
        <v>2022</v>
      </c>
      <c r="S43" s="320" t="s">
        <v>219</v>
      </c>
    </row>
    <row r="44" spans="2:19" ht="15.6" customHeight="1" x14ac:dyDescent="0.2">
      <c r="J44" s="321"/>
      <c r="K44" s="250" t="s">
        <v>240</v>
      </c>
      <c r="L44" s="250" t="s">
        <v>241</v>
      </c>
      <c r="M44" s="250" t="s">
        <v>240</v>
      </c>
      <c r="N44" s="250" t="s">
        <v>241</v>
      </c>
      <c r="O44" s="250" t="s">
        <v>240</v>
      </c>
      <c r="P44" s="250" t="s">
        <v>241</v>
      </c>
      <c r="Q44" s="250" t="s">
        <v>240</v>
      </c>
      <c r="R44" s="250" t="s">
        <v>241</v>
      </c>
      <c r="S44" s="320"/>
    </row>
    <row r="45" spans="2:19" ht="15.6" customHeight="1" x14ac:dyDescent="0.2">
      <c r="J45" s="150" t="s">
        <v>205</v>
      </c>
      <c r="K45" s="135"/>
      <c r="L45" s="135">
        <v>194</v>
      </c>
      <c r="M45" s="135">
        <v>194</v>
      </c>
      <c r="N45" s="135">
        <v>194</v>
      </c>
      <c r="O45" s="135">
        <v>194</v>
      </c>
      <c r="P45" s="135">
        <v>194</v>
      </c>
      <c r="Q45" s="135">
        <v>193</v>
      </c>
      <c r="R45" s="135">
        <v>190</v>
      </c>
      <c r="S45" s="140">
        <f>+SUM(K45:R45)</f>
        <v>1353</v>
      </c>
    </row>
    <row r="46" spans="2:19" x14ac:dyDescent="0.2">
      <c r="J46" s="150" t="s">
        <v>134</v>
      </c>
      <c r="K46" s="135"/>
      <c r="L46" s="135">
        <v>575</v>
      </c>
      <c r="M46" s="135">
        <v>575</v>
      </c>
      <c r="N46" s="135">
        <v>570</v>
      </c>
      <c r="O46" s="135">
        <v>570</v>
      </c>
      <c r="P46" s="135">
        <v>570</v>
      </c>
      <c r="Q46" s="135">
        <v>570</v>
      </c>
      <c r="R46" s="135">
        <v>570</v>
      </c>
      <c r="S46" s="140">
        <f>+SUM(K46:R46)</f>
        <v>4000</v>
      </c>
    </row>
    <row r="47" spans="2:19" ht="17.25" customHeight="1" thickBot="1" x14ac:dyDescent="0.25">
      <c r="J47" s="144" t="s">
        <v>173</v>
      </c>
      <c r="K47" s="145">
        <f>SUM(K45:K46)</f>
        <v>0</v>
      </c>
      <c r="L47" s="145">
        <f t="shared" ref="L47:R47" si="13">SUM(L45:L46)</f>
        <v>769</v>
      </c>
      <c r="M47" s="145">
        <f t="shared" si="13"/>
        <v>769</v>
      </c>
      <c r="N47" s="145">
        <f t="shared" si="13"/>
        <v>764</v>
      </c>
      <c r="O47" s="145">
        <f t="shared" si="13"/>
        <v>764</v>
      </c>
      <c r="P47" s="145">
        <f t="shared" si="13"/>
        <v>764</v>
      </c>
      <c r="Q47" s="145">
        <f t="shared" si="13"/>
        <v>763</v>
      </c>
      <c r="R47" s="145">
        <f t="shared" si="13"/>
        <v>760</v>
      </c>
      <c r="S47" s="149">
        <f>+SUM(K47:R47)</f>
        <v>5353</v>
      </c>
    </row>
    <row r="48" spans="2:19" ht="17.25" customHeight="1" x14ac:dyDescent="0.2">
      <c r="J48" s="6" t="s">
        <v>206</v>
      </c>
    </row>
    <row r="49" spans="4:19" ht="13.5" thickBot="1" x14ac:dyDescent="0.25"/>
    <row r="50" spans="4:19" ht="17.25" customHeight="1" x14ac:dyDescent="0.2">
      <c r="J50" s="314" t="s">
        <v>257</v>
      </c>
      <c r="K50" s="315"/>
      <c r="L50" s="315"/>
      <c r="M50" s="315"/>
      <c r="N50" s="315"/>
      <c r="O50" s="315"/>
      <c r="P50" s="315"/>
      <c r="Q50" s="315"/>
      <c r="R50" s="315"/>
      <c r="S50" s="316"/>
    </row>
    <row r="51" spans="4:19" ht="17.25" customHeight="1" x14ac:dyDescent="0.2">
      <c r="J51" s="319" t="s">
        <v>87</v>
      </c>
      <c r="K51" s="203">
        <v>2018</v>
      </c>
      <c r="L51" s="317">
        <v>2019</v>
      </c>
      <c r="M51" s="317"/>
      <c r="N51" s="317">
        <v>2020</v>
      </c>
      <c r="O51" s="317"/>
      <c r="P51" s="317">
        <v>2021</v>
      </c>
      <c r="Q51" s="317"/>
      <c r="R51" s="203">
        <v>2022</v>
      </c>
      <c r="S51" s="318" t="s">
        <v>219</v>
      </c>
    </row>
    <row r="52" spans="4:19" ht="17.25" customHeight="1" x14ac:dyDescent="0.2">
      <c r="D52" s="61"/>
      <c r="E52" s="61"/>
      <c r="F52" s="61"/>
      <c r="G52" s="61"/>
      <c r="H52" s="61"/>
      <c r="J52" s="319"/>
      <c r="K52" s="203" t="s">
        <v>238</v>
      </c>
      <c r="L52" s="203" t="s">
        <v>239</v>
      </c>
      <c r="M52" s="203" t="s">
        <v>238</v>
      </c>
      <c r="N52" s="203" t="s">
        <v>239</v>
      </c>
      <c r="O52" s="203" t="s">
        <v>238</v>
      </c>
      <c r="P52" s="203" t="s">
        <v>239</v>
      </c>
      <c r="Q52" s="203" t="s">
        <v>238</v>
      </c>
      <c r="R52" s="203" t="s">
        <v>239</v>
      </c>
      <c r="S52" s="318"/>
    </row>
    <row r="53" spans="4:19" ht="17.25" customHeight="1" x14ac:dyDescent="0.2">
      <c r="D53" s="61"/>
      <c r="E53" s="61"/>
      <c r="F53" s="61"/>
      <c r="G53" s="61"/>
      <c r="H53" s="61"/>
      <c r="J53" s="134" t="s">
        <v>207</v>
      </c>
      <c r="K53" s="135">
        <v>0</v>
      </c>
      <c r="L53" s="135">
        <v>1484.8</v>
      </c>
      <c r="M53" s="135">
        <v>1487.36</v>
      </c>
      <c r="N53" s="135">
        <v>1489.92</v>
      </c>
      <c r="O53" s="135">
        <v>1492.48</v>
      </c>
      <c r="P53" s="205">
        <v>1495.04</v>
      </c>
      <c r="Q53" s="205">
        <v>1497.088</v>
      </c>
      <c r="R53" s="205">
        <v>1489.92</v>
      </c>
      <c r="S53" s="211">
        <f>SUM(K53:R53)</f>
        <v>10436.608</v>
      </c>
    </row>
    <row r="54" spans="4:19" ht="17.25" customHeight="1" x14ac:dyDescent="0.2">
      <c r="D54" s="61"/>
      <c r="E54" s="61"/>
      <c r="F54" s="61"/>
      <c r="G54" s="61"/>
      <c r="H54" s="61"/>
      <c r="J54" s="134" t="s">
        <v>208</v>
      </c>
      <c r="K54" s="135">
        <v>0</v>
      </c>
      <c r="L54" s="135">
        <v>165.624</v>
      </c>
      <c r="M54" s="135">
        <v>167.83232000000001</v>
      </c>
      <c r="N54" s="135">
        <v>169.48856000000004</v>
      </c>
      <c r="O54" s="135">
        <v>170.04064000000002</v>
      </c>
      <c r="P54" s="205">
        <v>171.1448</v>
      </c>
      <c r="Q54" s="205">
        <v>171.1448</v>
      </c>
      <c r="R54" s="205">
        <v>169.48856000000004</v>
      </c>
      <c r="S54" s="211">
        <f>SUM(K54:R54)</f>
        <v>1184.7636800000002</v>
      </c>
    </row>
    <row r="55" spans="4:19" ht="27" customHeight="1" x14ac:dyDescent="0.2">
      <c r="J55" s="151" t="s">
        <v>209</v>
      </c>
      <c r="K55" s="135">
        <f>SUM(K53:K54)</f>
        <v>0</v>
      </c>
      <c r="L55" s="135">
        <f t="shared" ref="L55:R55" si="14">SUM(L53:L54)</f>
        <v>1650.424</v>
      </c>
      <c r="M55" s="135">
        <f t="shared" si="14"/>
        <v>1655.1923199999999</v>
      </c>
      <c r="N55" s="135">
        <f t="shared" si="14"/>
        <v>1659.4085600000001</v>
      </c>
      <c r="O55" s="135">
        <f t="shared" si="14"/>
        <v>1662.52064</v>
      </c>
      <c r="P55" s="135">
        <f t="shared" si="14"/>
        <v>1666.1848</v>
      </c>
      <c r="Q55" s="135">
        <f t="shared" si="14"/>
        <v>1668.2328</v>
      </c>
      <c r="R55" s="135">
        <f t="shared" si="14"/>
        <v>1659.4085600000001</v>
      </c>
      <c r="S55" s="211">
        <f>SUM(K55:R55)</f>
        <v>11621.371679999998</v>
      </c>
    </row>
    <row r="56" spans="4:19" ht="17.25" customHeight="1" x14ac:dyDescent="0.2">
      <c r="J56" s="134" t="s">
        <v>230</v>
      </c>
      <c r="K56" s="135">
        <v>0</v>
      </c>
      <c r="L56" s="135"/>
      <c r="M56" s="135">
        <v>1083.318</v>
      </c>
      <c r="N56" s="135"/>
      <c r="O56" s="135">
        <v>0</v>
      </c>
      <c r="P56" s="205"/>
      <c r="Q56" s="205">
        <v>0</v>
      </c>
      <c r="R56" s="205">
        <v>0</v>
      </c>
      <c r="S56" s="211">
        <f t="shared" ref="S56:S62" si="15">SUM(K56:R56)</f>
        <v>1083.318</v>
      </c>
    </row>
    <row r="57" spans="4:19" ht="25.5" x14ac:dyDescent="0.2">
      <c r="J57" s="150" t="s">
        <v>231</v>
      </c>
      <c r="K57" s="135">
        <v>0</v>
      </c>
      <c r="L57" s="135"/>
      <c r="M57" s="135">
        <v>0</v>
      </c>
      <c r="N57" s="135"/>
      <c r="O57" s="135">
        <v>288</v>
      </c>
      <c r="P57" s="205"/>
      <c r="Q57" s="205">
        <v>0</v>
      </c>
      <c r="R57" s="205">
        <v>0</v>
      </c>
      <c r="S57" s="211">
        <f t="shared" si="15"/>
        <v>288</v>
      </c>
    </row>
    <row r="58" spans="4:19" ht="17.25" customHeight="1" x14ac:dyDescent="0.2">
      <c r="J58" s="208" t="s">
        <v>246</v>
      </c>
      <c r="K58" s="135">
        <v>0</v>
      </c>
      <c r="L58" s="135"/>
      <c r="M58" s="135">
        <v>0</v>
      </c>
      <c r="N58" s="135"/>
      <c r="O58" s="135">
        <v>0</v>
      </c>
      <c r="P58" s="205"/>
      <c r="Q58" s="205">
        <v>853</v>
      </c>
      <c r="R58" s="205">
        <v>0</v>
      </c>
      <c r="S58" s="211">
        <f t="shared" si="15"/>
        <v>853</v>
      </c>
    </row>
    <row r="59" spans="4:19" x14ac:dyDescent="0.2">
      <c r="J59" s="150" t="s">
        <v>232</v>
      </c>
      <c r="K59" s="135"/>
      <c r="L59" s="135">
        <v>600</v>
      </c>
      <c r="M59" s="135"/>
      <c r="N59" s="135"/>
      <c r="O59" s="135"/>
      <c r="P59" s="205"/>
      <c r="Q59" s="205"/>
      <c r="R59" s="205"/>
      <c r="S59" s="211">
        <f t="shared" si="15"/>
        <v>600</v>
      </c>
    </row>
    <row r="60" spans="4:19" x14ac:dyDescent="0.2">
      <c r="J60" s="150" t="s">
        <v>233</v>
      </c>
      <c r="K60" s="135"/>
      <c r="L60" s="135"/>
      <c r="M60" s="135"/>
      <c r="N60" s="135">
        <v>620</v>
      </c>
      <c r="O60" s="135"/>
      <c r="P60" s="205"/>
      <c r="Q60" s="205"/>
      <c r="R60" s="205"/>
      <c r="S60" s="211">
        <f t="shared" si="15"/>
        <v>620</v>
      </c>
    </row>
    <row r="61" spans="4:19" ht="17.25" customHeight="1" x14ac:dyDescent="0.2">
      <c r="J61" s="150" t="s">
        <v>234</v>
      </c>
      <c r="K61" s="135">
        <v>0</v>
      </c>
      <c r="L61" s="135"/>
      <c r="M61" s="135">
        <v>0</v>
      </c>
      <c r="N61" s="135"/>
      <c r="O61" s="135">
        <v>0</v>
      </c>
      <c r="P61" s="205">
        <v>1296</v>
      </c>
      <c r="Q61" s="205"/>
      <c r="R61" s="205">
        <v>0</v>
      </c>
      <c r="S61" s="211">
        <f t="shared" si="15"/>
        <v>1296</v>
      </c>
    </row>
    <row r="62" spans="4:19" ht="17.25" customHeight="1" x14ac:dyDescent="0.2">
      <c r="J62" s="150" t="s">
        <v>210</v>
      </c>
      <c r="K62" s="135">
        <v>0</v>
      </c>
      <c r="L62" s="135">
        <v>844.8</v>
      </c>
      <c r="M62" s="135">
        <v>852.48</v>
      </c>
      <c r="N62" s="135">
        <v>860.16</v>
      </c>
      <c r="O62" s="135">
        <v>844.8</v>
      </c>
      <c r="P62" s="205">
        <v>844.8</v>
      </c>
      <c r="Q62" s="205">
        <v>844.8</v>
      </c>
      <c r="R62" s="205">
        <v>844.8</v>
      </c>
      <c r="S62" s="211">
        <f t="shared" si="15"/>
        <v>5936.64</v>
      </c>
    </row>
    <row r="63" spans="4:19" ht="17.25" customHeight="1" x14ac:dyDescent="0.2">
      <c r="J63" s="204" t="s">
        <v>211</v>
      </c>
      <c r="K63" s="135">
        <f>SUM(K56:K62)</f>
        <v>0</v>
      </c>
      <c r="L63" s="135">
        <f t="shared" ref="L63:R63" si="16">SUM(L56:L62)</f>
        <v>1444.8</v>
      </c>
      <c r="M63" s="135">
        <f t="shared" si="16"/>
        <v>1935.798</v>
      </c>
      <c r="N63" s="135">
        <f t="shared" si="16"/>
        <v>1480.1599999999999</v>
      </c>
      <c r="O63" s="135">
        <f t="shared" si="16"/>
        <v>1132.8</v>
      </c>
      <c r="P63" s="135">
        <f t="shared" si="16"/>
        <v>2140.8000000000002</v>
      </c>
      <c r="Q63" s="135">
        <f t="shared" si="16"/>
        <v>1697.8</v>
      </c>
      <c r="R63" s="135">
        <f t="shared" si="16"/>
        <v>844.8</v>
      </c>
      <c r="S63" s="211">
        <f>SUM(K63:R63)</f>
        <v>10676.957999999999</v>
      </c>
    </row>
    <row r="64" spans="4:19" ht="17.25" customHeight="1" thickBot="1" x14ac:dyDescent="0.25">
      <c r="J64" s="144" t="s">
        <v>173</v>
      </c>
      <c r="K64" s="145">
        <f>+K63+K55</f>
        <v>0</v>
      </c>
      <c r="L64" s="145">
        <f t="shared" ref="L64:R64" si="17">+L63+L55</f>
        <v>3095.2240000000002</v>
      </c>
      <c r="M64" s="145">
        <f t="shared" si="17"/>
        <v>3590.9903199999999</v>
      </c>
      <c r="N64" s="145">
        <f t="shared" si="17"/>
        <v>3139.5685599999997</v>
      </c>
      <c r="O64" s="145">
        <f t="shared" si="17"/>
        <v>2795.3206399999999</v>
      </c>
      <c r="P64" s="145">
        <f t="shared" si="17"/>
        <v>3806.9848000000002</v>
      </c>
      <c r="Q64" s="145">
        <f t="shared" si="17"/>
        <v>3366.0328</v>
      </c>
      <c r="R64" s="145">
        <f t="shared" si="17"/>
        <v>2504.20856</v>
      </c>
      <c r="S64" s="282">
        <f>SUM(K64:R64)</f>
        <v>22298.329679999999</v>
      </c>
    </row>
    <row r="65" spans="10:19" ht="17.25" customHeight="1" thickBot="1" x14ac:dyDescent="0.25">
      <c r="K65" s="61"/>
      <c r="L65" s="61"/>
      <c r="M65" s="61"/>
      <c r="N65" s="61"/>
      <c r="O65" s="61"/>
    </row>
    <row r="66" spans="10:19" ht="17.25" customHeight="1" x14ac:dyDescent="0.2">
      <c r="J66" s="314" t="s">
        <v>212</v>
      </c>
      <c r="K66" s="315"/>
      <c r="L66" s="315"/>
      <c r="M66" s="315"/>
      <c r="N66" s="315"/>
      <c r="O66" s="315"/>
      <c r="P66" s="315"/>
      <c r="Q66" s="315"/>
      <c r="R66" s="315"/>
      <c r="S66" s="316"/>
    </row>
    <row r="67" spans="10:19" ht="17.25" customHeight="1" x14ac:dyDescent="0.2">
      <c r="J67" s="319" t="s">
        <v>87</v>
      </c>
      <c r="K67" s="203">
        <v>2018</v>
      </c>
      <c r="L67" s="317">
        <v>2019</v>
      </c>
      <c r="M67" s="317"/>
      <c r="N67" s="317">
        <v>2020</v>
      </c>
      <c r="O67" s="317"/>
      <c r="P67" s="317">
        <v>2021</v>
      </c>
      <c r="Q67" s="317"/>
      <c r="R67" s="203">
        <v>2022</v>
      </c>
      <c r="S67" s="318"/>
    </row>
    <row r="68" spans="10:19" ht="17.25" customHeight="1" x14ac:dyDescent="0.2">
      <c r="J68" s="319"/>
      <c r="K68" s="203" t="s">
        <v>238</v>
      </c>
      <c r="L68" s="203" t="s">
        <v>239</v>
      </c>
      <c r="M68" s="203" t="s">
        <v>238</v>
      </c>
      <c r="N68" s="203" t="s">
        <v>239</v>
      </c>
      <c r="O68" s="203" t="s">
        <v>238</v>
      </c>
      <c r="P68" s="203" t="s">
        <v>239</v>
      </c>
      <c r="Q68" s="203" t="s">
        <v>238</v>
      </c>
      <c r="R68" s="203" t="s">
        <v>239</v>
      </c>
      <c r="S68" s="318"/>
    </row>
    <row r="69" spans="10:19" ht="17.25" customHeight="1" x14ac:dyDescent="0.2">
      <c r="J69" s="206" t="s">
        <v>207</v>
      </c>
      <c r="K69" s="135"/>
      <c r="L69" s="135">
        <v>5800</v>
      </c>
      <c r="M69" s="135">
        <v>5810</v>
      </c>
      <c r="N69" s="135">
        <v>5820</v>
      </c>
      <c r="O69" s="135">
        <v>5830</v>
      </c>
      <c r="P69" s="225">
        <v>5840</v>
      </c>
      <c r="Q69" s="225">
        <v>5848</v>
      </c>
      <c r="R69" s="225">
        <v>5820</v>
      </c>
      <c r="S69" s="211">
        <f>SUM(K69:R69)</f>
        <v>40768</v>
      </c>
    </row>
    <row r="70" spans="10:19" ht="17.25" customHeight="1" x14ac:dyDescent="0.2">
      <c r="J70" s="206" t="s">
        <v>208</v>
      </c>
      <c r="K70" s="135"/>
      <c r="L70" s="135">
        <v>300</v>
      </c>
      <c r="M70" s="135">
        <v>304</v>
      </c>
      <c r="N70" s="135">
        <v>307</v>
      </c>
      <c r="O70" s="135">
        <v>308</v>
      </c>
      <c r="P70" s="225">
        <v>310</v>
      </c>
      <c r="Q70" s="225">
        <v>310</v>
      </c>
      <c r="R70" s="225">
        <v>307</v>
      </c>
      <c r="S70" s="211">
        <f t="shared" ref="S70:S80" si="18">SUM(K70:R70)</f>
        <v>2146</v>
      </c>
    </row>
    <row r="71" spans="10:19" ht="27" customHeight="1" x14ac:dyDescent="0.2">
      <c r="J71" s="207" t="s">
        <v>209</v>
      </c>
      <c r="K71" s="135">
        <v>0</v>
      </c>
      <c r="L71" s="135">
        <v>6100</v>
      </c>
      <c r="M71" s="135">
        <v>6114</v>
      </c>
      <c r="N71" s="135">
        <v>6127</v>
      </c>
      <c r="O71" s="135">
        <v>6138</v>
      </c>
      <c r="P71" s="225">
        <v>6150</v>
      </c>
      <c r="Q71" s="225">
        <v>6158</v>
      </c>
      <c r="R71" s="225">
        <v>6127</v>
      </c>
      <c r="S71" s="211">
        <f t="shared" si="18"/>
        <v>42914</v>
      </c>
    </row>
    <row r="72" spans="10:19" ht="17.25" customHeight="1" x14ac:dyDescent="0.2">
      <c r="J72" s="206" t="s">
        <v>199</v>
      </c>
      <c r="K72" s="135"/>
      <c r="L72" s="135"/>
      <c r="M72" s="135">
        <v>266</v>
      </c>
      <c r="N72" s="135"/>
      <c r="O72" s="135"/>
      <c r="P72" s="225"/>
      <c r="Q72" s="225"/>
      <c r="R72" s="225"/>
      <c r="S72" s="211">
        <f t="shared" si="18"/>
        <v>266</v>
      </c>
    </row>
    <row r="73" spans="10:19" ht="25.5" x14ac:dyDescent="0.2">
      <c r="J73" s="208" t="s">
        <v>231</v>
      </c>
      <c r="K73" s="135"/>
      <c r="L73" s="135"/>
      <c r="M73" s="135"/>
      <c r="N73" s="135"/>
      <c r="O73" s="135">
        <v>160</v>
      </c>
      <c r="P73" s="225"/>
      <c r="Q73" s="225"/>
      <c r="R73" s="225"/>
      <c r="S73" s="211">
        <f t="shared" si="18"/>
        <v>160</v>
      </c>
    </row>
    <row r="74" spans="10:19" ht="12.75" customHeight="1" x14ac:dyDescent="0.2">
      <c r="J74" s="208" t="s">
        <v>246</v>
      </c>
      <c r="K74" s="135"/>
      <c r="L74" s="135"/>
      <c r="M74" s="135"/>
      <c r="N74" s="135"/>
      <c r="O74" s="135"/>
      <c r="P74" s="225"/>
      <c r="Q74" s="225">
        <v>580</v>
      </c>
      <c r="R74" s="225"/>
      <c r="S74" s="211">
        <f t="shared" si="18"/>
        <v>580</v>
      </c>
    </row>
    <row r="75" spans="10:19" x14ac:dyDescent="0.2">
      <c r="J75" s="208" t="s">
        <v>235</v>
      </c>
      <c r="K75" s="135"/>
      <c r="L75" s="135">
        <v>250</v>
      </c>
      <c r="M75" s="135"/>
      <c r="N75" s="135"/>
      <c r="O75" s="135"/>
      <c r="P75" s="225"/>
      <c r="Q75" s="225"/>
      <c r="R75" s="225"/>
      <c r="S75" s="211">
        <f t="shared" si="18"/>
        <v>250</v>
      </c>
    </row>
    <row r="76" spans="10:19" x14ac:dyDescent="0.2">
      <c r="J76" s="208" t="s">
        <v>236</v>
      </c>
      <c r="K76" s="226"/>
      <c r="L76" s="135"/>
      <c r="M76" s="135"/>
      <c r="N76" s="135">
        <v>390</v>
      </c>
      <c r="O76" s="135"/>
      <c r="P76" s="225"/>
      <c r="Q76" s="225"/>
      <c r="R76" s="225"/>
      <c r="S76" s="211">
        <f t="shared" si="18"/>
        <v>390</v>
      </c>
    </row>
    <row r="77" spans="10:19" ht="12.75" customHeight="1" x14ac:dyDescent="0.2">
      <c r="J77" s="208" t="s">
        <v>234</v>
      </c>
      <c r="K77" s="226"/>
      <c r="L77" s="135"/>
      <c r="M77" s="135"/>
      <c r="N77" s="135"/>
      <c r="O77" s="135"/>
      <c r="P77" s="225">
        <v>720</v>
      </c>
      <c r="Q77" s="225"/>
      <c r="R77" s="225"/>
      <c r="S77" s="211">
        <f t="shared" si="18"/>
        <v>720</v>
      </c>
    </row>
    <row r="78" spans="10:19" ht="12.75" customHeight="1" x14ac:dyDescent="0.2">
      <c r="J78" s="208" t="s">
        <v>237</v>
      </c>
      <c r="K78" s="226"/>
      <c r="L78" s="135">
        <v>2200</v>
      </c>
      <c r="M78" s="135">
        <v>2220</v>
      </c>
      <c r="N78" s="135">
        <v>2240</v>
      </c>
      <c r="O78" s="135">
        <v>2200</v>
      </c>
      <c r="P78" s="225">
        <v>2200</v>
      </c>
      <c r="Q78" s="225">
        <v>2200</v>
      </c>
      <c r="R78" s="225">
        <v>2200</v>
      </c>
      <c r="S78" s="211">
        <f t="shared" si="18"/>
        <v>15460</v>
      </c>
    </row>
    <row r="79" spans="10:19" ht="12.75" customHeight="1" x14ac:dyDescent="0.2">
      <c r="J79" s="209" t="s">
        <v>211</v>
      </c>
      <c r="K79" s="135">
        <v>0</v>
      </c>
      <c r="L79" s="135">
        <v>250</v>
      </c>
      <c r="M79" s="135">
        <v>266</v>
      </c>
      <c r="N79" s="135">
        <v>390</v>
      </c>
      <c r="O79" s="135">
        <v>160</v>
      </c>
      <c r="P79" s="225">
        <v>720</v>
      </c>
      <c r="Q79" s="225">
        <v>580</v>
      </c>
      <c r="R79" s="225">
        <v>0</v>
      </c>
      <c r="S79" s="211">
        <f t="shared" si="18"/>
        <v>2366</v>
      </c>
    </row>
    <row r="80" spans="10:19" ht="12.75" customHeight="1" thickBot="1" x14ac:dyDescent="0.25">
      <c r="J80" s="210" t="s">
        <v>173</v>
      </c>
      <c r="K80" s="145">
        <v>0</v>
      </c>
      <c r="L80" s="145">
        <v>6350</v>
      </c>
      <c r="M80" s="145">
        <v>6380</v>
      </c>
      <c r="N80" s="145">
        <v>6517</v>
      </c>
      <c r="O80" s="145">
        <v>6298</v>
      </c>
      <c r="P80" s="283">
        <v>6870</v>
      </c>
      <c r="Q80" s="283">
        <v>6738</v>
      </c>
      <c r="R80" s="283">
        <v>6127</v>
      </c>
      <c r="S80" s="282">
        <f t="shared" si="18"/>
        <v>45280</v>
      </c>
    </row>
    <row r="81" spans="11:15" ht="12.75" customHeight="1" x14ac:dyDescent="0.2">
      <c r="K81" s="61"/>
      <c r="L81" s="61"/>
      <c r="M81" s="61"/>
      <c r="N81" s="61"/>
      <c r="O81" s="61"/>
    </row>
    <row r="82" spans="11:15" ht="29.25" customHeight="1" x14ac:dyDescent="0.2">
      <c r="K82" s="61"/>
      <c r="L82" s="61"/>
      <c r="M82" s="61"/>
      <c r="N82" s="61"/>
      <c r="O82" s="61"/>
    </row>
    <row r="83" spans="11:15" ht="12.75" customHeight="1" x14ac:dyDescent="0.2">
      <c r="K83" s="61"/>
      <c r="L83" s="61"/>
      <c r="M83" s="61"/>
      <c r="N83" s="61"/>
      <c r="O83" s="61"/>
    </row>
    <row r="84" spans="11:15" ht="29.25" customHeight="1" x14ac:dyDescent="0.2"/>
    <row r="85" spans="11:15" ht="15" customHeight="1" x14ac:dyDescent="0.2"/>
    <row r="86" spans="11:15" ht="12.75" customHeight="1" x14ac:dyDescent="0.2"/>
    <row r="87" spans="11:15" ht="12.75" customHeight="1" x14ac:dyDescent="0.2"/>
    <row r="88" spans="11:15" ht="27" customHeight="1" x14ac:dyDescent="0.2"/>
    <row r="89" spans="11:15" ht="21.75" customHeight="1" x14ac:dyDescent="0.2"/>
    <row r="90" spans="11:15" ht="29.25" customHeight="1" x14ac:dyDescent="0.2"/>
    <row r="91" spans="11:15" ht="16.5" customHeight="1" x14ac:dyDescent="0.2"/>
    <row r="92" spans="11:15" ht="25.5" customHeight="1" x14ac:dyDescent="0.2"/>
    <row r="93" spans="11:15" ht="16.5" customHeight="1" x14ac:dyDescent="0.2"/>
    <row r="94" spans="11:15" ht="12.75" customHeight="1" x14ac:dyDescent="0.2"/>
    <row r="395" spans="10:10" x14ac:dyDescent="0.2">
      <c r="J395" s="152"/>
    </row>
  </sheetData>
  <sheetProtection algorithmName="SHA-512" hashValue="6izt2EmDX5cjlXrY7I4lKPsH70FpAEQlwu7RjgEYsOQ06bW5E8BmZp3J0Fiym/v01uTdyUkMlozMfH7Gcnu8jQ==" saltValue="1Q+hu/sWoV+wRJnb9vBIkQ==" spinCount="100000" sheet="1" objects="1" scenarios="1"/>
  <mergeCells count="49">
    <mergeCell ref="B6:C7"/>
    <mergeCell ref="B33:C34"/>
    <mergeCell ref="B13:C14"/>
    <mergeCell ref="J4:J5"/>
    <mergeCell ref="G13:G14"/>
    <mergeCell ref="H13:H14"/>
    <mergeCell ref="S43:S44"/>
    <mergeCell ref="J43:J44"/>
    <mergeCell ref="S4:S5"/>
    <mergeCell ref="L43:M43"/>
    <mergeCell ref="N43:O43"/>
    <mergeCell ref="P43:Q43"/>
    <mergeCell ref="J33:S33"/>
    <mergeCell ref="J42:S42"/>
    <mergeCell ref="L4:M4"/>
    <mergeCell ref="N4:O4"/>
    <mergeCell ref="P4:Q4"/>
    <mergeCell ref="L34:M34"/>
    <mergeCell ref="N34:O34"/>
    <mergeCell ref="P34:Q34"/>
    <mergeCell ref="J34:J35"/>
    <mergeCell ref="J50:S50"/>
    <mergeCell ref="L67:M67"/>
    <mergeCell ref="N67:O67"/>
    <mergeCell ref="P67:Q67"/>
    <mergeCell ref="S51:S52"/>
    <mergeCell ref="J51:J52"/>
    <mergeCell ref="J66:S66"/>
    <mergeCell ref="L51:M51"/>
    <mergeCell ref="N51:O51"/>
    <mergeCell ref="P51:Q51"/>
    <mergeCell ref="S67:S68"/>
    <mergeCell ref="J67:J68"/>
    <mergeCell ref="J3:S3"/>
    <mergeCell ref="B21:C21"/>
    <mergeCell ref="D33:D34"/>
    <mergeCell ref="E33:E34"/>
    <mergeCell ref="F33:F34"/>
    <mergeCell ref="G33:G34"/>
    <mergeCell ref="H33:H34"/>
    <mergeCell ref="S34:S35"/>
    <mergeCell ref="D6:D7"/>
    <mergeCell ref="E6:E7"/>
    <mergeCell ref="F6:F7"/>
    <mergeCell ref="G6:G7"/>
    <mergeCell ref="H6:H7"/>
    <mergeCell ref="D13:D14"/>
    <mergeCell ref="E13:E14"/>
    <mergeCell ref="F13:F14"/>
  </mergeCells>
  <phoneticPr fontId="0" type="noConversion"/>
  <conditionalFormatting sqref="J53:O54 J55:R55">
    <cfRule type="expression" dxfId="19" priority="17" stopIfTrue="1">
      <formula>($AQ53=1)</formula>
    </cfRule>
  </conditionalFormatting>
  <conditionalFormatting sqref="J27:S28">
    <cfRule type="expression" dxfId="18" priority="20" stopIfTrue="1">
      <formula>($AQ32=1)</formula>
    </cfRule>
  </conditionalFormatting>
  <conditionalFormatting sqref="O53:O54 J74:O78 J38:R39 J45:R46 J58:N62 O56:O62 J63:R63">
    <cfRule type="expression" dxfId="17" priority="21" stopIfTrue="1">
      <formula>(#REF!=1)</formula>
    </cfRule>
  </conditionalFormatting>
  <conditionalFormatting sqref="J56:O56">
    <cfRule type="expression" dxfId="16" priority="14" stopIfTrue="1">
      <formula>($AQ55=1)</formula>
    </cfRule>
  </conditionalFormatting>
  <conditionalFormatting sqref="J69:O70">
    <cfRule type="expression" dxfId="15" priority="22" stopIfTrue="1">
      <formula>($AQ67=1)</formula>
    </cfRule>
  </conditionalFormatting>
  <conditionalFormatting sqref="J72:O72">
    <cfRule type="expression" dxfId="14" priority="23" stopIfTrue="1">
      <formula>($AQ69=1)</formula>
    </cfRule>
  </conditionalFormatting>
  <conditionalFormatting sqref="J71:N71">
    <cfRule type="expression" dxfId="13" priority="13" stopIfTrue="1">
      <formula>($AQ71=1)</formula>
    </cfRule>
  </conditionalFormatting>
  <conditionalFormatting sqref="O71">
    <cfRule type="expression" dxfId="12" priority="12" stopIfTrue="1">
      <formula>($AQ69=1)</formula>
    </cfRule>
  </conditionalFormatting>
  <conditionalFormatting sqref="J57:O57">
    <cfRule type="expression" dxfId="11" priority="24" stopIfTrue="1">
      <formula>(#REF!=1)</formula>
    </cfRule>
  </conditionalFormatting>
  <conditionalFormatting sqref="J79:O79">
    <cfRule type="expression" dxfId="10" priority="25" stopIfTrue="1">
      <formula>(#REF!=1)</formula>
    </cfRule>
  </conditionalFormatting>
  <conditionalFormatting sqref="J73:O73">
    <cfRule type="expression" dxfId="9" priority="26" stopIfTrue="1">
      <formula>(#REF!=1)</formula>
    </cfRule>
  </conditionalFormatting>
  <conditionalFormatting sqref="S6:S7 J12:S21 J6:R11">
    <cfRule type="expression" dxfId="8" priority="10" stopIfTrue="1">
      <formula>($AT10=1)</formula>
    </cfRule>
  </conditionalFormatting>
  <conditionalFormatting sqref="S9:S11">
    <cfRule type="expression" dxfId="7" priority="11" stopIfTrue="1">
      <formula>($AT13=1)</formula>
    </cfRule>
  </conditionalFormatting>
  <conditionalFormatting sqref="S36:S38">
    <cfRule type="expression" dxfId="6" priority="6" stopIfTrue="1">
      <formula>($AQ31=1)</formula>
    </cfRule>
  </conditionalFormatting>
  <conditionalFormatting sqref="S45:S47 S39:S40">
    <cfRule type="expression" dxfId="5" priority="5" stopIfTrue="1">
      <formula>($AT34=1)</formula>
    </cfRule>
  </conditionalFormatting>
  <conditionalFormatting sqref="S8">
    <cfRule type="expression" dxfId="4" priority="4" stopIfTrue="1">
      <formula>($AT12=1)</formula>
    </cfRule>
  </conditionalFormatting>
  <conditionalFormatting sqref="J30:S30">
    <cfRule type="expression" dxfId="3" priority="53" stopIfTrue="1">
      <formula>($AT27=1)</formula>
    </cfRule>
  </conditionalFormatting>
  <conditionalFormatting sqref="J22:S26">
    <cfRule type="expression" dxfId="2" priority="55" stopIfTrue="1">
      <formula>($AT27=1)</formula>
    </cfRule>
  </conditionalFormatting>
  <conditionalFormatting sqref="J29:S29">
    <cfRule type="expression" dxfId="1" priority="57" stopIfTrue="1">
      <formula>($AT34=1)</formula>
    </cfRule>
  </conditionalFormatting>
  <conditionalFormatting sqref="J36:R37">
    <cfRule type="expression" dxfId="0" priority="2" stopIfTrue="1">
      <formula>(#REF!=1)</formula>
    </cfRule>
  </conditionalFormatting>
  <pageMargins left="0.74803149606299213" right="0.74803149606299213" top="0.62992125984251968" bottom="0.55118110236220474" header="0.39370078740157483" footer="0"/>
  <pageSetup scale="38" orientation="landscape" r:id="rId1"/>
  <headerFooter alignWithMargins="0">
    <oddFooter xml:space="preserve">&amp;C&amp;A&amp;R.
</oddFooter>
  </headerFooter>
  <colBreaks count="1" manualBreakCount="1">
    <brk id="8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2:K20"/>
  <sheetViews>
    <sheetView zoomScaleNormal="100" workbookViewId="0"/>
  </sheetViews>
  <sheetFormatPr baseColWidth="10" defaultColWidth="11.42578125" defaultRowHeight="15" x14ac:dyDescent="0.25"/>
  <cols>
    <col min="1" max="1" width="0.140625" style="3" customWidth="1"/>
    <col min="2" max="2" width="40" style="3" customWidth="1"/>
    <col min="3" max="3" width="11.140625" style="3" customWidth="1"/>
    <col min="4" max="4" width="15.140625" style="3" bestFit="1" customWidth="1"/>
    <col min="5" max="5" width="13.85546875" style="3" customWidth="1"/>
    <col min="6" max="6" width="13.85546875" style="3" bestFit="1" customWidth="1"/>
    <col min="7" max="10" width="15.7109375" style="3" bestFit="1" customWidth="1"/>
    <col min="11" max="11" width="12.28515625" style="3" bestFit="1" customWidth="1"/>
    <col min="12" max="16384" width="11.42578125" style="3"/>
  </cols>
  <sheetData>
    <row r="2" spans="2:11" x14ac:dyDescent="0.25">
      <c r="B2" s="44" t="s">
        <v>89</v>
      </c>
    </row>
    <row r="4" spans="2:11" x14ac:dyDescent="0.25">
      <c r="B4" s="11" t="s">
        <v>16</v>
      </c>
    </row>
    <row r="5" spans="2:11" x14ac:dyDescent="0.25">
      <c r="B5" s="3" t="s">
        <v>68</v>
      </c>
    </row>
    <row r="6" spans="2:11" ht="15.75" thickBot="1" x14ac:dyDescent="0.3"/>
    <row r="7" spans="2:11" ht="28.5" x14ac:dyDescent="0.25">
      <c r="B7" s="346" t="s">
        <v>47</v>
      </c>
      <c r="C7" s="347"/>
      <c r="D7" s="173" t="s">
        <v>160</v>
      </c>
      <c r="E7" s="174" t="s">
        <v>62</v>
      </c>
      <c r="F7" s="173" t="s">
        <v>59</v>
      </c>
      <c r="G7" s="222" t="s">
        <v>155</v>
      </c>
      <c r="H7" s="222" t="s">
        <v>156</v>
      </c>
      <c r="I7" s="222" t="s">
        <v>157</v>
      </c>
      <c r="J7" s="222" t="s">
        <v>158</v>
      </c>
    </row>
    <row r="8" spans="2:11" x14ac:dyDescent="0.25">
      <c r="B8" s="67"/>
      <c r="C8" s="67"/>
      <c r="D8" s="267"/>
      <c r="E8" s="268"/>
      <c r="F8" s="268"/>
      <c r="G8" s="175"/>
      <c r="H8" s="175"/>
      <c r="I8" s="175"/>
      <c r="J8" s="175"/>
    </row>
    <row r="9" spans="2:11" x14ac:dyDescent="0.25">
      <c r="B9" s="67" t="s">
        <v>141</v>
      </c>
      <c r="C9" s="67" t="s">
        <v>42</v>
      </c>
      <c r="D9" s="268">
        <v>814601.97732030298</v>
      </c>
      <c r="E9" s="267">
        <v>0.97</v>
      </c>
      <c r="F9" s="268">
        <f>D9*E9</f>
        <v>790163.9180006939</v>
      </c>
      <c r="G9" s="175">
        <f>+F9+INVERSIONES!D8</f>
        <v>859336.43531560653</v>
      </c>
      <c r="H9" s="175">
        <f>+G9+INVERSIONES!E8</f>
        <v>959905.02248625609</v>
      </c>
      <c r="I9" s="175">
        <f>+H9+INVERSIONES!F8</f>
        <v>1049193.8659216077</v>
      </c>
      <c r="J9" s="175">
        <f>+I9+INVERSIONES!G8</f>
        <v>1124204.2777985069</v>
      </c>
    </row>
    <row r="10" spans="2:11" x14ac:dyDescent="0.25">
      <c r="B10" s="67" t="s">
        <v>142</v>
      </c>
      <c r="C10" s="67" t="s">
        <v>43</v>
      </c>
      <c r="D10" s="268">
        <v>42185.182523049807</v>
      </c>
      <c r="E10" s="267">
        <f>+E9</f>
        <v>0.97</v>
      </c>
      <c r="F10" s="268">
        <f>D10*E10</f>
        <v>40919.627047358314</v>
      </c>
      <c r="G10" s="175">
        <f>+F10+INVERSIONES!D9</f>
        <v>43620.251367103854</v>
      </c>
      <c r="H10" s="175">
        <f>+G10+INVERSIONES!E9</f>
        <v>46606.540063480817</v>
      </c>
      <c r="I10" s="175">
        <f>+H10+INVERSIONES!F9</f>
        <v>49687.84519761712</v>
      </c>
      <c r="J10" s="175">
        <f>+I10+INVERSIONES!G9</f>
        <v>52862.641411671037</v>
      </c>
    </row>
    <row r="11" spans="2:11" x14ac:dyDescent="0.25">
      <c r="B11" s="67" t="s">
        <v>140</v>
      </c>
      <c r="C11" s="67" t="s">
        <v>48</v>
      </c>
      <c r="D11" s="268">
        <v>33304.006809661507</v>
      </c>
      <c r="E11" s="267">
        <f>+E9</f>
        <v>0.97</v>
      </c>
      <c r="F11" s="268">
        <f>D11*E11</f>
        <v>32304.886605371659</v>
      </c>
      <c r="G11" s="175">
        <f>+F11+INVERSIONES!D10</f>
        <v>35400.110605371658</v>
      </c>
      <c r="H11" s="175">
        <f>+G11+INVERSIONES!E10</f>
        <v>42130.669485371654</v>
      </c>
      <c r="I11" s="175">
        <f>+H11+INVERSIONES!F10</f>
        <v>48732.974925371658</v>
      </c>
      <c r="J11" s="175">
        <f>+I11+INVERSIONES!G10</f>
        <v>54603.216285371658</v>
      </c>
    </row>
    <row r="12" spans="2:11" x14ac:dyDescent="0.25">
      <c r="B12" s="67"/>
      <c r="C12" s="67"/>
      <c r="D12" s="269">
        <v>890091.16665301425</v>
      </c>
      <c r="E12" s="267"/>
      <c r="F12" s="270">
        <f>SUM(F9:F11)</f>
        <v>863388.43165342382</v>
      </c>
      <c r="G12" s="176"/>
      <c r="H12" s="176"/>
      <c r="I12" s="176"/>
      <c r="J12" s="177"/>
    </row>
    <row r="13" spans="2:11" x14ac:dyDescent="0.25">
      <c r="B13" s="178"/>
      <c r="C13" s="178"/>
      <c r="D13" s="268"/>
      <c r="E13" s="271"/>
      <c r="F13" s="272"/>
      <c r="G13" s="175"/>
      <c r="H13" s="175"/>
      <c r="I13" s="175"/>
      <c r="J13" s="175"/>
    </row>
    <row r="14" spans="2:11" x14ac:dyDescent="0.25">
      <c r="B14" s="67" t="s">
        <v>44</v>
      </c>
      <c r="C14" s="67" t="s">
        <v>46</v>
      </c>
      <c r="D14" s="268">
        <v>437674.26659794984</v>
      </c>
      <c r="E14" s="267">
        <f>+E9</f>
        <v>0.97</v>
      </c>
      <c r="F14" s="268">
        <f>D14*E14</f>
        <v>424544.03860001132</v>
      </c>
      <c r="G14" s="175">
        <f>F14+(G9-F9)-((G9-F9)/2+F9)*'PERDIDAS y OTROS'!E$11</f>
        <v>468974.05061517947</v>
      </c>
      <c r="H14" s="175">
        <f>G14+(H9-G9)-((H9-G9)/2+G9)*'PERDIDAS y OTROS'!F$11</f>
        <v>542254.01591880107</v>
      </c>
      <c r="I14" s="175">
        <f>H14+(I9-H9)-((I9-H9)/2+H9)*'PERDIDAS y OTROS'!G$11</f>
        <v>601406.37602803472</v>
      </c>
      <c r="J14" s="175">
        <f>I14+(J9-I9)-((J9-I9)/2+I9)*'PERDIDAS y OTROS'!H$11</f>
        <v>643815.81574913219</v>
      </c>
      <c r="K14" s="47"/>
    </row>
    <row r="15" spans="2:11" x14ac:dyDescent="0.25">
      <c r="B15" s="67" t="s">
        <v>136</v>
      </c>
      <c r="C15" s="67" t="s">
        <v>45</v>
      </c>
      <c r="D15" s="268">
        <v>30145.056490040057</v>
      </c>
      <c r="E15" s="267">
        <f>+E9</f>
        <v>0.97</v>
      </c>
      <c r="F15" s="268">
        <f>D15*E15</f>
        <v>29240.704795338854</v>
      </c>
      <c r="G15" s="175">
        <f>F15+(G10-F10)-((G10-F10)/2+F10)*'PERDIDAS y OTROS'!E$12</f>
        <v>29751.746264149824</v>
      </c>
      <c r="H15" s="175">
        <f>G15+(H10-G10)-((H10-G10)/2+G10)*'PERDIDAS y OTROS'!F$12</f>
        <v>30401.161062474646</v>
      </c>
      <c r="I15" s="175">
        <f>H15+(I10-H10)-((I10-H10)/2+H10)*'PERDIDAS y OTROS'!G$12</f>
        <v>30988.441618348512</v>
      </c>
      <c r="J15" s="175">
        <f>I15+(J10-I10)-((J10-I10)/2+I10)*'PERDIDAS y OTROS'!H$12</f>
        <v>31507.180229221871</v>
      </c>
      <c r="K15" s="47"/>
    </row>
    <row r="16" spans="2:11" x14ac:dyDescent="0.25">
      <c r="B16" s="67" t="s">
        <v>143</v>
      </c>
      <c r="C16" s="67" t="s">
        <v>49</v>
      </c>
      <c r="D16" s="268">
        <v>24972.595112870607</v>
      </c>
      <c r="E16" s="267">
        <f>+E9</f>
        <v>0.97</v>
      </c>
      <c r="F16" s="268">
        <f>D16*E16</f>
        <v>24223.417259484489</v>
      </c>
      <c r="G16" s="175">
        <f>F16+(G11-F11)-((G11-F11)/2+F11)*'PERDIDAS y OTROS'!E$13</f>
        <v>26201.508805507223</v>
      </c>
      <c r="H16" s="175">
        <f>G16+(H11-G11)-((H11-G11)/2+G11)*'PERDIDAS y OTROS'!F$13</f>
        <v>31652.809814009957</v>
      </c>
      <c r="I16" s="175">
        <f>H16+(I11-H11)-((I11-H11)/2+H11)*'PERDIDAS y OTROS'!G$13</f>
        <v>36755.865121232695</v>
      </c>
      <c r="J16" s="175">
        <f>I16+(J11-I11)-((J11-I11)/2+I11)*'PERDIDAS y OTROS'!H$13</f>
        <v>40921.059326255432</v>
      </c>
      <c r="K16" s="47"/>
    </row>
    <row r="17" spans="2:11" x14ac:dyDescent="0.25">
      <c r="B17" s="179"/>
      <c r="C17" s="179"/>
      <c r="D17" s="269">
        <v>492791.9182008605</v>
      </c>
      <c r="E17" s="273"/>
      <c r="F17" s="270">
        <f>SUM(F14:F16)</f>
        <v>478008.16065483465</v>
      </c>
      <c r="G17" s="180"/>
      <c r="H17" s="180"/>
      <c r="I17" s="180"/>
      <c r="J17" s="180"/>
    </row>
    <row r="18" spans="2:11" x14ac:dyDescent="0.25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 x14ac:dyDescent="0.25">
      <c r="B19" s="79"/>
      <c r="C19" s="79"/>
      <c r="D19" s="181"/>
      <c r="E19" s="182"/>
      <c r="F19" s="182"/>
      <c r="G19" s="182"/>
      <c r="H19" s="182"/>
      <c r="I19" s="181"/>
      <c r="J19" s="181"/>
      <c r="K19" s="181"/>
    </row>
    <row r="20" spans="2:11" x14ac:dyDescent="0.25">
      <c r="E20" s="183"/>
    </row>
  </sheetData>
  <sheetProtection algorithmName="SHA-512" hashValue="5mXnZO/oJ8iLPzr4foTzxiLJxMoQtidQP3XFxxKMxZMoUR5+HQJJQ6afRTMjiB3fWht97zIFLKJZAKrJwbffiQ==" saltValue="8esy49y8kxa2dKNH5N/t6w==" spinCount="100000" sheet="1" objects="1" scenarios="1"/>
  <mergeCells count="1">
    <mergeCell ref="B7:C7"/>
  </mergeCells>
  <phoneticPr fontId="0" type="noConversion"/>
  <pageMargins left="0.74803149606299213" right="0.74803149606299213" top="0.62992125984251968" bottom="0.55118110236220474" header="0.39370078740157483" footer="0"/>
  <pageSetup scale="77" orientation="landscape" horizontalDpi="300" verticalDpi="300" r:id="rId1"/>
  <headerFooter alignWithMargins="0">
    <oddFooter xml:space="preserve">&amp;C&amp;A&amp;R.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H17"/>
  <sheetViews>
    <sheetView zoomScaleNormal="100" workbookViewId="0"/>
  </sheetViews>
  <sheetFormatPr baseColWidth="10" defaultColWidth="11.42578125" defaultRowHeight="15" x14ac:dyDescent="0.25"/>
  <cols>
    <col min="1" max="1" width="1.28515625" style="3" customWidth="1"/>
    <col min="2" max="2" width="50.42578125" style="3" customWidth="1"/>
    <col min="3" max="3" width="11.7109375" style="3" bestFit="1" customWidth="1"/>
    <col min="4" max="4" width="18.5703125" style="3" bestFit="1" customWidth="1"/>
    <col min="5" max="5" width="16.5703125" style="3" bestFit="1" customWidth="1"/>
    <col min="6" max="7" width="16.85546875" style="3" bestFit="1" customWidth="1"/>
    <col min="8" max="8" width="15" style="3" bestFit="1" customWidth="1"/>
    <col min="9" max="9" width="13.42578125" style="3" bestFit="1" customWidth="1"/>
    <col min="10" max="13" width="10.140625" style="3" bestFit="1" customWidth="1"/>
    <col min="14" max="16384" width="11.42578125" style="3"/>
  </cols>
  <sheetData>
    <row r="2" spans="2:8" x14ac:dyDescent="0.25">
      <c r="B2" s="44" t="s">
        <v>89</v>
      </c>
    </row>
    <row r="4" spans="2:8" x14ac:dyDescent="0.25">
      <c r="B4" s="11" t="s">
        <v>53</v>
      </c>
    </row>
    <row r="6" spans="2:8" ht="23.25" customHeight="1" x14ac:dyDescent="0.25">
      <c r="B6" s="348" t="s">
        <v>146</v>
      </c>
      <c r="C6" s="349"/>
      <c r="D6" s="274" t="s">
        <v>54</v>
      </c>
      <c r="E6" s="274" t="s">
        <v>155</v>
      </c>
      <c r="F6" s="274" t="s">
        <v>156</v>
      </c>
      <c r="G6" s="274" t="s">
        <v>157</v>
      </c>
      <c r="H6" s="275" t="s">
        <v>158</v>
      </c>
    </row>
    <row r="7" spans="2:8" x14ac:dyDescent="0.25">
      <c r="B7" s="184"/>
      <c r="C7" s="184"/>
      <c r="D7" s="185"/>
      <c r="E7" s="186"/>
      <c r="F7" s="186"/>
      <c r="G7" s="186"/>
      <c r="H7" s="186"/>
    </row>
    <row r="8" spans="2:8" x14ac:dyDescent="0.25">
      <c r="B8" s="187" t="s">
        <v>31</v>
      </c>
      <c r="C8" s="188" t="s">
        <v>30</v>
      </c>
      <c r="D8" s="189" t="s">
        <v>105</v>
      </c>
      <c r="E8" s="190">
        <v>130.90230884075933</v>
      </c>
      <c r="F8" s="190">
        <v>136.45312046775479</v>
      </c>
      <c r="G8" s="190">
        <v>122.97414708676817</v>
      </c>
      <c r="H8" s="190">
        <v>116.5308731396828</v>
      </c>
    </row>
    <row r="9" spans="2:8" x14ac:dyDescent="0.25">
      <c r="B9" s="137" t="s">
        <v>137</v>
      </c>
      <c r="C9" s="189" t="s">
        <v>1</v>
      </c>
      <c r="D9" s="189" t="s">
        <v>0</v>
      </c>
      <c r="E9" s="191">
        <f>+REGRESIONES!D89</f>
        <v>7.6611601110697106E-2</v>
      </c>
      <c r="F9" s="191">
        <f>+REGRESIONES!E89</f>
        <v>7.6603394687713738E-2</v>
      </c>
      <c r="G9" s="191">
        <f>+REGRESIONES!F89</f>
        <v>7.6595180307997598E-2</v>
      </c>
      <c r="H9" s="191">
        <f>+REGRESIONES!G89</f>
        <v>7.6586957698304911E-2</v>
      </c>
    </row>
    <row r="10" spans="2:8" x14ac:dyDescent="0.25">
      <c r="B10" s="137" t="s">
        <v>139</v>
      </c>
      <c r="C10" s="189" t="s">
        <v>1</v>
      </c>
      <c r="D10" s="189" t="s">
        <v>0</v>
      </c>
      <c r="E10" s="191">
        <f>1.19%*0.6</f>
        <v>7.1399999999999988E-3</v>
      </c>
      <c r="F10" s="191">
        <f t="shared" ref="F10:H10" si="0">1.19%*0.6</f>
        <v>7.1399999999999988E-3</v>
      </c>
      <c r="G10" s="191">
        <f t="shared" si="0"/>
        <v>7.1399999999999988E-3</v>
      </c>
      <c r="H10" s="191">
        <f t="shared" si="0"/>
        <v>7.1399999999999988E-3</v>
      </c>
    </row>
    <row r="11" spans="2:8" x14ac:dyDescent="0.25">
      <c r="B11" s="137" t="s">
        <v>84</v>
      </c>
      <c r="C11" s="189" t="s">
        <v>29</v>
      </c>
      <c r="D11" s="189" t="s">
        <v>0</v>
      </c>
      <c r="E11" s="191">
        <v>0.03</v>
      </c>
      <c r="F11" s="191">
        <v>0.03</v>
      </c>
      <c r="G11" s="191">
        <v>0.03</v>
      </c>
      <c r="H11" s="191">
        <v>0.03</v>
      </c>
    </row>
    <row r="12" spans="2:8" x14ac:dyDescent="0.25">
      <c r="B12" s="137" t="s">
        <v>85</v>
      </c>
      <c r="C12" s="189" t="s">
        <v>29</v>
      </c>
      <c r="D12" s="189" t="s">
        <v>0</v>
      </c>
      <c r="E12" s="191">
        <v>5.1799999999999999E-2</v>
      </c>
      <c r="F12" s="191">
        <v>5.1799999999999999E-2</v>
      </c>
      <c r="G12" s="191">
        <v>5.1799999999999999E-2</v>
      </c>
      <c r="H12" s="191">
        <v>5.1799999999999999E-2</v>
      </c>
    </row>
    <row r="13" spans="2:8" x14ac:dyDescent="0.25">
      <c r="B13" s="137" t="s">
        <v>86</v>
      </c>
      <c r="C13" s="189" t="s">
        <v>29</v>
      </c>
      <c r="D13" s="189" t="s">
        <v>0</v>
      </c>
      <c r="E13" s="191">
        <v>3.3000000000000002E-2</v>
      </c>
      <c r="F13" s="191">
        <v>3.3000000000000002E-2</v>
      </c>
      <c r="G13" s="191">
        <v>3.3000000000000002E-2</v>
      </c>
      <c r="H13" s="191">
        <v>3.3000000000000002E-2</v>
      </c>
    </row>
    <row r="14" spans="2:8" x14ac:dyDescent="0.25">
      <c r="B14" s="137" t="s">
        <v>50</v>
      </c>
      <c r="C14" s="189" t="s">
        <v>51</v>
      </c>
      <c r="D14" s="189" t="s">
        <v>103</v>
      </c>
      <c r="E14" s="190">
        <f>ALUMPU!D12</f>
        <v>1097.46</v>
      </c>
      <c r="F14" s="190">
        <f>ALUMPU!E12</f>
        <v>1158.0880500000001</v>
      </c>
      <c r="G14" s="190">
        <f>ALUMPU!F12</f>
        <v>1240.1928</v>
      </c>
      <c r="H14" s="190">
        <f>ALUMPU!G12</f>
        <v>1322.1967500000001</v>
      </c>
    </row>
    <row r="15" spans="2:8" x14ac:dyDescent="0.25">
      <c r="B15" s="192"/>
      <c r="C15" s="192"/>
      <c r="D15" s="192"/>
      <c r="E15" s="193"/>
      <c r="F15" s="193"/>
      <c r="G15" s="193"/>
      <c r="H15" s="193"/>
    </row>
    <row r="17" spans="2:8" x14ac:dyDescent="0.25">
      <c r="B17" s="11"/>
      <c r="E17" s="57"/>
      <c r="F17" s="57"/>
      <c r="G17" s="57"/>
      <c r="H17" s="57"/>
    </row>
  </sheetData>
  <sheetProtection algorithmName="SHA-512" hashValue="tXRqvAF6F4Zik6JTXp5LrGwOxIgx3i/+Pm8RkWHmmowOcEj2CxTCkvCWoEQmGQrB2FyG3m0a03xRthPk9AT2TA==" saltValue="LSOyqwQ9dZ6Iun/dz4D8CA==" spinCount="100000" sheet="1" objects="1" scenarios="1"/>
  <mergeCells count="1">
    <mergeCell ref="B6:C6"/>
  </mergeCells>
  <phoneticPr fontId="0" type="noConversion"/>
  <pageMargins left="0.74803149606299213" right="0.74803149606299213" top="0.62992125984251968" bottom="0.55118110236220474" header="0.39370078740157483" footer="0"/>
  <pageSetup scale="83" orientation="landscape" horizontalDpi="300" verticalDpi="300" r:id="rId1"/>
  <headerFooter alignWithMargins="0">
    <oddFooter xml:space="preserve">&amp;C&amp;A&amp;R.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IMP-RESUMEN</vt:lpstr>
      <vt:lpstr>IMPD</vt:lpstr>
      <vt:lpstr>IMPCO</vt:lpstr>
      <vt:lpstr>ALUMPU</vt:lpstr>
      <vt:lpstr>DEMANDA</vt:lpstr>
      <vt:lpstr>REGRESIONES</vt:lpstr>
      <vt:lpstr>INVERSIONES</vt:lpstr>
      <vt:lpstr>ACTIVOS</vt:lpstr>
      <vt:lpstr>PERDIDAS y OTROS</vt:lpstr>
      <vt:lpstr>RETORNO</vt:lpstr>
    </vt:vector>
  </TitlesOfParts>
  <Company>Mercados Energeticos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JennyDL</cp:lastModifiedBy>
  <cp:lastPrinted>2018-09-26T19:14:48Z</cp:lastPrinted>
  <dcterms:created xsi:type="dcterms:W3CDTF">2001-07-13T14:01:29Z</dcterms:created>
  <dcterms:modified xsi:type="dcterms:W3CDTF">2018-09-26T19:15:56Z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228361105</vt:i4>
  </property>
  <property fmtid="{D5CDD505-2E9C-101B-9397-08002B2CF9AE}" pid="3" name="_EmailSubject">
    <vt:lpwstr>IMP</vt:lpwstr>
  </property>
  <property fmtid="{D5CDD505-2E9C-101B-9397-08002B2CF9AE}" pid="4" name="_AuthorEmailDisplayName">
    <vt:lpwstr>Jenny de Da Lorenzo</vt:lpwstr>
  </property>
  <property fmtid="{D5CDD505-2E9C-101B-9397-08002B2CF9AE}" pid="5" name="_ReviewingToolsShownOnce">
    <vt:lpwstr/>
  </property>
</Properties>
</file>