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DL\Documents\D\Ente Regulador\ESTUDIOS DE DISTRIBUCION 2018-2022\CONSULTA PÚBLICA  - IMP\EDECHI\"/>
    </mc:Choice>
  </mc:AlternateContent>
  <bookViews>
    <workbookView xWindow="0" yWindow="0" windowWidth="21975" windowHeight="10425" tabRatio="616"/>
  </bookViews>
  <sheets>
    <sheet name="IMP-RESUMEN" sheetId="7" r:id="rId1"/>
    <sheet name="IMPD" sheetId="2" r:id="rId2"/>
    <sheet name="IMPCO" sheetId="3" r:id="rId3"/>
    <sheet name="ALUMPU" sheetId="4" r:id="rId4"/>
    <sheet name="DEMANDA" sheetId="12" r:id="rId5"/>
    <sheet name="REGRESIONES" sheetId="17" r:id="rId6"/>
    <sheet name="INVERSIONES" sheetId="10" r:id="rId7"/>
    <sheet name="ACTIVOS" sheetId="8" r:id="rId8"/>
    <sheet name="PERDIDAS y OTROS" sheetId="11" r:id="rId9"/>
    <sheet name="RETORNO" sheetId="14" r:id="rId10"/>
  </sheets>
  <calcPr calcId="152511" iterate="1"/>
</workbook>
</file>

<file path=xl/calcChain.xml><?xml version="1.0" encoding="utf-8"?>
<calcChain xmlns="http://schemas.openxmlformats.org/spreadsheetml/2006/main">
  <c r="U16" i="10" l="1"/>
  <c r="U17" i="10"/>
  <c r="O21" i="10"/>
  <c r="P21" i="10"/>
  <c r="Q21" i="10"/>
  <c r="R21" i="10"/>
  <c r="S21" i="10"/>
  <c r="T21" i="10"/>
  <c r="M21" i="10"/>
  <c r="N21" i="10"/>
  <c r="D15" i="10" s="1"/>
  <c r="D44" i="17" l="1"/>
  <c r="D43" i="17"/>
  <c r="D42" i="17"/>
  <c r="D41" i="17"/>
  <c r="D40" i="17"/>
  <c r="G14" i="14" l="1"/>
  <c r="G13" i="14"/>
  <c r="E8" i="12"/>
  <c r="F8" i="12" s="1"/>
  <c r="G8" i="12" s="1"/>
  <c r="H8" i="12" s="1"/>
  <c r="E13" i="12"/>
  <c r="F13" i="12" s="1"/>
  <c r="G13" i="12" s="1"/>
  <c r="H13" i="12" s="1"/>
  <c r="E12" i="12"/>
  <c r="F12" i="12" s="1"/>
  <c r="G12" i="12" s="1"/>
  <c r="H12" i="12" s="1"/>
  <c r="E23" i="4" l="1"/>
  <c r="F23" i="4" s="1"/>
  <c r="G23" i="4" s="1"/>
  <c r="H23" i="4" s="1"/>
  <c r="G24" i="10"/>
  <c r="F24" i="10"/>
  <c r="E24" i="10"/>
  <c r="D24" i="10"/>
  <c r="G23" i="10"/>
  <c r="F23" i="10"/>
  <c r="E23" i="10"/>
  <c r="D23" i="10"/>
  <c r="G22" i="10"/>
  <c r="F22" i="10"/>
  <c r="E22" i="10"/>
  <c r="D22" i="10"/>
  <c r="D10" i="10" s="1"/>
  <c r="U55" i="10"/>
  <c r="U54" i="10"/>
  <c r="U53" i="10"/>
  <c r="U52" i="10"/>
  <c r="U51" i="10"/>
  <c r="U50" i="10"/>
  <c r="U49" i="10"/>
  <c r="U48" i="10"/>
  <c r="U47" i="10"/>
  <c r="U41" i="10"/>
  <c r="U40" i="10"/>
  <c r="U39" i="10"/>
  <c r="U38" i="10"/>
  <c r="U37" i="10"/>
  <c r="U36" i="10"/>
  <c r="U35" i="10"/>
  <c r="U34" i="10"/>
  <c r="U33" i="10"/>
  <c r="G17" i="10"/>
  <c r="F17" i="10"/>
  <c r="E17" i="10"/>
  <c r="D17" i="10"/>
  <c r="G16" i="10"/>
  <c r="F16" i="10"/>
  <c r="E16" i="10"/>
  <c r="D16" i="10"/>
  <c r="D41" i="10" s="1"/>
  <c r="U27" i="10" l="1"/>
  <c r="U26" i="10"/>
  <c r="U20" i="10"/>
  <c r="U19" i="10"/>
  <c r="U18" i="10"/>
  <c r="U21" i="10" s="1"/>
  <c r="G15" i="10"/>
  <c r="T11" i="10"/>
  <c r="S11" i="10"/>
  <c r="R11" i="10"/>
  <c r="Q11" i="10"/>
  <c r="P11" i="10"/>
  <c r="O11" i="10"/>
  <c r="M11" i="10"/>
  <c r="N11" i="10"/>
  <c r="U6" i="10"/>
  <c r="U7" i="10"/>
  <c r="U8" i="10"/>
  <c r="U9" i="10"/>
  <c r="U10" i="10"/>
  <c r="U5" i="10"/>
  <c r="G14" i="10" l="1"/>
  <c r="G40" i="10" s="1"/>
  <c r="F15" i="10"/>
  <c r="F14" i="10"/>
  <c r="D14" i="10"/>
  <c r="E14" i="10"/>
  <c r="E15" i="10"/>
  <c r="U11" i="10"/>
  <c r="D40" i="10" l="1"/>
  <c r="I12" i="12" l="1"/>
  <c r="G25" i="10" l="1"/>
  <c r="F25" i="10"/>
  <c r="E25" i="10"/>
  <c r="D25" i="10"/>
  <c r="H25" i="10" l="1"/>
  <c r="I13" i="12" l="1"/>
  <c r="F10" i="10" l="1"/>
  <c r="G10" i="10"/>
  <c r="E10" i="10"/>
  <c r="E40" i="10" l="1"/>
  <c r="F40" i="10"/>
  <c r="H15" i="10" l="1"/>
  <c r="D7" i="12"/>
  <c r="H14" i="10" l="1"/>
  <c r="I8" i="12" l="1"/>
  <c r="E20" i="17"/>
  <c r="F20" i="17"/>
  <c r="G20" i="17"/>
  <c r="H20" i="17"/>
  <c r="D20" i="17"/>
  <c r="G32" i="17" l="1"/>
  <c r="G62" i="17" s="1"/>
  <c r="G31" i="17"/>
  <c r="G61" i="17" s="1"/>
  <c r="G29" i="17"/>
  <c r="G59" i="17" s="1"/>
  <c r="E32" i="17"/>
  <c r="E62" i="17" s="1"/>
  <c r="E31" i="17"/>
  <c r="E61" i="17" s="1"/>
  <c r="E29" i="17"/>
  <c r="E59" i="17" s="1"/>
  <c r="F32" i="17"/>
  <c r="F62" i="17" s="1"/>
  <c r="F31" i="17"/>
  <c r="F61" i="17" s="1"/>
  <c r="F29" i="17"/>
  <c r="F59" i="17" s="1"/>
  <c r="C29" i="17"/>
  <c r="C59" i="17" s="1"/>
  <c r="C32" i="17"/>
  <c r="C62" i="17" s="1"/>
  <c r="C31" i="17"/>
  <c r="C61" i="17" s="1"/>
  <c r="D32" i="17"/>
  <c r="D62" i="17" s="1"/>
  <c r="D31" i="17"/>
  <c r="D61" i="17" s="1"/>
  <c r="D29" i="17"/>
  <c r="D59" i="17" s="1"/>
  <c r="D6" i="12"/>
  <c r="D18" i="17" l="1"/>
  <c r="C28" i="17"/>
  <c r="C58" i="17" s="1"/>
  <c r="C30" i="17"/>
  <c r="C60" i="17" s="1"/>
  <c r="H16" i="10"/>
  <c r="H41" i="10" s="1"/>
  <c r="E41" i="10"/>
  <c r="F41" i="10"/>
  <c r="G41" i="10"/>
  <c r="D10" i="12" l="1"/>
  <c r="D9" i="12" l="1"/>
  <c r="D11" i="4" l="1"/>
  <c r="G88" i="17"/>
  <c r="G89" i="17" s="1"/>
  <c r="H9" i="11" s="1"/>
  <c r="F88" i="17"/>
  <c r="F89" i="17" s="1"/>
  <c r="G9" i="11" s="1"/>
  <c r="E88" i="17"/>
  <c r="E89" i="17" s="1"/>
  <c r="F9" i="11" s="1"/>
  <c r="D88" i="17"/>
  <c r="D89" i="17" s="1"/>
  <c r="C88" i="17"/>
  <c r="C89" i="17" s="1"/>
  <c r="C47" i="17"/>
  <c r="D47" i="17" s="1"/>
  <c r="E47" i="17" s="1"/>
  <c r="F47" i="17" s="1"/>
  <c r="G47" i="17" s="1"/>
  <c r="G14" i="12" l="1"/>
  <c r="G7" i="12" s="1"/>
  <c r="H14" i="12"/>
  <c r="H7" i="12" s="1"/>
  <c r="F14" i="12"/>
  <c r="F7" i="12" s="1"/>
  <c r="E9" i="11"/>
  <c r="C72" i="17"/>
  <c r="G72" i="17"/>
  <c r="C71" i="17"/>
  <c r="F72" i="17"/>
  <c r="E72" i="17"/>
  <c r="H17" i="10"/>
  <c r="H40" i="10" s="1"/>
  <c r="C66" i="17"/>
  <c r="D72" i="17"/>
  <c r="C67" i="17"/>
  <c r="E9" i="10" l="1"/>
  <c r="E30" i="10" s="1"/>
  <c r="D9" i="10"/>
  <c r="D30" i="10" s="1"/>
  <c r="F9" i="10"/>
  <c r="F30" i="10" s="1"/>
  <c r="G9" i="10"/>
  <c r="G30" i="10" s="1"/>
  <c r="H6" i="12"/>
  <c r="G16" i="2"/>
  <c r="G18" i="2" s="1"/>
  <c r="F6" i="12"/>
  <c r="E16" i="2"/>
  <c r="E18" i="2" s="1"/>
  <c r="G6" i="12"/>
  <c r="F16" i="2"/>
  <c r="F18" i="2" s="1"/>
  <c r="E14" i="12"/>
  <c r="E7" i="12" s="1"/>
  <c r="C74" i="17"/>
  <c r="C68" i="17"/>
  <c r="H9" i="10" l="1"/>
  <c r="H30" i="10" s="1"/>
  <c r="F18" i="17"/>
  <c r="D16" i="2"/>
  <c r="D18" i="2" s="1"/>
  <c r="G18" i="17"/>
  <c r="H18" i="17"/>
  <c r="G30" i="17" s="1"/>
  <c r="G60" i="17" s="1"/>
  <c r="G63" i="17" s="1"/>
  <c r="E30" i="17"/>
  <c r="E60" i="17" s="1"/>
  <c r="E63" i="17" s="1"/>
  <c r="E28" i="17"/>
  <c r="E58" i="17" s="1"/>
  <c r="F30" i="17"/>
  <c r="F60" i="17" s="1"/>
  <c r="F63" i="17" s="1"/>
  <c r="F28" i="17"/>
  <c r="F58" i="17" s="1"/>
  <c r="E6" i="12"/>
  <c r="I7" i="12"/>
  <c r="C16" i="7"/>
  <c r="D16" i="7"/>
  <c r="E16" i="7"/>
  <c r="F16" i="7"/>
  <c r="F9" i="8"/>
  <c r="F14" i="8"/>
  <c r="F10" i="8"/>
  <c r="F15" i="8"/>
  <c r="F16" i="8"/>
  <c r="F11" i="8"/>
  <c r="E14" i="11"/>
  <c r="E11" i="4"/>
  <c r="F14" i="11" s="1"/>
  <c r="F11" i="4"/>
  <c r="G14" i="11" s="1"/>
  <c r="G11" i="4"/>
  <c r="H14" i="11" s="1"/>
  <c r="I6" i="12"/>
  <c r="F12" i="2" l="1"/>
  <c r="E11" i="3"/>
  <c r="E12" i="2"/>
  <c r="G11" i="2"/>
  <c r="G11" i="3"/>
  <c r="E11" i="2"/>
  <c r="G28" i="17"/>
  <c r="G58" i="17" s="1"/>
  <c r="E66" i="17"/>
  <c r="E18" i="17"/>
  <c r="D28" i="17" s="1"/>
  <c r="D58" i="17" s="1"/>
  <c r="F66" i="17"/>
  <c r="F71" i="17"/>
  <c r="E67" i="17"/>
  <c r="H10" i="10"/>
  <c r="F12" i="8"/>
  <c r="F17" i="8"/>
  <c r="G11" i="8"/>
  <c r="D17" i="7"/>
  <c r="D28" i="7" s="1"/>
  <c r="E17" i="7"/>
  <c r="E28" i="7" s="1"/>
  <c r="F17" i="7"/>
  <c r="C11" i="7"/>
  <c r="D11" i="7"/>
  <c r="E11" i="7"/>
  <c r="F11" i="7"/>
  <c r="C17" i="7"/>
  <c r="F8" i="10" l="1"/>
  <c r="F29" i="10" s="1"/>
  <c r="F31" i="10" s="1"/>
  <c r="F11" i="2"/>
  <c r="F11" i="3"/>
  <c r="E68" i="17"/>
  <c r="F74" i="17"/>
  <c r="G71" i="17"/>
  <c r="G66" i="17"/>
  <c r="D30" i="17"/>
  <c r="D60" i="17" s="1"/>
  <c r="D63" i="17" s="1"/>
  <c r="G74" i="17"/>
  <c r="F67" i="17"/>
  <c r="F68" i="17" s="1"/>
  <c r="G12" i="2"/>
  <c r="G67" i="17"/>
  <c r="D66" i="17"/>
  <c r="D71" i="17"/>
  <c r="E71" i="17"/>
  <c r="H11" i="8"/>
  <c r="I11" i="8" s="1"/>
  <c r="G16" i="8"/>
  <c r="E24" i="7"/>
  <c r="F24" i="7"/>
  <c r="D24" i="7"/>
  <c r="D10" i="4"/>
  <c r="F28" i="7"/>
  <c r="C28" i="7"/>
  <c r="F11" i="10"/>
  <c r="G10" i="8"/>
  <c r="G15" i="8" s="1"/>
  <c r="G8" i="10" l="1"/>
  <c r="D8" i="10"/>
  <c r="D29" i="10" s="1"/>
  <c r="D31" i="10" s="1"/>
  <c r="D11" i="2"/>
  <c r="G68" i="17"/>
  <c r="G11" i="10"/>
  <c r="G29" i="10"/>
  <c r="G31" i="10" s="1"/>
  <c r="E8" i="10"/>
  <c r="E74" i="17"/>
  <c r="D74" i="17"/>
  <c r="H16" i="8"/>
  <c r="I16" i="8" s="1"/>
  <c r="E10" i="4"/>
  <c r="D9" i="4"/>
  <c r="D40" i="7"/>
  <c r="F10" i="4"/>
  <c r="J11" i="8"/>
  <c r="G10" i="4" s="1"/>
  <c r="H10" i="8"/>
  <c r="H15" i="8" s="1"/>
  <c r="D10" i="3"/>
  <c r="D12" i="2" l="1"/>
  <c r="D11" i="3"/>
  <c r="E11" i="10"/>
  <c r="E29" i="10"/>
  <c r="E31" i="10" s="1"/>
  <c r="D67" i="17"/>
  <c r="D68" i="17" s="1"/>
  <c r="G9" i="8"/>
  <c r="D10" i="2" s="1"/>
  <c r="D11" i="10"/>
  <c r="H8" i="10"/>
  <c r="H29" i="10" s="1"/>
  <c r="H31" i="10" s="1"/>
  <c r="D13" i="4"/>
  <c r="C10" i="7" s="1"/>
  <c r="J16" i="8"/>
  <c r="G9" i="4" s="1"/>
  <c r="G13" i="4" s="1"/>
  <c r="E9" i="4"/>
  <c r="E13" i="4" s="1"/>
  <c r="E10" i="3"/>
  <c r="I10" i="8"/>
  <c r="I15" i="8" s="1"/>
  <c r="F9" i="4"/>
  <c r="F13" i="4" s="1"/>
  <c r="D9" i="3"/>
  <c r="D13" i="3" s="1"/>
  <c r="C9" i="7" s="1"/>
  <c r="H11" i="10" l="1"/>
  <c r="G14" i="8"/>
  <c r="D9" i="2" s="1"/>
  <c r="D14" i="2" s="1"/>
  <c r="D20" i="2" s="1"/>
  <c r="H9" i="8"/>
  <c r="E10" i="2" s="1"/>
  <c r="D10" i="7"/>
  <c r="D23" i="7" s="1"/>
  <c r="E10" i="7"/>
  <c r="E23" i="7" s="1"/>
  <c r="F10" i="7"/>
  <c r="F23" i="7" s="1"/>
  <c r="F10" i="3"/>
  <c r="J10" i="8"/>
  <c r="E9" i="3"/>
  <c r="E13" i="3" s="1"/>
  <c r="D9" i="7" s="1"/>
  <c r="D22" i="7" s="1"/>
  <c r="C8" i="7" l="1"/>
  <c r="H14" i="8"/>
  <c r="E9" i="2" s="1"/>
  <c r="E14" i="2" s="1"/>
  <c r="E20" i="2" s="1"/>
  <c r="I9" i="8"/>
  <c r="F10" i="2" s="1"/>
  <c r="G10" i="3"/>
  <c r="J15" i="8"/>
  <c r="G9" i="3" s="1"/>
  <c r="F9" i="3"/>
  <c r="F13" i="3" s="1"/>
  <c r="E9" i="7" s="1"/>
  <c r="E22" i="7" s="1"/>
  <c r="I14" i="8" l="1"/>
  <c r="F9" i="2" s="1"/>
  <c r="F14" i="2" s="1"/>
  <c r="F20" i="2" s="1"/>
  <c r="J9" i="8"/>
  <c r="G10" i="2" s="1"/>
  <c r="G13" i="3"/>
  <c r="F9" i="7" s="1"/>
  <c r="F22" i="7" s="1"/>
  <c r="D8" i="7" l="1"/>
  <c r="J14" i="8"/>
  <c r="G9" i="2" s="1"/>
  <c r="G14" i="2" s="1"/>
  <c r="G20" i="2" s="1"/>
  <c r="E8" i="7" l="1"/>
  <c r="F8" i="7"/>
  <c r="D21" i="7"/>
  <c r="D14" i="7"/>
  <c r="D26" i="7" l="1"/>
  <c r="F21" i="7"/>
  <c r="F26" i="7" s="1"/>
  <c r="F14" i="7"/>
  <c r="E21" i="7"/>
  <c r="E26" i="7" s="1"/>
  <c r="E14" i="7"/>
  <c r="C24" i="7" l="1"/>
  <c r="D38" i="7" s="1"/>
  <c r="C23" i="7"/>
  <c r="D36" i="7" s="1"/>
  <c r="C21" i="7"/>
  <c r="C22" i="7"/>
  <c r="D35" i="7" s="1"/>
  <c r="C14" i="7"/>
  <c r="D34" i="7" l="1"/>
  <c r="C26" i="7"/>
  <c r="D37" i="7" l="1"/>
  <c r="D39" i="7"/>
  <c r="D41" i="7" s="1"/>
  <c r="D42" i="7" s="1"/>
</calcChain>
</file>

<file path=xl/comments1.xml><?xml version="1.0" encoding="utf-8"?>
<comments xmlns="http://schemas.openxmlformats.org/spreadsheetml/2006/main">
  <authors>
    <author>Mariana Alvarez Guerrero</author>
  </authors>
  <commentList>
    <comment ref="A48" authorId="0" shapeId="0">
      <text>
        <r>
          <rPr>
            <b/>
            <sz val="9"/>
            <color indexed="81"/>
            <rFont val="Tahoma"/>
            <family val="2"/>
          </rPr>
          <t>Mariana Alvarez Guerrero:</t>
        </r>
        <r>
          <rPr>
            <sz val="9"/>
            <color indexed="81"/>
            <rFont val="Tahoma"/>
            <family val="2"/>
          </rPr>
          <t xml:space="preserve">
Fuente: IMF
http://www.imf.org/external/data.htm</t>
        </r>
      </text>
    </comment>
  </commentList>
</comments>
</file>

<file path=xl/sharedStrings.xml><?xml version="1.0" encoding="utf-8"?>
<sst xmlns="http://schemas.openxmlformats.org/spreadsheetml/2006/main" count="466" uniqueCount="246">
  <si>
    <t>%</t>
  </si>
  <si>
    <t>PD%</t>
  </si>
  <si>
    <t>IMPULSORES DE COSTOS</t>
  </si>
  <si>
    <t>Demanda Máxima</t>
  </si>
  <si>
    <t>Clientes</t>
  </si>
  <si>
    <t>Rentabilidad sobre Activos</t>
  </si>
  <si>
    <t>Depreciación</t>
  </si>
  <si>
    <t>Operación y Mantenimiento</t>
  </si>
  <si>
    <t>Administración</t>
  </si>
  <si>
    <t>ALUMBRADO PÚBLICO</t>
  </si>
  <si>
    <t>MWh</t>
  </si>
  <si>
    <t>IPPD</t>
  </si>
  <si>
    <t>COMERCIALIZACION</t>
  </si>
  <si>
    <t>ALUMPU</t>
  </si>
  <si>
    <t>IMPD</t>
  </si>
  <si>
    <t>IMPCO</t>
  </si>
  <si>
    <t>IMP</t>
  </si>
  <si>
    <t>ACTIVOS TARIFARIOS PERMITIDOS</t>
  </si>
  <si>
    <t>INVERSIONES</t>
  </si>
  <si>
    <t>TOTAL INVERSIONES</t>
  </si>
  <si>
    <t>DISTRIBUCIÓN</t>
  </si>
  <si>
    <t>COM</t>
  </si>
  <si>
    <t>Nº clientes</t>
  </si>
  <si>
    <t>AD</t>
  </si>
  <si>
    <t>AC</t>
  </si>
  <si>
    <t>ADM</t>
  </si>
  <si>
    <t>Constante</t>
  </si>
  <si>
    <t>OM</t>
  </si>
  <si>
    <t>BCDN * RR</t>
  </si>
  <si>
    <t>BCD * DEP%</t>
  </si>
  <si>
    <t>IPSD</t>
  </si>
  <si>
    <t>(PD%) * MWhD * CMM</t>
  </si>
  <si>
    <t>DEP%</t>
  </si>
  <si>
    <t>CMM</t>
  </si>
  <si>
    <t>Costo de la Energía en Mercado Mayorista</t>
  </si>
  <si>
    <t>BCNC * RR</t>
  </si>
  <si>
    <t>BCC * DEP%</t>
  </si>
  <si>
    <t>Comercialización</t>
  </si>
  <si>
    <t>ACTNalum * RR</t>
  </si>
  <si>
    <t>ACTalum * DEP%</t>
  </si>
  <si>
    <t>OMalum</t>
  </si>
  <si>
    <t>ID</t>
  </si>
  <si>
    <t>IC</t>
  </si>
  <si>
    <t>Distribución</t>
  </si>
  <si>
    <t>RETORNO SOBRE CAPITAL DISTRIBUCION</t>
  </si>
  <si>
    <t>BCD</t>
  </si>
  <si>
    <t>BCC</t>
  </si>
  <si>
    <t>Valor Neto Base Capital Distribución</t>
  </si>
  <si>
    <t>BCNC</t>
  </si>
  <si>
    <t>BCND</t>
  </si>
  <si>
    <t>BASE DE CAPITAL</t>
  </si>
  <si>
    <t>ACTalum</t>
  </si>
  <si>
    <t>ACTN alum</t>
  </si>
  <si>
    <t>Operación y Mantenimiento de AP</t>
  </si>
  <si>
    <t>O&amp;Malum</t>
  </si>
  <si>
    <t>IAP</t>
  </si>
  <si>
    <t>PERDIDAS Y OTROS DATOS</t>
  </si>
  <si>
    <t>UNIDADES</t>
  </si>
  <si>
    <t>DEM/CLIENTE</t>
  </si>
  <si>
    <t>ENERGIA-AÑO/CLIENTE</t>
  </si>
  <si>
    <t>KW/CL</t>
  </si>
  <si>
    <t>CREC.a.a.</t>
  </si>
  <si>
    <t>BASE</t>
  </si>
  <si>
    <t>TOTALES</t>
  </si>
  <si>
    <t>MWh/CL</t>
  </si>
  <si>
    <t>AJUSTE ACTNOREG</t>
  </si>
  <si>
    <t>B. REFERENCIAL</t>
  </si>
  <si>
    <t>MWH</t>
  </si>
  <si>
    <t xml:space="preserve"> </t>
  </si>
  <si>
    <t>Factor de Descuento</t>
  </si>
  <si>
    <t>Factor de Descuento Aplicado</t>
  </si>
  <si>
    <t>MW</t>
  </si>
  <si>
    <t>En miles de Balboas</t>
  </si>
  <si>
    <t>Alumbrado Público</t>
  </si>
  <si>
    <t>Concepto</t>
  </si>
  <si>
    <t>Valor</t>
  </si>
  <si>
    <t>Tasa Libre de Riesgo</t>
  </si>
  <si>
    <t>Beta Equity Panama</t>
  </si>
  <si>
    <t>Prima Riesgo Mercado</t>
  </si>
  <si>
    <t>Tasa Endeudamiento antes de Impuesto</t>
  </si>
  <si>
    <t>Tasa Endeudamiento despues de Impuesto</t>
  </si>
  <si>
    <t>D/(D+E)</t>
  </si>
  <si>
    <t>E/(D+E)</t>
  </si>
  <si>
    <t>WACC Nominal despues de Impuestos</t>
  </si>
  <si>
    <t>WACC Nominal antes de Impuestos</t>
  </si>
  <si>
    <t>Cantidad de luminarias al 30/6</t>
  </si>
  <si>
    <t>Costo O&amp;M por luminaria [B/. /año]</t>
  </si>
  <si>
    <t>A. RESOLUCIÓN ASEP</t>
  </si>
  <si>
    <t>Depreciaciones Activos de Distribución</t>
  </si>
  <si>
    <t>Depreciaciones Activos de Comercialización</t>
  </si>
  <si>
    <t>Depreciaciones Activos de AP</t>
  </si>
  <si>
    <t>DETALLE</t>
  </si>
  <si>
    <t>Estas inversiones se agregan a las que resultan de las ecuaciones de eficiencia</t>
  </si>
  <si>
    <t>Inversiones totales en Alumbrado Público</t>
  </si>
  <si>
    <t>Energía Facturada (MWh) sin incluir AP</t>
  </si>
  <si>
    <t>Considerando Inversiones para Soterramiento</t>
  </si>
  <si>
    <t>SI</t>
  </si>
  <si>
    <t>SUB-TOTAL</t>
  </si>
  <si>
    <t>IMP TOTAL</t>
  </si>
  <si>
    <t>(1) Las pérdidas estándar de energía se han fijado conforme a las ecuaciones de eficiencia, no obstante, el monto (en B/.) es un valor de referencia.</t>
  </si>
  <si>
    <t xml:space="preserve"> El mismo se revisa semestralmente, según varía el costo real de la energía.</t>
  </si>
  <si>
    <t>Miles de B/.</t>
  </si>
  <si>
    <t>B/./MWh</t>
  </si>
  <si>
    <t>VALOR PRESENTE NETO - INGRESO MÁXIMO PERMITIDO</t>
  </si>
  <si>
    <t>VPN DEL INGRESO MÁXIMO PERMITIDO</t>
  </si>
  <si>
    <t>INGRESO MÁXIMO PERMITIDO = IMP</t>
  </si>
  <si>
    <t>INGRESO MÁXIMO PERMITIDO POR DISTRIBUCIÓN = IMPD</t>
  </si>
  <si>
    <t>Miles de Balboas</t>
  </si>
  <si>
    <t>INGRESO MÁXIMO PERMITIDO POR ALUMBRADO PÚBLICO = ALUMPU</t>
  </si>
  <si>
    <t>Balboas/MWh</t>
  </si>
  <si>
    <t>1 - CAPEX y OPEX</t>
  </si>
  <si>
    <t xml:space="preserve">Variable </t>
  </si>
  <si>
    <t>Ln(DM)</t>
  </si>
  <si>
    <t>DATOS FÍSICOS EMPRESA</t>
  </si>
  <si>
    <t>Variable</t>
  </si>
  <si>
    <t>Unidad</t>
  </si>
  <si>
    <t>Base</t>
  </si>
  <si>
    <t>Jul 2016-Jun 2017</t>
  </si>
  <si>
    <t>Jul 2017-Jun 2018</t>
  </si>
  <si>
    <t>Demanda</t>
  </si>
  <si>
    <t>Cant.</t>
  </si>
  <si>
    <t>RESULTADOS CAPEX y OPEX</t>
  </si>
  <si>
    <t>COSTO</t>
  </si>
  <si>
    <t>Factores de ajuste</t>
  </si>
  <si>
    <t>1) Componente Mano de Obra</t>
  </si>
  <si>
    <t>Costo laboral relativo</t>
  </si>
  <si>
    <t>Participación de la mano de obra en los costos totales</t>
  </si>
  <si>
    <t>2) Componente Materiales</t>
  </si>
  <si>
    <t>PPP</t>
  </si>
  <si>
    <t>% Nacional</t>
  </si>
  <si>
    <t>Activos totales</t>
  </si>
  <si>
    <t>OPEX Totales</t>
  </si>
  <si>
    <t>TOTEX (Costos Totales)</t>
  </si>
  <si>
    <t>Inversión Totales</t>
  </si>
  <si>
    <t>2 - PÉRDIDAS</t>
  </si>
  <si>
    <t>RESULTADOS PÉRDIDAS</t>
  </si>
  <si>
    <t>Porcentaje</t>
  </si>
  <si>
    <t>PE_MWH</t>
  </si>
  <si>
    <t>PE_%</t>
  </si>
  <si>
    <t xml:space="preserve">Proyección </t>
  </si>
  <si>
    <t>Electrificación Rural</t>
  </si>
  <si>
    <t>Distribución (SE AT)</t>
  </si>
  <si>
    <t>INVERSIONES NO CONTEMPLADAS EN LAS ECUACIONES DE EFICIENCIA</t>
  </si>
  <si>
    <t>Valor Neto Base Capital Comercialización</t>
  </si>
  <si>
    <t xml:space="preserve">Pérdidas </t>
  </si>
  <si>
    <t>Pérdidas (incluye NT)</t>
  </si>
  <si>
    <t>Valor Bruto Activos Fijos Alumbrado Público</t>
  </si>
  <si>
    <t>Valor Bruto Base de Capital Distribución</t>
  </si>
  <si>
    <t>Valor Bruto Base de Capital Comercialización</t>
  </si>
  <si>
    <t>Valor Neto Activos Fijos Alumbrado Público</t>
  </si>
  <si>
    <t>INGRESO MÁXIMO PERMITIDO</t>
  </si>
  <si>
    <t>INVERSIONES TOTALES</t>
  </si>
  <si>
    <t>CONCEPTO</t>
  </si>
  <si>
    <t>Jul 2018-Jun 2019</t>
  </si>
  <si>
    <t>Jul 2019-Jun 2020</t>
  </si>
  <si>
    <t>Jul 2020-Jun 2021</t>
  </si>
  <si>
    <t>Jul 2021-Jun 2022</t>
  </si>
  <si>
    <t>Ln(DM/Cl)</t>
  </si>
  <si>
    <t>Ln(Cl)</t>
  </si>
  <si>
    <t>Ln(OM)</t>
  </si>
  <si>
    <t>Ln(COM)</t>
  </si>
  <si>
    <t>JUL18/ JUN19</t>
  </si>
  <si>
    <t>JUL19 / JUN20</t>
  </si>
  <si>
    <t>JUL20 / JUN21</t>
  </si>
  <si>
    <t>JUL21/ JUN22</t>
  </si>
  <si>
    <t>JULIO/18-JUNIO/22</t>
  </si>
  <si>
    <t>ACT.JUN18</t>
  </si>
  <si>
    <t>JUL18 / JUN19</t>
  </si>
  <si>
    <t>JUL21 / JUN22</t>
  </si>
  <si>
    <t>Energia facturada sin AP</t>
  </si>
  <si>
    <t>REGRESIONES CON DATOS DE LA FERC</t>
  </si>
  <si>
    <t>Energía ingresada al sist. Propio (eficiente)</t>
  </si>
  <si>
    <t>Energía facturada sin AP</t>
  </si>
  <si>
    <t>Perdidas eficientes</t>
  </si>
  <si>
    <t>Factor de carga</t>
  </si>
  <si>
    <t>Energía facurada AP</t>
  </si>
  <si>
    <t>EDECHI</t>
  </si>
  <si>
    <t>Nueva SE Veladero</t>
  </si>
  <si>
    <t xml:space="preserve">Pérdidas No Técnicas </t>
  </si>
  <si>
    <t xml:space="preserve">Nuevo Transformador para la subestación Tijeras </t>
  </si>
  <si>
    <t xml:space="preserve">Nueva subestación Changuinola II </t>
  </si>
  <si>
    <t xml:space="preserve">Arquitectura de red de las subestaciones Changuinola – Almirante </t>
  </si>
  <si>
    <t xml:space="preserve">Arquitectura de red de la subestación Veladero </t>
  </si>
  <si>
    <t xml:space="preserve">Arquitectura de red de la subestación Changuinola II </t>
  </si>
  <si>
    <t>TOTAL</t>
  </si>
  <si>
    <t>Conversión a 13.2 y a 34.5 kV - Santo Domingo</t>
  </si>
  <si>
    <t>Conversión 4.16 kV a 13.2 kV - La Concepción</t>
  </si>
  <si>
    <t>Nuevo Circuito en 34.5 kV SE Changuinola II a SE Almirante</t>
  </si>
  <si>
    <t>Medidores Inteligentes</t>
  </si>
  <si>
    <t>JUL18 - JUN19</t>
  </si>
  <si>
    <t>JUL19 - JUN20</t>
  </si>
  <si>
    <t>JUL20 - JUN21</t>
  </si>
  <si>
    <t>JUL21 - JUN22</t>
  </si>
  <si>
    <t xml:space="preserve">IMP </t>
  </si>
  <si>
    <t>IMP S/Pérdidas</t>
  </si>
  <si>
    <t>IMPCO - Ingreso Máximo Permitido por Comercialización</t>
  </si>
  <si>
    <t>INVNE - Descuento por Inversiones no Ejecutadas en periodo anterior</t>
  </si>
  <si>
    <t>Crecimiento Vegetativo - Sodio</t>
  </si>
  <si>
    <t>Crecimiento Vegetativo - LED</t>
  </si>
  <si>
    <t>Proyectos especiales</t>
  </si>
  <si>
    <t>TOTAL LUMINARIAS ADICIONALES</t>
  </si>
  <si>
    <t>VP-IMPCO - COMERCIALIZACIÓN</t>
  </si>
  <si>
    <t>ENERGIA FACTURADA (sin AP)</t>
  </si>
  <si>
    <t>Ln(EF)(β)</t>
  </si>
  <si>
    <t>Constante (α)</t>
  </si>
  <si>
    <t>II Sem</t>
  </si>
  <si>
    <t>I Sem</t>
  </si>
  <si>
    <t>Total</t>
  </si>
  <si>
    <t>Implantación de Medidores Inteligentes (Smart Metering) - 186 Medidores*</t>
  </si>
  <si>
    <t>Crecimiento Vegetativo</t>
  </si>
  <si>
    <t>Carretera David-Boquete - 800 Luminarias LED</t>
  </si>
  <si>
    <t>Carretera Concepción-Cerro Punta - 600 Luminarias LED</t>
  </si>
  <si>
    <t>Centro Penitenciario -54 Luminarias LED</t>
  </si>
  <si>
    <t>Proyectos Especiales Luminarias LED - reemplazo de luminarias LED</t>
  </si>
  <si>
    <t xml:space="preserve">Proyectos Especiales </t>
  </si>
  <si>
    <t>CANTIDAD DE LUMINARIAS ADICIONALES (ALUMBRADO PÚBLICO)</t>
  </si>
  <si>
    <t>Proyectos Especiales Luminarias LED - REEMPLAZO DE LUMINARIAS DE SODIO</t>
  </si>
  <si>
    <t>LUMINARIAS QUE SE INCORPORAN</t>
  </si>
  <si>
    <t>PD</t>
  </si>
  <si>
    <t xml:space="preserve">INVERSION EN SUBESTACIONES, ARQUITECTURA ASOCIADA Y LÍNEAS EN AT NO CONTEMPLADAS EN LAS ECUACIONES DE EFICIENCIA </t>
  </si>
  <si>
    <t>OTRAS INVERSIONES NO CONTEMPLADAS EN LAS ECUACIONES DE EFICIENCIA</t>
  </si>
  <si>
    <t xml:space="preserve">INVERSIONES EN ALUMBRADO PÚBLICO </t>
  </si>
  <si>
    <t>IPSD - Ingreso Máximo Permitido por Distribución</t>
  </si>
  <si>
    <t>ALUMPU - Ingreso Máximo Permitido por Alumbrado Público</t>
  </si>
  <si>
    <t>IPPD - Ingreso Máximo Permitido por Pérdidas en Distribución</t>
  </si>
  <si>
    <t xml:space="preserve">IMP - Ingreso Máximo Permitido </t>
  </si>
  <si>
    <t>VP-IPSD - DISTRIBUCIÓN</t>
  </si>
  <si>
    <t>VP-ALUMPU - ALUMBRADO PÚBLICO</t>
  </si>
  <si>
    <t>VP-IPPD - PÉRDIDAS DE DISTRIBUCIÓN</t>
  </si>
  <si>
    <t>INGRESO MÁXIMO PERMITIDO POR COMERCIALIZACIÓN = IMPCO</t>
  </si>
  <si>
    <t>Prima por Riesgo País</t>
  </si>
  <si>
    <t>Costo Capital Propio después de Impuestos</t>
  </si>
  <si>
    <t>Tasa Inflación EUA</t>
  </si>
  <si>
    <t>WACC Real antes de Impuestos</t>
  </si>
  <si>
    <t>PNT</t>
  </si>
  <si>
    <t>FA</t>
  </si>
  <si>
    <t>Inversiones adicionales Distribucion</t>
  </si>
  <si>
    <t>Inversiones adicionales Comercialización</t>
  </si>
  <si>
    <t>INVERSION EN CIRCUITOS EN MT Y REFUERZO PARA PLANTAS POTABILIZADORAS NO CONTEMPLADAS EN LAS ECUACIONES DE EFICIENCIA</t>
  </si>
  <si>
    <t>Planta Potabilizadora Changuinola (Línea MT e ITC)</t>
  </si>
  <si>
    <t>Planta Potabilizadora Almirante (Línea MT,ITC, Interruptor dentro de S/E)</t>
  </si>
  <si>
    <t>Circuitos MT y Refuerzos para Plantas Potabilizadoras</t>
  </si>
  <si>
    <t>TASA DE RENTABILIDAD PARA IMP</t>
  </si>
  <si>
    <t>WACC REAL ANTES. IMPUESTOS</t>
  </si>
  <si>
    <t>En USD 2017 sin ajuste</t>
  </si>
  <si>
    <t>En USD 2017 con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</si>
</sst>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\ _$_-;\-* #,##0.00\ _$_-;_-* &quot;-&quot;??\ _$_-;_-@_-"/>
    <numFmt numFmtId="165" formatCode="_ * #,##0.00_ ;_ * \-#,##0.00_ ;_ * &quot;-&quot;??_ ;_ @_ "/>
    <numFmt numFmtId="166" formatCode="_-* #,##0.00_-;\-* #,##0.00_-;_-* &quot;-&quot;??_-;_-@_-"/>
    <numFmt numFmtId="167" formatCode="_ * #,##0_ ;_ * \-#,##0_ ;_ * &quot;-&quot;??_ ;_ @_ "/>
    <numFmt numFmtId="168" formatCode="0.0000"/>
    <numFmt numFmtId="169" formatCode="0.0%"/>
    <numFmt numFmtId="170" formatCode="0.000"/>
    <numFmt numFmtId="171" formatCode="0.00000"/>
    <numFmt numFmtId="172" formatCode="_ * #,##0.0_ ;_ * \-#,##0.0_ ;_ * &quot;-&quot;??_ ;_ @_ "/>
    <numFmt numFmtId="173" formatCode="#,##0.0000"/>
    <numFmt numFmtId="174" formatCode="0.0000000%"/>
    <numFmt numFmtId="175" formatCode="#,##0.000"/>
    <numFmt numFmtId="176" formatCode="#,##0.000\ ;[Red]\(#,##0.000\)"/>
    <numFmt numFmtId="177" formatCode="#,##0.0"/>
    <numFmt numFmtId="178" formatCode="#,##0.00_ ;[Red]\-#,##0.00\ "/>
    <numFmt numFmtId="179" formatCode="#,##0.00000"/>
    <numFmt numFmtId="180" formatCode="0.0000%"/>
    <numFmt numFmtId="181" formatCode="#,##0.00\ ;[Red]\(#,##0.00\)"/>
    <numFmt numFmtId="182" formatCode="#,##0.000_ ;[Red]\-#,##0.000\ "/>
    <numFmt numFmtId="183" formatCode="_ * #,##0.000_ ;_ * \-#,##0.000_ ;_ * &quot;-&quot;??_ ;_ @_ "/>
    <numFmt numFmtId="184" formatCode="_-* #,##0_-;\-* #,##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theme="1" tint="0.1499984740745262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5"/>
      <name val="Times New Roman"/>
      <family val="1"/>
    </font>
    <font>
      <sz val="11"/>
      <color theme="5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6" tint="-0.4999847407452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thin">
        <color indexed="64"/>
      </bottom>
      <diagonal/>
    </border>
    <border>
      <left/>
      <right style="thin">
        <color theme="3" tint="0.39994506668294322"/>
      </right>
      <top style="medium">
        <color theme="3" tint="0.39994506668294322"/>
      </top>
      <bottom style="thin">
        <color indexed="64"/>
      </bottom>
      <diagonal/>
    </border>
    <border>
      <left/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166" fontId="1" fillId="0" borderId="0" applyFont="0" applyFill="0" applyBorder="0" applyAlignment="0" applyProtection="0"/>
  </cellStyleXfs>
  <cellXfs count="313">
    <xf numFmtId="0" fontId="0" fillId="0" borderId="0" xfId="0"/>
    <xf numFmtId="0" fontId="8" fillId="0" borderId="0" xfId="0" applyFont="1"/>
    <xf numFmtId="0" fontId="8" fillId="0" borderId="0" xfId="0" applyFont="1" applyFill="1" applyBorder="1"/>
    <xf numFmtId="0" fontId="9" fillId="0" borderId="1" xfId="0" applyFont="1" applyBorder="1"/>
    <xf numFmtId="167" fontId="9" fillId="0" borderId="2" xfId="1" applyNumberFormat="1" applyFont="1" applyBorder="1"/>
    <xf numFmtId="180" fontId="11" fillId="3" borderId="2" xfId="3" applyNumberFormat="1" applyFont="1" applyFill="1" applyBorder="1" applyAlignment="1">
      <alignment horizontal="center" vertical="justify"/>
    </xf>
    <xf numFmtId="0" fontId="11" fillId="0" borderId="0" xfId="0" applyFont="1"/>
    <xf numFmtId="0" fontId="12" fillId="0" borderId="0" xfId="0" applyFont="1"/>
    <xf numFmtId="0" fontId="9" fillId="0" borderId="0" xfId="0" applyFont="1"/>
    <xf numFmtId="0" fontId="13" fillId="7" borderId="28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4" fontId="9" fillId="0" borderId="31" xfId="1" applyNumberFormat="1" applyFont="1" applyFill="1" applyBorder="1" applyAlignment="1">
      <alignment horizontal="center"/>
    </xf>
    <xf numFmtId="4" fontId="9" fillId="0" borderId="32" xfId="1" applyNumberFormat="1" applyFont="1" applyFill="1" applyBorder="1" applyAlignment="1">
      <alignment horizontal="center"/>
    </xf>
    <xf numFmtId="0" fontId="11" fillId="0" borderId="30" xfId="0" applyFont="1" applyFill="1" applyBorder="1"/>
    <xf numFmtId="4" fontId="11" fillId="0" borderId="31" xfId="1" applyNumberFormat="1" applyFont="1" applyFill="1" applyBorder="1"/>
    <xf numFmtId="4" fontId="11" fillId="0" borderId="32" xfId="1" applyNumberFormat="1" applyFont="1" applyFill="1" applyBorder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9" fillId="0" borderId="2" xfId="0" applyFont="1" applyBorder="1"/>
    <xf numFmtId="171" fontId="9" fillId="0" borderId="2" xfId="0" applyNumberFormat="1" applyFont="1" applyBorder="1" applyAlignment="1">
      <alignment horizontal="center"/>
    </xf>
    <xf numFmtId="171" fontId="9" fillId="0" borderId="2" xfId="0" applyNumberFormat="1" applyFont="1" applyFill="1" applyBorder="1" applyAlignment="1">
      <alignment horizontal="center"/>
    </xf>
    <xf numFmtId="0" fontId="11" fillId="0" borderId="1" xfId="0" applyFont="1" applyBorder="1"/>
    <xf numFmtId="171" fontId="11" fillId="0" borderId="2" xfId="0" applyNumberFormat="1" applyFont="1" applyBorder="1" applyAlignment="1">
      <alignment horizontal="center"/>
    </xf>
    <xf numFmtId="171" fontId="11" fillId="0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4" xfId="0" applyFont="1" applyBorder="1"/>
    <xf numFmtId="0" fontId="11" fillId="0" borderId="5" xfId="0" applyFont="1" applyFill="1" applyBorder="1"/>
    <xf numFmtId="167" fontId="9" fillId="0" borderId="6" xfId="1" applyNumberFormat="1" applyFont="1" applyBorder="1"/>
    <xf numFmtId="1" fontId="9" fillId="0" borderId="0" xfId="0" applyNumberFormat="1" applyFont="1" applyFill="1" applyBorder="1"/>
    <xf numFmtId="167" fontId="9" fillId="0" borderId="8" xfId="1" applyNumberFormat="1" applyFont="1" applyBorder="1"/>
    <xf numFmtId="0" fontId="11" fillId="0" borderId="1" xfId="0" applyFont="1" applyFill="1" applyBorder="1"/>
    <xf numFmtId="167" fontId="11" fillId="0" borderId="2" xfId="0" applyNumberFormat="1" applyFont="1" applyBorder="1"/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/>
    <xf numFmtId="182" fontId="9" fillId="0" borderId="32" xfId="0" applyNumberFormat="1" applyFont="1" applyFill="1" applyBorder="1" applyAlignment="1">
      <alignment horizontal="center" vertical="center"/>
    </xf>
    <xf numFmtId="10" fontId="12" fillId="0" borderId="0" xfId="3" applyNumberFormat="1" applyFont="1" applyAlignment="1">
      <alignment horizontal="center"/>
    </xf>
    <xf numFmtId="2" fontId="9" fillId="0" borderId="0" xfId="0" applyNumberFormat="1" applyFont="1"/>
    <xf numFmtId="3" fontId="12" fillId="0" borderId="2" xfId="0" applyNumberFormat="1" applyFont="1" applyBorder="1" applyAlignment="1">
      <alignment horizontal="center"/>
    </xf>
    <xf numFmtId="0" fontId="9" fillId="0" borderId="30" xfId="0" applyFont="1" applyFill="1" applyBorder="1"/>
    <xf numFmtId="0" fontId="11" fillId="0" borderId="0" xfId="0" applyFont="1" applyBorder="1"/>
    <xf numFmtId="0" fontId="9" fillId="0" borderId="31" xfId="0" applyFont="1" applyFill="1" applyBorder="1"/>
    <xf numFmtId="0" fontId="9" fillId="0" borderId="32" xfId="0" applyFont="1" applyFill="1" applyBorder="1"/>
    <xf numFmtId="4" fontId="9" fillId="0" borderId="31" xfId="0" applyNumberFormat="1" applyFont="1" applyFill="1" applyBorder="1"/>
    <xf numFmtId="4" fontId="9" fillId="0" borderId="32" xfId="0" applyNumberFormat="1" applyFont="1" applyFill="1" applyBorder="1"/>
    <xf numFmtId="4" fontId="9" fillId="0" borderId="0" xfId="0" applyNumberFormat="1" applyFont="1"/>
    <xf numFmtId="3" fontId="9" fillId="0" borderId="31" xfId="0" applyNumberFormat="1" applyFont="1" applyFill="1" applyBorder="1"/>
    <xf numFmtId="3" fontId="9" fillId="0" borderId="32" xfId="0" applyNumberFormat="1" applyFont="1" applyFill="1" applyBorder="1"/>
    <xf numFmtId="4" fontId="11" fillId="0" borderId="31" xfId="0" applyNumberFormat="1" applyFont="1" applyFill="1" applyBorder="1"/>
    <xf numFmtId="4" fontId="11" fillId="0" borderId="32" xfId="0" applyNumberFormat="1" applyFont="1" applyFill="1" applyBorder="1"/>
    <xf numFmtId="0" fontId="9" fillId="0" borderId="30" xfId="0" applyFont="1" applyBorder="1"/>
    <xf numFmtId="0" fontId="9" fillId="0" borderId="31" xfId="0" applyFont="1" applyBorder="1"/>
    <xf numFmtId="4" fontId="11" fillId="0" borderId="34" xfId="0" applyNumberFormat="1" applyFont="1" applyFill="1" applyBorder="1"/>
    <xf numFmtId="4" fontId="11" fillId="0" borderId="35" xfId="0" applyNumberFormat="1" applyFont="1" applyFill="1" applyBorder="1"/>
    <xf numFmtId="0" fontId="9" fillId="0" borderId="0" xfId="0" applyFont="1" applyFill="1"/>
    <xf numFmtId="10" fontId="9" fillId="0" borderId="0" xfId="0" applyNumberFormat="1" applyFont="1"/>
    <xf numFmtId="0" fontId="11" fillId="0" borderId="0" xfId="0" applyFont="1" applyFill="1"/>
    <xf numFmtId="0" fontId="9" fillId="0" borderId="2" xfId="0" quotePrefix="1" applyFont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17" fontId="11" fillId="0" borderId="2" xfId="0" applyNumberFormat="1" applyFont="1" applyBorder="1" applyAlignment="1">
      <alignment horizontal="center"/>
    </xf>
    <xf numFmtId="3" fontId="9" fillId="0" borderId="2" xfId="0" applyNumberFormat="1" applyFont="1" applyFill="1" applyBorder="1"/>
    <xf numFmtId="3" fontId="9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6" fillId="0" borderId="0" xfId="0" applyFont="1"/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0" fontId="11" fillId="0" borderId="4" xfId="3" applyNumberFormat="1" applyFont="1" applyBorder="1"/>
    <xf numFmtId="3" fontId="9" fillId="0" borderId="6" xfId="0" applyNumberFormat="1" applyFont="1" applyBorder="1" applyAlignment="1">
      <alignment horizontal="center"/>
    </xf>
    <xf numFmtId="10" fontId="11" fillId="0" borderId="6" xfId="3" applyNumberFormat="1" applyFont="1" applyBorder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0" fontId="11" fillId="0" borderId="8" xfId="3" applyNumberFormat="1" applyFont="1" applyBorder="1"/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/>
    <xf numFmtId="3" fontId="9" fillId="0" borderId="2" xfId="0" applyNumberFormat="1" applyFont="1" applyBorder="1"/>
    <xf numFmtId="169" fontId="9" fillId="0" borderId="0" xfId="3" applyNumberFormat="1" applyFont="1"/>
    <xf numFmtId="10" fontId="9" fillId="0" borderId="2" xfId="3" applyNumberFormat="1" applyFont="1" applyBorder="1"/>
    <xf numFmtId="2" fontId="9" fillId="0" borderId="0" xfId="0" applyNumberFormat="1" applyFont="1" applyBorder="1"/>
    <xf numFmtId="169" fontId="9" fillId="0" borderId="0" xfId="3" applyNumberFormat="1" applyFont="1" applyFill="1" applyBorder="1"/>
    <xf numFmtId="9" fontId="9" fillId="0" borderId="0" xfId="3" applyFont="1" applyFill="1" applyBorder="1"/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9" fillId="6" borderId="2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168" fontId="8" fillId="0" borderId="2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9" fillId="4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7" fontId="8" fillId="0" borderId="0" xfId="4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167" fontId="8" fillId="0" borderId="0" xfId="4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2"/>
    </xf>
    <xf numFmtId="168" fontId="9" fillId="0" borderId="0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/>
    <xf numFmtId="0" fontId="8" fillId="0" borderId="0" xfId="0" applyFont="1" applyAlignment="1">
      <alignment horizontal="left" vertical="center" indent="3"/>
    </xf>
    <xf numFmtId="10" fontId="9" fillId="0" borderId="0" xfId="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2"/>
    </xf>
    <xf numFmtId="183" fontId="9" fillId="0" borderId="0" xfId="4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justify" indent="2"/>
    </xf>
    <xf numFmtId="9" fontId="9" fillId="0" borderId="0" xfId="3" applyNumberFormat="1" applyFont="1" applyFill="1" applyBorder="1" applyAlignment="1">
      <alignment horizontal="center"/>
    </xf>
    <xf numFmtId="174" fontId="8" fillId="0" borderId="0" xfId="0" applyNumberFormat="1" applyFont="1" applyFill="1" applyBorder="1"/>
    <xf numFmtId="0" fontId="21" fillId="0" borderId="0" xfId="0" applyFont="1" applyFill="1" applyAlignment="1">
      <alignment vertical="center"/>
    </xf>
    <xf numFmtId="167" fontId="21" fillId="0" borderId="0" xfId="4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0" fontId="8" fillId="0" borderId="0" xfId="3" applyNumberFormat="1" applyFont="1" applyFill="1" applyBorder="1" applyAlignment="1">
      <alignment horizontal="center" vertical="center"/>
    </xf>
    <xf numFmtId="0" fontId="9" fillId="0" borderId="6" xfId="0" applyFont="1" applyBorder="1"/>
    <xf numFmtId="165" fontId="9" fillId="0" borderId="6" xfId="1" applyNumberFormat="1" applyFont="1" applyFill="1" applyBorder="1"/>
    <xf numFmtId="0" fontId="11" fillId="0" borderId="2" xfId="0" applyFont="1" applyBorder="1"/>
    <xf numFmtId="165" fontId="9" fillId="0" borderId="0" xfId="0" applyNumberFormat="1" applyFont="1"/>
    <xf numFmtId="0" fontId="9" fillId="0" borderId="14" xfId="0" applyFont="1" applyFill="1" applyBorder="1"/>
    <xf numFmtId="0" fontId="9" fillId="0" borderId="2" xfId="0" applyFont="1" applyFill="1" applyBorder="1"/>
    <xf numFmtId="165" fontId="9" fillId="0" borderId="2" xfId="1" applyFont="1" applyFill="1" applyBorder="1"/>
    <xf numFmtId="165" fontId="9" fillId="0" borderId="20" xfId="1" applyFont="1" applyFill="1" applyBorder="1"/>
    <xf numFmtId="172" fontId="9" fillId="0" borderId="0" xfId="0" applyNumberFormat="1" applyFont="1"/>
    <xf numFmtId="165" fontId="9" fillId="0" borderId="0" xfId="1" applyFont="1" applyFill="1" applyBorder="1"/>
    <xf numFmtId="170" fontId="9" fillId="0" borderId="0" xfId="0" applyNumberFormat="1" applyFont="1" applyFill="1" applyBorder="1"/>
    <xf numFmtId="0" fontId="9" fillId="0" borderId="0" xfId="0" applyFont="1" applyAlignment="1"/>
    <xf numFmtId="164" fontId="9" fillId="0" borderId="0" xfId="0" applyNumberFormat="1" applyFont="1" applyAlignment="1">
      <alignment horizontal="right"/>
    </xf>
    <xf numFmtId="170" fontId="9" fillId="0" borderId="0" xfId="0" applyNumberFormat="1" applyFont="1"/>
    <xf numFmtId="1" fontId="29" fillId="0" borderId="0" xfId="0" applyNumberFormat="1" applyFont="1"/>
    <xf numFmtId="0" fontId="27" fillId="0" borderId="0" xfId="0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/>
    <xf numFmtId="0" fontId="9" fillId="0" borderId="14" xfId="0" applyFont="1" applyBorder="1"/>
    <xf numFmtId="0" fontId="9" fillId="0" borderId="16" xfId="0" applyFont="1" applyBorder="1"/>
    <xf numFmtId="0" fontId="9" fillId="0" borderId="21" xfId="0" applyFont="1" applyBorder="1"/>
    <xf numFmtId="167" fontId="9" fillId="0" borderId="21" xfId="1" applyNumberFormat="1" applyFont="1" applyFill="1" applyBorder="1"/>
    <xf numFmtId="165" fontId="9" fillId="0" borderId="22" xfId="1" applyFont="1" applyFill="1" applyBorder="1"/>
    <xf numFmtId="165" fontId="11" fillId="0" borderId="2" xfId="0" applyNumberFormat="1" applyFont="1" applyFill="1" applyBorder="1"/>
    <xf numFmtId="165" fontId="11" fillId="0" borderId="2" xfId="0" applyNumberFormat="1" applyFont="1" applyBorder="1"/>
    <xf numFmtId="0" fontId="13" fillId="8" borderId="37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/>
    </xf>
    <xf numFmtId="0" fontId="9" fillId="0" borderId="39" xfId="0" applyFont="1" applyBorder="1"/>
    <xf numFmtId="0" fontId="9" fillId="0" borderId="40" xfId="0" applyFont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75" fontId="30" fillId="2" borderId="6" xfId="0" applyNumberFormat="1" applyFont="1" applyFill="1" applyBorder="1"/>
    <xf numFmtId="3" fontId="12" fillId="2" borderId="6" xfId="0" applyNumberFormat="1" applyFont="1" applyFill="1" applyBorder="1"/>
    <xf numFmtId="3" fontId="9" fillId="0" borderId="6" xfId="0" applyNumberFormat="1" applyFont="1" applyFill="1" applyBorder="1"/>
    <xf numFmtId="3" fontId="9" fillId="0" borderId="8" xfId="0" applyNumberFormat="1" applyFont="1" applyFill="1" applyBorder="1"/>
    <xf numFmtId="3" fontId="9" fillId="0" borderId="11" xfId="0" applyNumberFormat="1" applyFont="1" applyFill="1" applyBorder="1"/>
    <xf numFmtId="0" fontId="11" fillId="0" borderId="3" xfId="0" applyFont="1" applyBorder="1"/>
    <xf numFmtId="0" fontId="11" fillId="0" borderId="7" xfId="0" applyFont="1" applyFill="1" applyBorder="1"/>
    <xf numFmtId="3" fontId="12" fillId="0" borderId="8" xfId="0" applyNumberFormat="1" applyFont="1" applyFill="1" applyBorder="1"/>
    <xf numFmtId="169" fontId="9" fillId="0" borderId="0" xfId="3" applyNumberFormat="1" applyFont="1" applyBorder="1"/>
    <xf numFmtId="165" fontId="9" fillId="0" borderId="0" xfId="1" applyFont="1" applyBorder="1"/>
    <xf numFmtId="173" fontId="12" fillId="0" borderId="0" xfId="0" applyNumberFormat="1" applyFont="1" applyFill="1" applyBorder="1"/>
    <xf numFmtId="10" fontId="12" fillId="3" borderId="2" xfId="3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right"/>
    </xf>
    <xf numFmtId="17" fontId="9" fillId="0" borderId="6" xfId="0" applyNumberFormat="1" applyFont="1" applyBorder="1" applyAlignment="1">
      <alignment horizontal="left"/>
    </xf>
    <xf numFmtId="17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center" vertical="center"/>
    </xf>
    <xf numFmtId="10" fontId="28" fillId="0" borderId="6" xfId="3" applyNumberFormat="1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8" xfId="0" applyFont="1" applyFill="1" applyBorder="1"/>
    <xf numFmtId="0" fontId="9" fillId="2" borderId="2" xfId="0" applyFont="1" applyFill="1" applyBorder="1" applyAlignment="1">
      <alignment horizontal="center" vertical="justify"/>
    </xf>
    <xf numFmtId="0" fontId="9" fillId="2" borderId="2" xfId="0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9" fillId="2" borderId="2" xfId="0" applyFont="1" applyFill="1" applyBorder="1"/>
    <xf numFmtId="10" fontId="9" fillId="0" borderId="2" xfId="0" applyNumberFormat="1" applyFont="1" applyFill="1" applyBorder="1" applyAlignment="1">
      <alignment horizontal="center"/>
    </xf>
    <xf numFmtId="10" fontId="26" fillId="0" borderId="6" xfId="3" applyNumberFormat="1" applyFont="1" applyFill="1" applyBorder="1" applyAlignment="1">
      <alignment horizontal="center"/>
    </xf>
    <xf numFmtId="10" fontId="9" fillId="0" borderId="2" xfId="3" applyNumberFormat="1" applyFont="1" applyBorder="1" applyAlignment="1">
      <alignment horizontal="center"/>
    </xf>
    <xf numFmtId="10" fontId="11" fillId="0" borderId="2" xfId="3" applyNumberFormat="1" applyFont="1" applyBorder="1" applyAlignment="1">
      <alignment horizontal="center"/>
    </xf>
    <xf numFmtId="10" fontId="9" fillId="0" borderId="0" xfId="3" applyNumberFormat="1" applyFont="1"/>
    <xf numFmtId="0" fontId="11" fillId="3" borderId="17" xfId="0" applyFont="1" applyFill="1" applyBorder="1" applyAlignment="1">
      <alignment vertical="justify" wrapText="1"/>
    </xf>
    <xf numFmtId="1" fontId="11" fillId="0" borderId="18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0" fontId="9" fillId="3" borderId="14" xfId="0" applyFont="1" applyFill="1" applyBorder="1"/>
    <xf numFmtId="176" fontId="9" fillId="0" borderId="2" xfId="0" applyNumberFormat="1" applyFont="1" applyBorder="1"/>
    <xf numFmtId="176" fontId="9" fillId="0" borderId="20" xfId="0" applyNumberFormat="1" applyFont="1" applyBorder="1"/>
    <xf numFmtId="0" fontId="9" fillId="3" borderId="16" xfId="0" applyFont="1" applyFill="1" applyBorder="1"/>
    <xf numFmtId="176" fontId="9" fillId="0" borderId="21" xfId="0" applyNumberFormat="1" applyFont="1" applyBorder="1"/>
    <xf numFmtId="176" fontId="9" fillId="0" borderId="22" xfId="0" applyNumberFormat="1" applyFont="1" applyBorder="1"/>
    <xf numFmtId="0" fontId="9" fillId="0" borderId="23" xfId="0" applyFont="1" applyBorder="1"/>
    <xf numFmtId="0" fontId="9" fillId="0" borderId="15" xfId="0" applyFont="1" applyBorder="1"/>
    <xf numFmtId="0" fontId="9" fillId="0" borderId="10" xfId="0" applyFont="1" applyBorder="1"/>
    <xf numFmtId="10" fontId="12" fillId="0" borderId="9" xfId="3" applyNumberFormat="1" applyFont="1" applyFill="1" applyBorder="1" applyAlignment="1">
      <alignment horizontal="center"/>
    </xf>
    <xf numFmtId="0" fontId="31" fillId="0" borderId="12" xfId="0" applyFont="1" applyBorder="1" applyAlignment="1">
      <alignment horizontal="right"/>
    </xf>
    <xf numFmtId="0" fontId="31" fillId="0" borderId="15" xfId="0" applyFont="1" applyBorder="1"/>
    <xf numFmtId="0" fontId="31" fillId="0" borderId="15" xfId="0" applyFont="1" applyFill="1" applyBorder="1" applyAlignment="1">
      <alignment horizontal="right"/>
    </xf>
    <xf numFmtId="0" fontId="31" fillId="0" borderId="24" xfId="0" applyFont="1" applyFill="1" applyBorder="1" applyAlignment="1">
      <alignment horizontal="right"/>
    </xf>
    <xf numFmtId="0" fontId="9" fillId="0" borderId="0" xfId="0" applyFont="1" applyBorder="1" applyAlignment="1"/>
    <xf numFmtId="0" fontId="35" fillId="8" borderId="2" xfId="0" applyFont="1" applyFill="1" applyBorder="1" applyAlignment="1">
      <alignment horizontal="center" vertical="center"/>
    </xf>
    <xf numFmtId="0" fontId="35" fillId="8" borderId="20" xfId="0" applyFont="1" applyFill="1" applyBorder="1" applyAlignment="1">
      <alignment horizontal="center" vertical="center"/>
    </xf>
    <xf numFmtId="184" fontId="9" fillId="0" borderId="2" xfId="0" applyNumberFormat="1" applyFont="1" applyBorder="1"/>
    <xf numFmtId="0" fontId="10" fillId="0" borderId="2" xfId="6" applyNumberFormat="1" applyFont="1" applyFill="1" applyBorder="1" applyAlignment="1" applyProtection="1">
      <alignment vertical="center" wrapText="1"/>
    </xf>
    <xf numFmtId="184" fontId="10" fillId="5" borderId="2" xfId="8" applyNumberFormat="1" applyFont="1" applyFill="1" applyBorder="1" applyAlignment="1">
      <alignment horizontal="center" vertical="center"/>
    </xf>
    <xf numFmtId="0" fontId="10" fillId="5" borderId="2" xfId="7" applyFont="1" applyFill="1" applyBorder="1" applyAlignment="1">
      <alignment wrapText="1"/>
    </xf>
    <xf numFmtId="0" fontId="10" fillId="0" borderId="0" xfId="6" applyNumberFormat="1" applyFont="1" applyFill="1" applyBorder="1" applyAlignment="1" applyProtection="1">
      <alignment vertical="center" wrapText="1"/>
    </xf>
    <xf numFmtId="184" fontId="10" fillId="5" borderId="0" xfId="8" applyNumberFormat="1" applyFont="1" applyFill="1" applyBorder="1" applyAlignment="1">
      <alignment horizontal="center" vertical="center"/>
    </xf>
    <xf numFmtId="0" fontId="10" fillId="5" borderId="2" xfId="6" applyNumberFormat="1" applyFont="1" applyFill="1" applyBorder="1" applyAlignment="1" applyProtection="1">
      <alignment vertical="center"/>
    </xf>
    <xf numFmtId="184" fontId="10" fillId="5" borderId="2" xfId="8" applyNumberFormat="1" applyFont="1" applyFill="1" applyBorder="1" applyAlignment="1"/>
    <xf numFmtId="184" fontId="10" fillId="5" borderId="2" xfId="8" applyNumberFormat="1" applyFont="1" applyFill="1" applyBorder="1" applyAlignment="1" applyProtection="1">
      <alignment vertical="center"/>
    </xf>
    <xf numFmtId="0" fontId="10" fillId="5" borderId="2" xfId="7" applyFont="1" applyFill="1" applyBorder="1" applyAlignment="1"/>
    <xf numFmtId="0" fontId="9" fillId="0" borderId="0" xfId="5" applyFont="1" applyFill="1" applyBorder="1" applyAlignment="1">
      <alignment horizontal="center" vertical="center"/>
    </xf>
    <xf numFmtId="2" fontId="9" fillId="0" borderId="0" xfId="5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2" fontId="11" fillId="0" borderId="0" xfId="5" applyNumberFormat="1" applyFont="1" applyFill="1" applyBorder="1" applyAlignment="1">
      <alignment horizontal="center" vertical="center"/>
    </xf>
    <xf numFmtId="0" fontId="35" fillId="8" borderId="45" xfId="0" applyFont="1" applyFill="1" applyBorder="1" applyAlignment="1">
      <alignment horizontal="center" vertical="center"/>
    </xf>
    <xf numFmtId="0" fontId="35" fillId="8" borderId="46" xfId="0" applyFont="1" applyFill="1" applyBorder="1" applyAlignment="1">
      <alignment horizontal="center" vertical="center"/>
    </xf>
    <xf numFmtId="0" fontId="33" fillId="0" borderId="2" xfId="0" applyFont="1" applyFill="1" applyBorder="1"/>
    <xf numFmtId="165" fontId="33" fillId="0" borderId="2" xfId="1" applyFont="1" applyFill="1" applyBorder="1"/>
    <xf numFmtId="167" fontId="32" fillId="0" borderId="2" xfId="0" applyNumberFormat="1" applyFont="1" applyBorder="1"/>
    <xf numFmtId="0" fontId="32" fillId="0" borderId="2" xfId="0" applyFont="1" applyBorder="1"/>
    <xf numFmtId="0" fontId="32" fillId="0" borderId="1" xfId="0" applyFont="1" applyBorder="1"/>
    <xf numFmtId="167" fontId="32" fillId="0" borderId="2" xfId="0" applyNumberFormat="1" applyFont="1" applyFill="1" applyBorder="1"/>
    <xf numFmtId="4" fontId="9" fillId="0" borderId="40" xfId="1" applyNumberFormat="1" applyFont="1" applyFill="1" applyBorder="1" applyAlignment="1">
      <alignment horizontal="center"/>
    </xf>
    <xf numFmtId="4" fontId="9" fillId="0" borderId="41" xfId="1" applyNumberFormat="1" applyFont="1" applyFill="1" applyBorder="1" applyAlignment="1">
      <alignment horizontal="center"/>
    </xf>
    <xf numFmtId="4" fontId="11" fillId="0" borderId="43" xfId="0" applyNumberFormat="1" applyFont="1" applyFill="1" applyBorder="1" applyAlignment="1">
      <alignment horizontal="center"/>
    </xf>
    <xf numFmtId="4" fontId="11" fillId="0" borderId="44" xfId="0" applyNumberFormat="1" applyFont="1" applyFill="1" applyBorder="1" applyAlignment="1">
      <alignment horizontal="center"/>
    </xf>
    <xf numFmtId="0" fontId="13" fillId="7" borderId="27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3" fontId="11" fillId="2" borderId="6" xfId="0" applyNumberFormat="1" applyFont="1" applyFill="1" applyBorder="1"/>
    <xf numFmtId="179" fontId="11" fillId="2" borderId="6" xfId="0" applyNumberFormat="1" applyFont="1" applyFill="1" applyBorder="1"/>
    <xf numFmtId="3" fontId="11" fillId="2" borderId="8" xfId="0" applyNumberFormat="1" applyFont="1" applyFill="1" applyBorder="1"/>
    <xf numFmtId="3" fontId="11" fillId="2" borderId="11" xfId="0" applyNumberFormat="1" applyFont="1" applyFill="1" applyBorder="1"/>
    <xf numFmtId="179" fontId="11" fillId="2" borderId="4" xfId="0" applyNumberFormat="1" applyFont="1" applyFill="1" applyBorder="1"/>
    <xf numFmtId="3" fontId="11" fillId="2" borderId="4" xfId="0" applyNumberFormat="1" applyFont="1" applyFill="1" applyBorder="1"/>
    <xf numFmtId="179" fontId="11" fillId="2" borderId="8" xfId="0" applyNumberFormat="1" applyFont="1" applyFill="1" applyBorder="1"/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0" fontId="11" fillId="0" borderId="33" xfId="0" applyFont="1" applyFill="1" applyBorder="1"/>
    <xf numFmtId="4" fontId="11" fillId="0" borderId="34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10" fontId="9" fillId="0" borderId="2" xfId="3" applyNumberFormat="1" applyFont="1" applyFill="1" applyBorder="1"/>
    <xf numFmtId="10" fontId="0" fillId="0" borderId="2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0" fontId="36" fillId="0" borderId="2" xfId="0" applyNumberFormat="1" applyFont="1" applyBorder="1" applyAlignment="1">
      <alignment horizontal="center"/>
    </xf>
    <xf numFmtId="10" fontId="36" fillId="0" borderId="20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10" fontId="36" fillId="0" borderId="21" xfId="0" applyNumberFormat="1" applyFont="1" applyFill="1" applyBorder="1" applyAlignment="1">
      <alignment horizontal="center"/>
    </xf>
    <xf numFmtId="10" fontId="36" fillId="0" borderId="22" xfId="0" applyNumberFormat="1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 vertical="center"/>
    </xf>
    <xf numFmtId="10" fontId="9" fillId="0" borderId="0" xfId="3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/>
    <xf numFmtId="0" fontId="13" fillId="7" borderId="27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3" fillId="8" borderId="36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5" fillId="8" borderId="45" xfId="0" applyFont="1" applyFill="1" applyBorder="1" applyAlignment="1">
      <alignment horizontal="center" vertical="center"/>
    </xf>
    <xf numFmtId="0" fontId="35" fillId="8" borderId="46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/>
    </xf>
    <xf numFmtId="0" fontId="34" fillId="8" borderId="51" xfId="0" applyFont="1" applyFill="1" applyBorder="1" applyAlignment="1">
      <alignment horizontal="center"/>
    </xf>
    <xf numFmtId="0" fontId="34" fillId="8" borderId="13" xfId="0" applyFont="1" applyFill="1" applyBorder="1" applyAlignment="1">
      <alignment horizontal="center"/>
    </xf>
    <xf numFmtId="0" fontId="35" fillId="8" borderId="1" xfId="0" applyFont="1" applyFill="1" applyBorder="1" applyAlignment="1">
      <alignment horizontal="center" vertical="center"/>
    </xf>
    <xf numFmtId="0" fontId="35" fillId="8" borderId="13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51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3" fillId="8" borderId="48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/>
    </xf>
    <xf numFmtId="0" fontId="13" fillId="8" borderId="50" xfId="0" applyFont="1" applyFill="1" applyBorder="1" applyAlignment="1">
      <alignment horizontal="center" vertical="center"/>
    </xf>
  </cellXfs>
  <cellStyles count="9">
    <cellStyle name="Millares" xfId="1" builtinId="3"/>
    <cellStyle name="Millares 2" xfId="4"/>
    <cellStyle name="Millares 3" xfId="8"/>
    <cellStyle name="Normal" xfId="0" builtinId="0"/>
    <cellStyle name="Normal 2" xfId="5"/>
    <cellStyle name="Normal 3" xfId="7"/>
    <cellStyle name="Normal 4" xfId="6"/>
    <cellStyle name="Normal_COyM_DDE_DOLAR_97-04_SANJUAN" xfId="2"/>
    <cellStyle name="Porcentaje" xfId="3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9"/>
  <sheetViews>
    <sheetView tabSelected="1" zoomScale="110" zoomScaleNormal="110" workbookViewId="0">
      <selection activeCell="B1" sqref="B1"/>
    </sheetView>
  </sheetViews>
  <sheetFormatPr baseColWidth="10" defaultColWidth="11.42578125" defaultRowHeight="15" x14ac:dyDescent="0.25"/>
  <cols>
    <col min="1" max="1" width="3" style="8" customWidth="1"/>
    <col min="2" max="2" width="48.5703125" style="8" customWidth="1"/>
    <col min="3" max="3" width="18.140625" style="8" customWidth="1"/>
    <col min="4" max="4" width="22.7109375" style="8" customWidth="1"/>
    <col min="5" max="5" width="20.5703125" style="8" customWidth="1"/>
    <col min="6" max="6" width="17.140625" style="8" customWidth="1"/>
    <col min="7" max="7" width="20.42578125" style="8" customWidth="1"/>
    <col min="8" max="8" width="20.5703125" style="8" customWidth="1"/>
    <col min="9" max="9" width="17.140625" style="8" bestFit="1" customWidth="1"/>
    <col min="10" max="10" width="15.28515625" style="8" customWidth="1"/>
    <col min="11" max="11" width="22.42578125" style="8" customWidth="1"/>
    <col min="12" max="13" width="17.140625" style="8" bestFit="1" customWidth="1"/>
    <col min="14" max="14" width="16.7109375" style="8" customWidth="1"/>
    <col min="15" max="16" width="17.140625" style="8" bestFit="1" customWidth="1"/>
    <col min="17" max="16384" width="11.42578125" style="8"/>
  </cols>
  <sheetData>
    <row r="1" spans="2:6" x14ac:dyDescent="0.25">
      <c r="B1" s="6" t="s">
        <v>176</v>
      </c>
      <c r="C1" s="7"/>
    </row>
    <row r="3" spans="2:6" x14ac:dyDescent="0.25">
      <c r="B3" s="6" t="s">
        <v>105</v>
      </c>
    </row>
    <row r="5" spans="2:6" x14ac:dyDescent="0.25">
      <c r="B5" s="8" t="s">
        <v>72</v>
      </c>
    </row>
    <row r="6" spans="2:6" ht="15.75" thickBot="1" x14ac:dyDescent="0.3"/>
    <row r="7" spans="2:6" ht="15.75" customHeight="1" x14ac:dyDescent="0.25">
      <c r="B7" s="243" t="s">
        <v>150</v>
      </c>
      <c r="C7" s="9" t="s">
        <v>161</v>
      </c>
      <c r="D7" s="9" t="s">
        <v>162</v>
      </c>
      <c r="E7" s="9" t="s">
        <v>163</v>
      </c>
      <c r="F7" s="10" t="s">
        <v>164</v>
      </c>
    </row>
    <row r="8" spans="2:6" ht="28.5" x14ac:dyDescent="0.25">
      <c r="B8" s="11" t="s">
        <v>222</v>
      </c>
      <c r="C8" s="12">
        <f>+IMPD!D14</f>
        <v>31053.499080185306</v>
      </c>
      <c r="D8" s="12">
        <f>+IMPD!E14</f>
        <v>33281.133024328301</v>
      </c>
      <c r="E8" s="12">
        <f>+IMPD!F14</f>
        <v>35270.36628692555</v>
      </c>
      <c r="F8" s="13">
        <f>+IMPD!G14</f>
        <v>37059.368846709338</v>
      </c>
    </row>
    <row r="9" spans="2:6" ht="28.5" x14ac:dyDescent="0.25">
      <c r="B9" s="11" t="s">
        <v>195</v>
      </c>
      <c r="C9" s="12">
        <f>+IMPCO!D13</f>
        <v>12710.461670868588</v>
      </c>
      <c r="D9" s="12">
        <f>+IMPCO!E13</f>
        <v>13170.194769816593</v>
      </c>
      <c r="E9" s="12">
        <f>+IMPCO!F13</f>
        <v>13643.43864692914</v>
      </c>
      <c r="F9" s="13">
        <f>+IMPCO!G13</f>
        <v>14130.378744643134</v>
      </c>
    </row>
    <row r="10" spans="2:6" ht="28.5" x14ac:dyDescent="0.25">
      <c r="B10" s="11" t="s">
        <v>223</v>
      </c>
      <c r="C10" s="12">
        <f>+ALUMPU!D13</f>
        <v>1371.7619258048737</v>
      </c>
      <c r="D10" s="12">
        <f>+ALUMPU!E13</f>
        <v>1604.5864982968583</v>
      </c>
      <c r="E10" s="12">
        <f>+ALUMPU!F13</f>
        <v>1723.7490202203307</v>
      </c>
      <c r="F10" s="13">
        <f>+ALUMPU!G13</f>
        <v>1837.0888407768909</v>
      </c>
    </row>
    <row r="11" spans="2:6" ht="28.5" x14ac:dyDescent="0.25">
      <c r="B11" s="11" t="s">
        <v>224</v>
      </c>
      <c r="C11" s="12">
        <f>+IMPD!D18</f>
        <v>9683.9848152940012</v>
      </c>
      <c r="D11" s="12">
        <f>+IMPD!E18</f>
        <v>10159.955789120784</v>
      </c>
      <c r="E11" s="12">
        <f>+IMPD!F18</f>
        <v>8992.9317283033834</v>
      </c>
      <c r="F11" s="13">
        <f>+IMPD!G18</f>
        <v>8593.6748180601498</v>
      </c>
    </row>
    <row r="12" spans="2:6" ht="28.5" x14ac:dyDescent="0.25">
      <c r="B12" s="11" t="s">
        <v>196</v>
      </c>
      <c r="C12" s="12">
        <v>-17122.859273783444</v>
      </c>
      <c r="D12" s="14"/>
      <c r="E12" s="14"/>
      <c r="F12" s="15"/>
    </row>
    <row r="13" spans="2:6" ht="3" customHeight="1" x14ac:dyDescent="0.25">
      <c r="B13" s="16"/>
      <c r="C13" s="17"/>
      <c r="D13" s="17"/>
      <c r="E13" s="17"/>
      <c r="F13" s="18"/>
    </row>
    <row r="14" spans="2:6" ht="15.75" thickBot="1" x14ac:dyDescent="0.3">
      <c r="B14" s="260" t="s">
        <v>225</v>
      </c>
      <c r="C14" s="261">
        <f>+C8+C11+C9+C10+C12</f>
        <v>37696.848218369327</v>
      </c>
      <c r="D14" s="261">
        <f>+D8+D11+D9+D10+D12</f>
        <v>58215.870081562527</v>
      </c>
      <c r="E14" s="261">
        <f>+E8+E11+E9+E10+E12</f>
        <v>59630.485682378407</v>
      </c>
      <c r="F14" s="262">
        <f>+F8+F11+F9+F10+F12</f>
        <v>61620.51125018952</v>
      </c>
    </row>
    <row r="15" spans="2:6" x14ac:dyDescent="0.25">
      <c r="B15" s="19"/>
      <c r="C15" s="20"/>
      <c r="D15" s="20"/>
      <c r="E15" s="20"/>
      <c r="F15" s="20"/>
    </row>
    <row r="16" spans="2:6" x14ac:dyDescent="0.25">
      <c r="B16" s="21" t="s">
        <v>69</v>
      </c>
      <c r="C16" s="22">
        <f>1/(1+RETORNO!G9)</f>
        <v>0.91793647879566742</v>
      </c>
      <c r="D16" s="23">
        <f>1/(1+RETORNO!G9)*1/(1+RETORNO!G9)</f>
        <v>0.8426073791037888</v>
      </c>
      <c r="E16" s="23">
        <f>1/(1+RETORNO!G9)*1/(1+RETORNO!G9)*1/(1+RETORNO!G9)</f>
        <v>0.77346005058177791</v>
      </c>
      <c r="F16" s="23">
        <f>1/(1+RETORNO!G9)*1/(1+RETORNO!G9)*1/(1+RETORNO!G9)*1/(1+RETORNO!G9)</f>
        <v>0.70998719532015597</v>
      </c>
    </row>
    <row r="17" spans="1:7" x14ac:dyDescent="0.25">
      <c r="B17" s="24" t="s">
        <v>70</v>
      </c>
      <c r="C17" s="25">
        <f>+(1+C16)/2</f>
        <v>0.95896823939783371</v>
      </c>
      <c r="D17" s="26">
        <f>+(C16+D16)/2</f>
        <v>0.88027192894972806</v>
      </c>
      <c r="E17" s="26">
        <f>+(D16+E16)/2</f>
        <v>0.80803371484278341</v>
      </c>
      <c r="F17" s="26">
        <f>+(E16+F16)/2</f>
        <v>0.74172362295096694</v>
      </c>
      <c r="G17" s="27"/>
    </row>
    <row r="18" spans="1:7" ht="15.75" thickBot="1" x14ac:dyDescent="0.3">
      <c r="B18" s="27"/>
      <c r="C18" s="27"/>
      <c r="D18" s="27"/>
      <c r="E18" s="27"/>
      <c r="F18" s="27"/>
      <c r="G18" s="27"/>
    </row>
    <row r="19" spans="1:7" x14ac:dyDescent="0.25">
      <c r="A19" s="27"/>
      <c r="B19" s="243" t="s">
        <v>104</v>
      </c>
      <c r="C19" s="9" t="s">
        <v>161</v>
      </c>
      <c r="D19" s="9" t="s">
        <v>162</v>
      </c>
      <c r="E19" s="9" t="s">
        <v>163</v>
      </c>
      <c r="F19" s="10" t="s">
        <v>164</v>
      </c>
      <c r="G19" s="27"/>
    </row>
    <row r="20" spans="1:7" x14ac:dyDescent="0.25">
      <c r="B20" s="28"/>
      <c r="C20" s="28"/>
      <c r="D20" s="28"/>
      <c r="E20" s="28"/>
      <c r="F20" s="28"/>
      <c r="G20" s="27"/>
    </row>
    <row r="21" spans="1:7" x14ac:dyDescent="0.25">
      <c r="B21" s="29" t="s">
        <v>30</v>
      </c>
      <c r="C21" s="30">
        <f>+(C8+$C$12/SUM($C$8:$C$11)*C8)*C$17</f>
        <v>20477.790425451843</v>
      </c>
      <c r="D21" s="30">
        <f t="shared" ref="D21:F24" si="0">+D8*D$17</f>
        <v>29296.447164957972</v>
      </c>
      <c r="E21" s="30">
        <f t="shared" si="0"/>
        <v>28499.64509469012</v>
      </c>
      <c r="F21" s="30">
        <f t="shared" si="0"/>
        <v>27487.809325257447</v>
      </c>
      <c r="G21" s="27"/>
    </row>
    <row r="22" spans="1:7" x14ac:dyDescent="0.25">
      <c r="A22" s="8" t="s">
        <v>68</v>
      </c>
      <c r="B22" s="29" t="s">
        <v>15</v>
      </c>
      <c r="C22" s="30">
        <f>+(C9+$C$12/SUM($C$8:$C$11)*C9)*C$17</f>
        <v>8381.7340401702713</v>
      </c>
      <c r="D22" s="30">
        <f t="shared" si="0"/>
        <v>11593.352754670072</v>
      </c>
      <c r="E22" s="30">
        <f t="shared" si="0"/>
        <v>11024.358413107751</v>
      </c>
      <c r="F22" s="30">
        <f t="shared" si="0"/>
        <v>10480.835716146043</v>
      </c>
      <c r="G22" s="31"/>
    </row>
    <row r="23" spans="1:7" x14ac:dyDescent="0.25">
      <c r="B23" s="29" t="s">
        <v>13</v>
      </c>
      <c r="C23" s="30">
        <f>+(C10+$C$12/SUM($C$8:$C$11)*C10)*C$17</f>
        <v>904.58898553466327</v>
      </c>
      <c r="D23" s="30">
        <f t="shared" si="0"/>
        <v>1412.4724520224649</v>
      </c>
      <c r="E23" s="30">
        <f t="shared" si="0"/>
        <v>1392.8473242652419</v>
      </c>
      <c r="F23" s="30">
        <f t="shared" si="0"/>
        <v>1362.6121906638275</v>
      </c>
      <c r="G23" s="27"/>
    </row>
    <row r="24" spans="1:7" x14ac:dyDescent="0.25">
      <c r="B24" s="29" t="s">
        <v>11</v>
      </c>
      <c r="C24" s="30">
        <f>+(C11+$C$12/SUM($C$8:$C$11)*C11)*C$17</f>
        <v>6385.9667156602172</v>
      </c>
      <c r="D24" s="30">
        <f t="shared" si="0"/>
        <v>8943.5238805333083</v>
      </c>
      <c r="E24" s="30">
        <f t="shared" si="0"/>
        <v>7266.5920317485152</v>
      </c>
      <c r="F24" s="30">
        <f t="shared" si="0"/>
        <v>6374.1316205140656</v>
      </c>
      <c r="G24" s="27"/>
    </row>
    <row r="25" spans="1:7" x14ac:dyDescent="0.25">
      <c r="B25" s="29"/>
      <c r="C25" s="32"/>
      <c r="D25" s="32"/>
      <c r="E25" s="32"/>
      <c r="F25" s="32"/>
      <c r="G25" s="27"/>
    </row>
    <row r="26" spans="1:7" x14ac:dyDescent="0.25">
      <c r="B26" s="33" t="s">
        <v>16</v>
      </c>
      <c r="C26" s="34">
        <f>SUM(C21:C25)</f>
        <v>36150.080166816995</v>
      </c>
      <c r="D26" s="34">
        <f>SUM(D21:D25)</f>
        <v>51245.796252183813</v>
      </c>
      <c r="E26" s="34">
        <f>SUM(E21:E25)</f>
        <v>48183.442863811622</v>
      </c>
      <c r="F26" s="34">
        <f>SUM(F21:F25)</f>
        <v>45705.388852581389</v>
      </c>
      <c r="G26" s="27"/>
    </row>
    <row r="27" spans="1:7" x14ac:dyDescent="0.25">
      <c r="D27" s="31"/>
      <c r="E27" s="31"/>
      <c r="F27" s="31"/>
      <c r="G27" s="27"/>
    </row>
    <row r="28" spans="1:7" x14ac:dyDescent="0.25">
      <c r="B28" s="3" t="s">
        <v>94</v>
      </c>
      <c r="C28" s="4">
        <f>C17*DEMANDA!E12</f>
        <v>782853.69825821556</v>
      </c>
      <c r="D28" s="4">
        <f>D17*DEMANDA!F12</f>
        <v>736575.21637109492</v>
      </c>
      <c r="E28" s="4">
        <f>E17*DEMANDA!G12</f>
        <v>693032.49199593579</v>
      </c>
      <c r="F28" s="4">
        <f>F17*DEMANDA!H12</f>
        <v>652063.80052857904</v>
      </c>
      <c r="G28" s="27"/>
    </row>
    <row r="29" spans="1:7" x14ac:dyDescent="0.25">
      <c r="G29" s="27"/>
    </row>
    <row r="30" spans="1:7" ht="15.75" thickBot="1" x14ac:dyDescent="0.3">
      <c r="G30" s="27"/>
    </row>
    <row r="31" spans="1:7" x14ac:dyDescent="0.25">
      <c r="B31" s="278" t="s">
        <v>103</v>
      </c>
      <c r="C31" s="279"/>
      <c r="D31" s="280"/>
    </row>
    <row r="32" spans="1:7" x14ac:dyDescent="0.25">
      <c r="B32" s="283" t="s">
        <v>91</v>
      </c>
      <c r="C32" s="282" t="s">
        <v>57</v>
      </c>
      <c r="D32" s="281" t="s">
        <v>165</v>
      </c>
    </row>
    <row r="33" spans="2:7" ht="20.25" customHeight="1" x14ac:dyDescent="0.25">
      <c r="B33" s="283"/>
      <c r="C33" s="282"/>
      <c r="D33" s="281"/>
    </row>
    <row r="34" spans="2:7" x14ac:dyDescent="0.25">
      <c r="B34" s="35" t="s">
        <v>226</v>
      </c>
      <c r="C34" s="36" t="s">
        <v>101</v>
      </c>
      <c r="D34" s="37">
        <f>+C21+D21+E21+F21</f>
        <v>105761.69201035738</v>
      </c>
    </row>
    <row r="35" spans="2:7" x14ac:dyDescent="0.25">
      <c r="B35" s="35" t="s">
        <v>201</v>
      </c>
      <c r="C35" s="36" t="s">
        <v>101</v>
      </c>
      <c r="D35" s="37">
        <f>+C22+D22+E22+F22</f>
        <v>41480.280924094135</v>
      </c>
      <c r="E35" s="38"/>
    </row>
    <row r="36" spans="2:7" x14ac:dyDescent="0.25">
      <c r="B36" s="35" t="s">
        <v>227</v>
      </c>
      <c r="C36" s="36" t="s">
        <v>101</v>
      </c>
      <c r="D36" s="37">
        <f>+C23+D23+E23+F23</f>
        <v>5072.5209524861975</v>
      </c>
      <c r="E36" s="38"/>
    </row>
    <row r="37" spans="2:7" x14ac:dyDescent="0.25">
      <c r="B37" s="35" t="s">
        <v>97</v>
      </c>
      <c r="C37" s="36" t="s">
        <v>101</v>
      </c>
      <c r="D37" s="37">
        <f>SUM(D34:D36)</f>
        <v>152314.49388693771</v>
      </c>
      <c r="E37" s="38"/>
    </row>
    <row r="38" spans="2:7" x14ac:dyDescent="0.25">
      <c r="B38" s="35" t="s">
        <v>228</v>
      </c>
      <c r="C38" s="36" t="s">
        <v>101</v>
      </c>
      <c r="D38" s="39">
        <f>+C24+D24+E24+F24</f>
        <v>28970.214248456105</v>
      </c>
      <c r="E38" s="38"/>
    </row>
    <row r="39" spans="2:7" x14ac:dyDescent="0.25">
      <c r="B39" s="35" t="s">
        <v>98</v>
      </c>
      <c r="C39" s="36" t="s">
        <v>101</v>
      </c>
      <c r="D39" s="37">
        <f>SUM(D34:D36)+D38</f>
        <v>181284.7081353938</v>
      </c>
      <c r="E39" s="38"/>
    </row>
    <row r="40" spans="2:7" x14ac:dyDescent="0.25">
      <c r="B40" s="35" t="s">
        <v>202</v>
      </c>
      <c r="C40" s="36" t="s">
        <v>10</v>
      </c>
      <c r="D40" s="37">
        <f>+C28+D28+E28+F28</f>
        <v>2864525.2071538251</v>
      </c>
      <c r="E40" s="38"/>
    </row>
    <row r="41" spans="2:7" x14ac:dyDescent="0.25">
      <c r="B41" s="254" t="s">
        <v>193</v>
      </c>
      <c r="C41" s="255" t="s">
        <v>102</v>
      </c>
      <c r="D41" s="256">
        <f>+D39/D40*1000</f>
        <v>63.286127726387569</v>
      </c>
      <c r="E41" s="38"/>
      <c r="G41" s="196"/>
    </row>
    <row r="42" spans="2:7" ht="15.75" thickBot="1" x14ac:dyDescent="0.3">
      <c r="B42" s="257" t="s">
        <v>194</v>
      </c>
      <c r="C42" s="258" t="s">
        <v>102</v>
      </c>
      <c r="D42" s="259">
        <f>D41-(D38*1000/D40)</f>
        <v>53.172684082705786</v>
      </c>
      <c r="E42" s="38"/>
      <c r="G42" s="196"/>
    </row>
    <row r="43" spans="2:7" x14ac:dyDescent="0.25">
      <c r="D43" s="40"/>
    </row>
    <row r="44" spans="2:7" x14ac:dyDescent="0.25">
      <c r="B44" s="8" t="s">
        <v>99</v>
      </c>
    </row>
    <row r="45" spans="2:7" x14ac:dyDescent="0.25">
      <c r="B45" s="8" t="s">
        <v>100</v>
      </c>
    </row>
    <row r="46" spans="2:7" x14ac:dyDescent="0.25">
      <c r="B46" s="41"/>
    </row>
    <row r="47" spans="2:7" ht="42.75" hidden="1" x14ac:dyDescent="0.25">
      <c r="C47" s="5" t="s">
        <v>95</v>
      </c>
    </row>
    <row r="48" spans="2:7" hidden="1" x14ac:dyDescent="0.25">
      <c r="C48" s="42" t="s">
        <v>96</v>
      </c>
    </row>
    <row r="49" hidden="1" x14ac:dyDescent="0.25"/>
  </sheetData>
  <sheetProtection algorithmName="SHA-512" hashValue="jsXrAM7IAjlDDaa5SU8lyrUWsrgHHDgIde3mUIA8EZX5BiDPwjUU3I30xLUas+g74MRkA0Po7Dst6fO/UldRVw==" saltValue="B9emp3Uk/E2U0SsXAnELMQ==" spinCount="100000" sheet="1" objects="1" scenarios="1"/>
  <mergeCells count="4">
    <mergeCell ref="B31:D31"/>
    <mergeCell ref="D32:D33"/>
    <mergeCell ref="C32:C33"/>
    <mergeCell ref="B32:B33"/>
  </mergeCells>
  <phoneticPr fontId="0" type="noConversion"/>
  <dataValidations count="1">
    <dataValidation type="list" allowBlank="1" showInputMessage="1" showErrorMessage="1" sqref="C48">
      <formula1>#REF!</formula1>
    </dataValidation>
  </dataValidations>
  <pageMargins left="0.74803149606299213" right="0.74803149606299213" top="0.62992125984251968" bottom="0.55118110236220474" header="0.39370078740157483" footer="0"/>
  <pageSetup scale="72" orientation="landscape" horizontalDpi="300" verticalDpi="300" r:id="rId1"/>
  <headerFooter alignWithMargins="0">
    <oddFooter xml:space="preserve">&amp;C&amp;A&amp;R
</oddFooter>
  </headerFooter>
  <ignoredErrors>
    <ignoredError sqref="D34:D39 D41:D42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G43"/>
  <sheetViews>
    <sheetView zoomScaleNormal="100" workbookViewId="0">
      <selection activeCell="C12" sqref="C12"/>
    </sheetView>
  </sheetViews>
  <sheetFormatPr baseColWidth="10" defaultColWidth="11.42578125" defaultRowHeight="15" x14ac:dyDescent="0.25"/>
  <cols>
    <col min="1" max="1" width="1.140625" style="8" customWidth="1"/>
    <col min="2" max="2" width="52.85546875" style="8" customWidth="1"/>
    <col min="3" max="4" width="11.42578125" style="8"/>
    <col min="5" max="5" width="4" style="8" customWidth="1"/>
    <col min="6" max="6" width="38.85546875" style="8" customWidth="1"/>
    <col min="7" max="16384" width="11.42578125" style="8"/>
  </cols>
  <sheetData>
    <row r="2" spans="2:7" x14ac:dyDescent="0.25">
      <c r="B2" s="6"/>
    </row>
    <row r="3" spans="2:7" x14ac:dyDescent="0.25">
      <c r="B3" s="6" t="s">
        <v>176</v>
      </c>
    </row>
    <row r="4" spans="2:7" x14ac:dyDescent="0.25">
      <c r="B4" s="67" t="s">
        <v>44</v>
      </c>
    </row>
    <row r="5" spans="2:7" x14ac:dyDescent="0.25">
      <c r="C5" s="87"/>
      <c r="F5" s="6" t="s">
        <v>44</v>
      </c>
    </row>
    <row r="6" spans="2:7" x14ac:dyDescent="0.25">
      <c r="B6" s="274" t="s">
        <v>74</v>
      </c>
      <c r="C6" s="274" t="s">
        <v>75</v>
      </c>
      <c r="D6" s="274" t="s">
        <v>75</v>
      </c>
    </row>
    <row r="7" spans="2:7" x14ac:dyDescent="0.25">
      <c r="B7" s="206" t="s">
        <v>76</v>
      </c>
      <c r="C7" s="264">
        <v>2.9380000000000003E-2</v>
      </c>
      <c r="D7" s="265">
        <v>2.9380000000000003E-2</v>
      </c>
      <c r="F7" s="6" t="s">
        <v>87</v>
      </c>
    </row>
    <row r="8" spans="2:7" ht="15.75" thickBot="1" x14ac:dyDescent="0.3">
      <c r="B8" s="207" t="s">
        <v>230</v>
      </c>
      <c r="C8" s="264">
        <v>1.2752676923076925E-2</v>
      </c>
      <c r="D8" s="265">
        <v>1.2752676923076925E-2</v>
      </c>
    </row>
    <row r="9" spans="2:7" ht="15.75" thickBot="1" x14ac:dyDescent="0.3">
      <c r="B9" s="207" t="s">
        <v>77</v>
      </c>
      <c r="C9" s="266">
        <v>0.88953488372093026</v>
      </c>
      <c r="D9" s="267">
        <v>0.88953488372093026</v>
      </c>
      <c r="F9" s="208" t="s">
        <v>242</v>
      </c>
      <c r="G9" s="209">
        <v>8.9399999999999993E-2</v>
      </c>
    </row>
    <row r="10" spans="2:7" x14ac:dyDescent="0.25">
      <c r="B10" s="207" t="s">
        <v>78</v>
      </c>
      <c r="C10" s="264">
        <v>6.3760297112569225E-2</v>
      </c>
      <c r="D10" s="265">
        <v>5.0007569458041606E-2</v>
      </c>
    </row>
    <row r="11" spans="2:7" x14ac:dyDescent="0.25">
      <c r="B11" s="210" t="s">
        <v>231</v>
      </c>
      <c r="C11" s="268">
        <v>9.8849685401118159E-2</v>
      </c>
      <c r="D11" s="269">
        <v>8.6616154406102305E-2</v>
      </c>
      <c r="F11" s="6" t="s">
        <v>66</v>
      </c>
    </row>
    <row r="12" spans="2:7" ht="15.75" thickBot="1" x14ac:dyDescent="0.3">
      <c r="B12" s="211" t="s">
        <v>79</v>
      </c>
      <c r="C12" s="264">
        <v>6.1212676923076928E-2</v>
      </c>
      <c r="D12" s="265">
        <v>5.3672676923076923E-2</v>
      </c>
    </row>
    <row r="13" spans="2:7" ht="15.75" thickBot="1" x14ac:dyDescent="0.3">
      <c r="B13" s="211" t="s">
        <v>80</v>
      </c>
      <c r="C13" s="268">
        <v>4.2848873846153844E-2</v>
      </c>
      <c r="D13" s="269">
        <v>3.7570873846153846E-2</v>
      </c>
      <c r="F13" s="208" t="s">
        <v>243</v>
      </c>
      <c r="G13" s="209">
        <f>+C19</f>
        <v>7.6454796290512508E-2</v>
      </c>
    </row>
    <row r="14" spans="2:7" ht="15.75" thickBot="1" x14ac:dyDescent="0.3">
      <c r="B14" s="207" t="s">
        <v>81</v>
      </c>
      <c r="C14" s="270">
        <v>0.5</v>
      </c>
      <c r="D14" s="271">
        <v>0.65</v>
      </c>
      <c r="F14" s="208" t="s">
        <v>243</v>
      </c>
      <c r="G14" s="209">
        <f>+D19</f>
        <v>5.3954366767400931E-2</v>
      </c>
    </row>
    <row r="15" spans="2:7" x14ac:dyDescent="0.25">
      <c r="B15" s="207" t="s">
        <v>82</v>
      </c>
      <c r="C15" s="270">
        <v>0.5</v>
      </c>
      <c r="D15" s="271">
        <v>0.35</v>
      </c>
    </row>
    <row r="16" spans="2:7" x14ac:dyDescent="0.25">
      <c r="B16" s="212" t="s">
        <v>84</v>
      </c>
      <c r="C16" s="268">
        <v>0.10121325660519429</v>
      </c>
      <c r="D16" s="269">
        <v>7.8195317203051146E-2</v>
      </c>
    </row>
    <row r="17" spans="2:4" x14ac:dyDescent="0.25">
      <c r="B17" s="212" t="s">
        <v>83</v>
      </c>
      <c r="C17" s="268">
        <v>7.0849279623636005E-2</v>
      </c>
      <c r="D17" s="269">
        <v>5.473672204213581E-2</v>
      </c>
    </row>
    <row r="18" spans="2:4" x14ac:dyDescent="0.25">
      <c r="B18" s="207" t="s">
        <v>232</v>
      </c>
      <c r="C18" s="264">
        <v>2.3E-2</v>
      </c>
      <c r="D18" s="265">
        <v>2.3E-2</v>
      </c>
    </row>
    <row r="19" spans="2:4" ht="15.75" thickBot="1" x14ac:dyDescent="0.3">
      <c r="B19" s="213" t="s">
        <v>233</v>
      </c>
      <c r="C19" s="272">
        <v>7.6454796290512508E-2</v>
      </c>
      <c r="D19" s="273">
        <v>5.3954366767400931E-2</v>
      </c>
    </row>
    <row r="20" spans="2:4" x14ac:dyDescent="0.25">
      <c r="B20" s="214"/>
      <c r="C20" s="214"/>
    </row>
    <row r="21" spans="2:4" x14ac:dyDescent="0.25">
      <c r="B21" s="214"/>
      <c r="C21" s="214"/>
    </row>
    <row r="22" spans="2:4" x14ac:dyDescent="0.25">
      <c r="B22" s="214"/>
      <c r="C22" s="214"/>
    </row>
    <row r="23" spans="2:4" x14ac:dyDescent="0.25">
      <c r="B23" s="214"/>
      <c r="C23" s="214"/>
    </row>
    <row r="24" spans="2:4" x14ac:dyDescent="0.25">
      <c r="B24" s="214"/>
      <c r="C24" s="214"/>
    </row>
    <row r="25" spans="2:4" x14ac:dyDescent="0.25">
      <c r="B25" s="214"/>
      <c r="C25" s="214"/>
    </row>
    <row r="26" spans="2:4" x14ac:dyDescent="0.25">
      <c r="B26" s="214"/>
      <c r="C26" s="214"/>
    </row>
    <row r="27" spans="2:4" x14ac:dyDescent="0.25">
      <c r="B27" s="214"/>
      <c r="C27" s="214"/>
    </row>
    <row r="28" spans="2:4" x14ac:dyDescent="0.25">
      <c r="B28" s="214"/>
      <c r="C28" s="214"/>
    </row>
    <row r="29" spans="2:4" x14ac:dyDescent="0.25">
      <c r="B29" s="214"/>
      <c r="C29" s="214"/>
    </row>
    <row r="30" spans="2:4" x14ac:dyDescent="0.25">
      <c r="B30" s="214"/>
      <c r="C30" s="214"/>
    </row>
    <row r="31" spans="2:4" x14ac:dyDescent="0.25">
      <c r="B31" s="214"/>
      <c r="C31" s="214"/>
    </row>
    <row r="32" spans="2:4" x14ac:dyDescent="0.25">
      <c r="B32" s="214"/>
      <c r="C32" s="214"/>
    </row>
    <row r="33" spans="2:3" x14ac:dyDescent="0.25">
      <c r="B33" s="214"/>
      <c r="C33" s="214"/>
    </row>
    <row r="34" spans="2:3" x14ac:dyDescent="0.25">
      <c r="B34" s="214"/>
      <c r="C34" s="214"/>
    </row>
    <row r="35" spans="2:3" x14ac:dyDescent="0.25">
      <c r="B35" s="214"/>
      <c r="C35" s="214"/>
    </row>
    <row r="36" spans="2:3" x14ac:dyDescent="0.25">
      <c r="B36" s="214"/>
      <c r="C36" s="214"/>
    </row>
    <row r="37" spans="2:3" x14ac:dyDescent="0.25">
      <c r="B37" s="214"/>
      <c r="C37" s="214"/>
    </row>
    <row r="38" spans="2:3" x14ac:dyDescent="0.25">
      <c r="B38" s="214"/>
      <c r="C38" s="214"/>
    </row>
    <row r="39" spans="2:3" x14ac:dyDescent="0.25">
      <c r="B39" s="214"/>
      <c r="C39" s="214"/>
    </row>
    <row r="40" spans="2:3" x14ac:dyDescent="0.25">
      <c r="B40" s="214"/>
      <c r="C40" s="214"/>
    </row>
    <row r="41" spans="2:3" x14ac:dyDescent="0.25">
      <c r="B41" s="214"/>
      <c r="C41" s="214"/>
    </row>
    <row r="42" spans="2:3" x14ac:dyDescent="0.25">
      <c r="B42" s="214"/>
      <c r="C42" s="214"/>
    </row>
    <row r="43" spans="2:3" x14ac:dyDescent="0.25">
      <c r="B43" s="214"/>
      <c r="C43" s="214"/>
    </row>
  </sheetData>
  <sheetProtection algorithmName="SHA-512" hashValue="XuJNVCtKQBQZU1w6/fHNDDGKo6Rchim5e5cd11JBb4k+DWpO4X9UxWANInYSyMiy1WmHnHa+p0Zt6b6GiXf5TQ==" saltValue="7siR8zqA2Gc/ZpxSHV7wag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94" orientation="landscape" r:id="rId1"/>
  <headerFooter alignWithMargins="0">
    <oddFooter xml:space="preserve">&amp;C&amp;A&amp;R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L28"/>
  <sheetViews>
    <sheetView zoomScaleNormal="100" workbookViewId="0">
      <selection activeCell="C12" sqref="C12"/>
    </sheetView>
  </sheetViews>
  <sheetFormatPr baseColWidth="10" defaultColWidth="11.42578125" defaultRowHeight="15" x14ac:dyDescent="0.25"/>
  <cols>
    <col min="1" max="1" width="1.7109375" style="8" customWidth="1"/>
    <col min="2" max="2" width="26.5703125" style="8" customWidth="1"/>
    <col min="3" max="3" width="24.42578125" style="8" customWidth="1"/>
    <col min="4" max="4" width="18.28515625" style="8" customWidth="1"/>
    <col min="5" max="5" width="19.5703125" style="8" customWidth="1"/>
    <col min="6" max="6" width="19.42578125" style="8" customWidth="1"/>
    <col min="7" max="7" width="17.42578125" style="8" customWidth="1"/>
    <col min="8" max="8" width="13.42578125" style="8" bestFit="1" customWidth="1"/>
    <col min="9" max="16384" width="11.42578125" style="8"/>
  </cols>
  <sheetData>
    <row r="2" spans="2:8" x14ac:dyDescent="0.25">
      <c r="B2" s="44" t="s">
        <v>176</v>
      </c>
    </row>
    <row r="4" spans="2:8" x14ac:dyDescent="0.25">
      <c r="B4" s="6" t="s">
        <v>106</v>
      </c>
    </row>
    <row r="5" spans="2:8" x14ac:dyDescent="0.25">
      <c r="B5" s="8" t="s">
        <v>72</v>
      </c>
    </row>
    <row r="6" spans="2:8" ht="15.75" thickBot="1" x14ac:dyDescent="0.3"/>
    <row r="7" spans="2:8" ht="24.75" customHeight="1" x14ac:dyDescent="0.25">
      <c r="B7" s="278" t="s">
        <v>20</v>
      </c>
      <c r="C7" s="279"/>
      <c r="D7" s="244" t="s">
        <v>161</v>
      </c>
      <c r="E7" s="244" t="s">
        <v>162</v>
      </c>
      <c r="F7" s="244" t="s">
        <v>163</v>
      </c>
      <c r="G7" s="245" t="s">
        <v>164</v>
      </c>
    </row>
    <row r="8" spans="2:8" ht="3" customHeight="1" x14ac:dyDescent="0.25">
      <c r="B8" s="43"/>
      <c r="C8" s="45"/>
      <c r="D8" s="45"/>
      <c r="E8" s="45"/>
      <c r="F8" s="45"/>
      <c r="G8" s="46"/>
    </row>
    <row r="9" spans="2:8" x14ac:dyDescent="0.25">
      <c r="B9" s="43" t="s">
        <v>5</v>
      </c>
      <c r="C9" s="45" t="s">
        <v>28</v>
      </c>
      <c r="D9" s="47">
        <f>+ACTIVOS!G14*RETORNO!$G$9</f>
        <v>8142.3643766412333</v>
      </c>
      <c r="E9" s="47">
        <f>+ACTIVOS!H14*RETORNO!$G$9</f>
        <v>9301.6558699132893</v>
      </c>
      <c r="F9" s="47">
        <f>+ACTIVOS!I14*RETORNO!$G$9</f>
        <v>10259.37244789975</v>
      </c>
      <c r="G9" s="48">
        <f>+ACTIVOS!J14*RETORNO!$G$9</f>
        <v>11044.835628338398</v>
      </c>
    </row>
    <row r="10" spans="2:8" x14ac:dyDescent="0.25">
      <c r="B10" s="43" t="s">
        <v>6</v>
      </c>
      <c r="C10" s="45" t="s">
        <v>29</v>
      </c>
      <c r="D10" s="47">
        <f>+ACTIVOS!G9*'PERDIDAS y OTROS'!E11</f>
        <v>5258.4283679909213</v>
      </c>
      <c r="E10" s="47">
        <f>+ACTIVOS!H9*'PERDIDAS y OTROS'!F11</f>
        <v>5813.531760956017</v>
      </c>
      <c r="F10" s="47">
        <f>+ACTIVOS!I9*'PERDIDAS y OTROS'!G11</f>
        <v>6316.8691770347577</v>
      </c>
      <c r="G10" s="48">
        <f>+ACTIVOS!J9*'PERDIDAS y OTROS'!H11</f>
        <v>6776.8532620909882</v>
      </c>
    </row>
    <row r="11" spans="2:8" x14ac:dyDescent="0.25">
      <c r="B11" s="43" t="s">
        <v>7</v>
      </c>
      <c r="C11" s="45" t="s">
        <v>27</v>
      </c>
      <c r="D11" s="47">
        <f>+REGRESIONES!D60/1000</f>
        <v>10670.779820834927</v>
      </c>
      <c r="E11" s="47">
        <f>+REGRESIONES!E60/1000</f>
        <v>10983.766530783891</v>
      </c>
      <c r="F11" s="47">
        <f>+REGRESIONES!F60/1000</f>
        <v>11305.949907255901</v>
      </c>
      <c r="G11" s="48">
        <f>+REGRESIONES!G60/1000</f>
        <v>11637.601031738268</v>
      </c>
      <c r="H11" s="49"/>
    </row>
    <row r="12" spans="2:8" x14ac:dyDescent="0.25">
      <c r="B12" s="43" t="s">
        <v>8</v>
      </c>
      <c r="C12" s="45" t="s">
        <v>25</v>
      </c>
      <c r="D12" s="47">
        <f>+REGRESIONES!D62/1000</f>
        <v>6981.9265147182214</v>
      </c>
      <c r="E12" s="47">
        <f>+REGRESIONES!E62/1000</f>
        <v>7182.178862675104</v>
      </c>
      <c r="F12" s="47">
        <f>+REGRESIONES!F62/1000</f>
        <v>7388.174754735137</v>
      </c>
      <c r="G12" s="48">
        <f>+REGRESIONES!G62/1000</f>
        <v>7600.0789245416809</v>
      </c>
      <c r="H12" s="49"/>
    </row>
    <row r="13" spans="2:8" ht="3" customHeight="1" x14ac:dyDescent="0.25">
      <c r="B13" s="43"/>
      <c r="C13" s="45"/>
      <c r="D13" s="50"/>
      <c r="E13" s="50"/>
      <c r="F13" s="50"/>
      <c r="G13" s="51"/>
    </row>
    <row r="14" spans="2:8" x14ac:dyDescent="0.25">
      <c r="B14" s="284" t="s">
        <v>30</v>
      </c>
      <c r="C14" s="285"/>
      <c r="D14" s="52">
        <f>+D12+D11+D10+D9</f>
        <v>31053.499080185306</v>
      </c>
      <c r="E14" s="52">
        <f>+E12+E11+E10+E9</f>
        <v>33281.133024328301</v>
      </c>
      <c r="F14" s="52">
        <f>+F12+F11+F10+F9</f>
        <v>35270.36628692555</v>
      </c>
      <c r="G14" s="53">
        <f>+G12+G11+G10+G9</f>
        <v>37059.368846709338</v>
      </c>
    </row>
    <row r="15" spans="2:8" ht="3" customHeight="1" x14ac:dyDescent="0.25">
      <c r="B15" s="54"/>
      <c r="C15" s="55"/>
      <c r="D15" s="47"/>
      <c r="E15" s="47"/>
      <c r="F15" s="47"/>
      <c r="G15" s="48"/>
    </row>
    <row r="16" spans="2:8" x14ac:dyDescent="0.25">
      <c r="B16" s="43" t="s">
        <v>145</v>
      </c>
      <c r="C16" s="45" t="s">
        <v>31</v>
      </c>
      <c r="D16" s="47">
        <f>+('PERDIDAS y OTROS'!E9+'PERDIDAS y OTROS'!E10)*'PERDIDAS y OTROS'!E8*DEMANDA!E7/1000</f>
        <v>9683.9848152940012</v>
      </c>
      <c r="E16" s="47">
        <f>+('PERDIDAS y OTROS'!F9+'PERDIDAS y OTROS'!F10)*'PERDIDAS y OTROS'!F8*DEMANDA!F7/1000</f>
        <v>10159.955789120784</v>
      </c>
      <c r="F16" s="47">
        <f>+('PERDIDAS y OTROS'!G9+'PERDIDAS y OTROS'!G10)*'PERDIDAS y OTROS'!G8*DEMANDA!G7/1000</f>
        <v>8992.9317283033834</v>
      </c>
      <c r="G16" s="48">
        <f>+('PERDIDAS y OTROS'!H9+'PERDIDAS y OTROS'!H10)*'PERDIDAS y OTROS'!H8*DEMANDA!H7/1000</f>
        <v>8593.6748180601498</v>
      </c>
    </row>
    <row r="17" spans="2:12" ht="3" customHeight="1" x14ac:dyDescent="0.25">
      <c r="B17" s="43"/>
      <c r="C17" s="55"/>
      <c r="D17" s="47"/>
      <c r="E17" s="47"/>
      <c r="F17" s="47"/>
      <c r="G17" s="48"/>
    </row>
    <row r="18" spans="2:12" x14ac:dyDescent="0.25">
      <c r="B18" s="284" t="s">
        <v>11</v>
      </c>
      <c r="C18" s="285"/>
      <c r="D18" s="52">
        <f>+D16+D17</f>
        <v>9683.9848152940012</v>
      </c>
      <c r="E18" s="52">
        <f>+E16+E17</f>
        <v>10159.955789120784</v>
      </c>
      <c r="F18" s="52">
        <f>+F16+F17</f>
        <v>8992.9317283033834</v>
      </c>
      <c r="G18" s="53">
        <f>+G16+G17</f>
        <v>8593.6748180601498</v>
      </c>
      <c r="L18" s="49"/>
    </row>
    <row r="19" spans="2:12" ht="3.75" customHeight="1" x14ac:dyDescent="0.25">
      <c r="B19" s="54"/>
      <c r="C19" s="45"/>
      <c r="D19" s="47"/>
      <c r="E19" s="47"/>
      <c r="F19" s="47"/>
      <c r="G19" s="48"/>
    </row>
    <row r="20" spans="2:12" ht="15.75" thickBot="1" x14ac:dyDescent="0.3">
      <c r="B20" s="286" t="s">
        <v>14</v>
      </c>
      <c r="C20" s="287"/>
      <c r="D20" s="56">
        <f>+D14+D18</f>
        <v>40737.483895479309</v>
      </c>
      <c r="E20" s="56">
        <f>+E14+E18</f>
        <v>43441.088813449081</v>
      </c>
      <c r="F20" s="56">
        <f>+F14+F18</f>
        <v>44263.298015228931</v>
      </c>
      <c r="G20" s="57">
        <f>+G14+G18</f>
        <v>45653.043664769488</v>
      </c>
    </row>
    <row r="22" spans="2:12" x14ac:dyDescent="0.25">
      <c r="B22" s="58"/>
      <c r="C22" s="58"/>
    </row>
    <row r="23" spans="2:12" x14ac:dyDescent="0.25">
      <c r="B23" s="58"/>
    </row>
    <row r="24" spans="2:12" x14ac:dyDescent="0.25">
      <c r="B24" s="58"/>
      <c r="C24" s="58"/>
      <c r="D24" s="59"/>
    </row>
    <row r="25" spans="2:12" x14ac:dyDescent="0.25">
      <c r="B25" s="58"/>
      <c r="D25" s="49"/>
      <c r="E25" s="49"/>
      <c r="F25" s="49"/>
      <c r="G25" s="49"/>
    </row>
    <row r="26" spans="2:12" x14ac:dyDescent="0.25">
      <c r="B26" s="58"/>
      <c r="C26" s="58"/>
    </row>
    <row r="27" spans="2:12" x14ac:dyDescent="0.25">
      <c r="B27" s="58"/>
      <c r="C27" s="58"/>
    </row>
    <row r="28" spans="2:12" x14ac:dyDescent="0.25">
      <c r="B28" s="58"/>
      <c r="C28" s="58"/>
    </row>
  </sheetData>
  <sheetProtection algorithmName="SHA-512" hashValue="Anpa7nnKrz5ru/DcYrI4tDIVKkOHojmFCHAGYJfww3RybudbtyW3bjtMeBpjdFE71mdnN6/pOCq7UvCD/BmrFQ==" saltValue="Oqi5qjJKh/MdpJQOTa3JKg==" spinCount="100000" sheet="1" objects="1" scenarios="1"/>
  <mergeCells count="4">
    <mergeCell ref="B7:C7"/>
    <mergeCell ref="B14:C14"/>
    <mergeCell ref="B18:C18"/>
    <mergeCell ref="B20:C20"/>
  </mergeCells>
  <phoneticPr fontId="0" type="noConversion"/>
  <pageMargins left="0.74803149606299213" right="0.74803149606299213" top="0.62992125984251968" bottom="0.55118110236220474" header="0.39370078740157483" footer="0"/>
  <pageSetup scale="96" orientation="landscape" horizontalDpi="300" verticalDpi="300" r:id="rId1"/>
  <headerFooter alignWithMargins="0">
    <oddFooter xml:space="preserve">&amp;C&amp;A&amp;R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G19"/>
  <sheetViews>
    <sheetView topLeftCell="B1" zoomScaleNormal="100" workbookViewId="0">
      <selection activeCell="C12" sqref="C12"/>
    </sheetView>
  </sheetViews>
  <sheetFormatPr baseColWidth="10" defaultColWidth="11.42578125" defaultRowHeight="15" x14ac:dyDescent="0.25"/>
  <cols>
    <col min="1" max="1" width="1.28515625" style="8" customWidth="1"/>
    <col min="2" max="2" width="27.140625" style="8" customWidth="1"/>
    <col min="3" max="3" width="15.85546875" style="8" customWidth="1"/>
    <col min="4" max="7" width="18.5703125" style="8" bestFit="1" customWidth="1"/>
    <col min="8" max="8" width="13.42578125" style="8" bestFit="1" customWidth="1"/>
    <col min="9" max="16384" width="11.42578125" style="8"/>
  </cols>
  <sheetData>
    <row r="2" spans="2:7" x14ac:dyDescent="0.25">
      <c r="B2" s="44" t="s">
        <v>176</v>
      </c>
    </row>
    <row r="4" spans="2:7" x14ac:dyDescent="0.25">
      <c r="B4" s="6" t="s">
        <v>229</v>
      </c>
    </row>
    <row r="5" spans="2:7" x14ac:dyDescent="0.25">
      <c r="B5" s="8" t="s">
        <v>72</v>
      </c>
    </row>
    <row r="6" spans="2:7" ht="15.75" thickBot="1" x14ac:dyDescent="0.3">
      <c r="B6" s="60"/>
      <c r="C6" s="58"/>
    </row>
    <row r="7" spans="2:7" ht="27" customHeight="1" x14ac:dyDescent="0.25">
      <c r="B7" s="278" t="s">
        <v>12</v>
      </c>
      <c r="C7" s="279"/>
      <c r="D7" s="244" t="s">
        <v>161</v>
      </c>
      <c r="E7" s="244" t="s">
        <v>162</v>
      </c>
      <c r="F7" s="244" t="s">
        <v>163</v>
      </c>
      <c r="G7" s="245" t="s">
        <v>164</v>
      </c>
    </row>
    <row r="8" spans="2:7" ht="3.75" customHeight="1" x14ac:dyDescent="0.25">
      <c r="B8" s="16"/>
      <c r="C8" s="45"/>
      <c r="D8" s="45"/>
      <c r="E8" s="45"/>
      <c r="F8" s="45"/>
      <c r="G8" s="46"/>
    </row>
    <row r="9" spans="2:7" x14ac:dyDescent="0.25">
      <c r="B9" s="43" t="s">
        <v>5</v>
      </c>
      <c r="C9" s="45" t="s">
        <v>35</v>
      </c>
      <c r="D9" s="47">
        <f>+ACTIVOS!G15*RETORNO!$G$9</f>
        <v>541.17264525696805</v>
      </c>
      <c r="E9" s="47">
        <f>+ACTIVOS!H15*RETORNO!$G$9</f>
        <v>578.83406419825667</v>
      </c>
      <c r="F9" s="47">
        <f>+ACTIVOS!I15*RETORNO!$G$9</f>
        <v>616.03254931680169</v>
      </c>
      <c r="G9" s="48">
        <f>+ACTIVOS!J15*RETORNO!$G$9</f>
        <v>652.57100427956925</v>
      </c>
    </row>
    <row r="10" spans="2:7" x14ac:dyDescent="0.25">
      <c r="B10" s="43" t="s">
        <v>6</v>
      </c>
      <c r="C10" s="45" t="s">
        <v>36</v>
      </c>
      <c r="D10" s="47">
        <f>+ACTIVOS!G10*'PERDIDAS y OTROS'!E12</f>
        <v>362.3887287238544</v>
      </c>
      <c r="E10" s="47">
        <f>+ACTIVOS!H10*'PERDIDAS y OTROS'!F12</f>
        <v>393.23320259259913</v>
      </c>
      <c r="F10" s="47">
        <f>+ACTIVOS!I10*'PERDIDAS y OTROS'!G12</f>
        <v>425.0878905809588</v>
      </c>
      <c r="G10" s="48">
        <f>+ACTIVOS!J10*'PERDIDAS y OTROS'!H12</f>
        <v>457.90577984709762</v>
      </c>
    </row>
    <row r="11" spans="2:7" x14ac:dyDescent="0.25">
      <c r="B11" s="43" t="s">
        <v>37</v>
      </c>
      <c r="C11" s="45" t="s">
        <v>21</v>
      </c>
      <c r="D11" s="47">
        <f>+REGRESIONES!D61/1000</f>
        <v>11806.900296887765</v>
      </c>
      <c r="E11" s="47">
        <f>+REGRESIONES!E61/1000</f>
        <v>12198.127503025737</v>
      </c>
      <c r="F11" s="47">
        <f>+REGRESIONES!F61/1000</f>
        <v>12602.31820703138</v>
      </c>
      <c r="G11" s="48">
        <f>+REGRESIONES!G61/1000</f>
        <v>13019.901960516467</v>
      </c>
    </row>
    <row r="12" spans="2:7" ht="3" customHeight="1" x14ac:dyDescent="0.25">
      <c r="B12" s="54"/>
      <c r="C12" s="55"/>
      <c r="D12" s="47"/>
      <c r="E12" s="47"/>
      <c r="F12" s="47"/>
      <c r="G12" s="48"/>
    </row>
    <row r="13" spans="2:7" ht="15.75" thickBot="1" x14ac:dyDescent="0.3">
      <c r="B13" s="286" t="s">
        <v>15</v>
      </c>
      <c r="C13" s="287"/>
      <c r="D13" s="56">
        <f>+D9+D10+D11</f>
        <v>12710.461670868588</v>
      </c>
      <c r="E13" s="56">
        <f>+E9+E10+E11</f>
        <v>13170.194769816593</v>
      </c>
      <c r="F13" s="56">
        <f>+F9+F10+F11</f>
        <v>13643.43864692914</v>
      </c>
      <c r="G13" s="57">
        <f>+G9+G10+G11</f>
        <v>14130.378744643134</v>
      </c>
    </row>
    <row r="16" spans="2:7" x14ac:dyDescent="0.25">
      <c r="D16" s="49"/>
      <c r="E16" s="49"/>
      <c r="F16" s="49"/>
      <c r="G16" s="49"/>
    </row>
    <row r="17" spans="4:7" x14ac:dyDescent="0.25">
      <c r="D17" s="49"/>
      <c r="E17" s="49"/>
      <c r="F17" s="49"/>
      <c r="G17" s="49"/>
    </row>
    <row r="18" spans="4:7" x14ac:dyDescent="0.25">
      <c r="D18" s="41"/>
      <c r="E18" s="41"/>
      <c r="F18" s="41"/>
      <c r="G18" s="41"/>
    </row>
    <row r="19" spans="4:7" x14ac:dyDescent="0.25">
      <c r="D19" s="49"/>
      <c r="E19" s="49"/>
      <c r="F19" s="49"/>
      <c r="G19" s="49"/>
    </row>
  </sheetData>
  <sheetProtection algorithmName="SHA-512" hashValue="czqmOz+Pc2sgTcdDfUkxA0VYlIF/sDHxRqgDCiUNq2a2zHf007x3aTc4PJK8FKL7iHhW71S/T5uS5HH2a+EpKw==" saltValue="arLeWtKux0Lhd7j4/JuSdQ==" spinCount="100000" sheet="1" objects="1" scenarios="1"/>
  <mergeCells count="2">
    <mergeCell ref="B7:C7"/>
    <mergeCell ref="B13:C13"/>
  </mergeCells>
  <phoneticPr fontId="0" type="noConversion"/>
  <pageMargins left="0.74803149606299213" right="0.74803149606299213" top="0.62992125984251968" bottom="0.55118110236220474" header="0.39370078740157483" footer="0"/>
  <pageSetup orientation="landscape" r:id="rId1"/>
  <headerFooter alignWithMargins="0">
    <oddFooter xml:space="preserve">&amp;C&amp;A&amp;R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H40"/>
  <sheetViews>
    <sheetView zoomScaleNormal="100" workbookViewId="0">
      <selection activeCell="C12" sqref="C12"/>
    </sheetView>
  </sheetViews>
  <sheetFormatPr baseColWidth="10" defaultColWidth="11.42578125" defaultRowHeight="15" x14ac:dyDescent="0.25"/>
  <cols>
    <col min="1" max="1" width="1.7109375" style="8" customWidth="1"/>
    <col min="2" max="2" width="28.5703125" style="8" customWidth="1"/>
    <col min="3" max="3" width="19.7109375" style="8" customWidth="1"/>
    <col min="4" max="5" width="18.5703125" style="8" bestFit="1" customWidth="1"/>
    <col min="6" max="6" width="18.5703125" style="8" customWidth="1"/>
    <col min="7" max="7" width="18.5703125" style="8" bestFit="1" customWidth="1"/>
    <col min="8" max="8" width="13.42578125" style="8" bestFit="1" customWidth="1"/>
    <col min="9" max="16384" width="11.42578125" style="8"/>
  </cols>
  <sheetData>
    <row r="2" spans="2:7" x14ac:dyDescent="0.25">
      <c r="B2" s="44" t="s">
        <v>176</v>
      </c>
    </row>
    <row r="4" spans="2:7" x14ac:dyDescent="0.25">
      <c r="B4" s="6" t="s">
        <v>108</v>
      </c>
    </row>
    <row r="5" spans="2:7" x14ac:dyDescent="0.25">
      <c r="B5" s="8" t="s">
        <v>72</v>
      </c>
    </row>
    <row r="6" spans="2:7" ht="15.75" thickBot="1" x14ac:dyDescent="0.3"/>
    <row r="7" spans="2:7" ht="20.25" customHeight="1" x14ac:dyDescent="0.25">
      <c r="B7" s="278" t="s">
        <v>9</v>
      </c>
      <c r="C7" s="279"/>
      <c r="D7" s="244" t="s">
        <v>161</v>
      </c>
      <c r="E7" s="244" t="s">
        <v>162</v>
      </c>
      <c r="F7" s="244" t="s">
        <v>163</v>
      </c>
      <c r="G7" s="245" t="s">
        <v>164</v>
      </c>
    </row>
    <row r="8" spans="2:7" ht="3.75" customHeight="1" x14ac:dyDescent="0.25">
      <c r="B8" s="43"/>
      <c r="C8" s="45"/>
      <c r="D8" s="45"/>
      <c r="E8" s="45"/>
      <c r="F8" s="45"/>
      <c r="G8" s="46"/>
    </row>
    <row r="9" spans="2:7" x14ac:dyDescent="0.25">
      <c r="B9" s="43" t="s">
        <v>5</v>
      </c>
      <c r="C9" s="45" t="s">
        <v>38</v>
      </c>
      <c r="D9" s="47">
        <f>+ACTIVOS!G16*RETORNO!$G$9</f>
        <v>632.92131313418486</v>
      </c>
      <c r="E9" s="47">
        <f>+ACTIVOS!H16*RETORNO!$G$9</f>
        <v>784.8173361461694</v>
      </c>
      <c r="F9" s="47">
        <f>+ACTIVOS!I16*RETORNO!$G$9</f>
        <v>852.36153358964179</v>
      </c>
      <c r="G9" s="48">
        <f>+ACTIVOS!J16*RETORNO!$G$9</f>
        <v>916.50285766620209</v>
      </c>
    </row>
    <row r="10" spans="2:7" x14ac:dyDescent="0.25">
      <c r="B10" s="43" t="s">
        <v>6</v>
      </c>
      <c r="C10" s="45" t="s">
        <v>39</v>
      </c>
      <c r="D10" s="47">
        <f>+ACTIVOS!G11*'PERDIDAS y OTROS'!E13</f>
        <v>322.30973767068883</v>
      </c>
      <c r="E10" s="47">
        <f>+ACTIVOS!H11*'PERDIDAS y OTROS'!F13</f>
        <v>390.13406215068886</v>
      </c>
      <c r="F10" s="47">
        <f>+ACTIVOS!I11*'PERDIDAS y OTROS'!G13</f>
        <v>428.57518663068885</v>
      </c>
      <c r="G10" s="48">
        <f>+ACTIVOS!J11*'PERDIDAS y OTROS'!H13</f>
        <v>467.02898311068884</v>
      </c>
    </row>
    <row r="11" spans="2:7" x14ac:dyDescent="0.25">
      <c r="B11" s="43" t="s">
        <v>7</v>
      </c>
      <c r="C11" s="45" t="s">
        <v>40</v>
      </c>
      <c r="D11" s="47">
        <f>$D$24*(D23+E23)/2/1000</f>
        <v>416.53087499999998</v>
      </c>
      <c r="E11" s="47">
        <f>$D$24*(E23+F23)/2/1000</f>
        <v>429.63510000000002</v>
      </c>
      <c r="F11" s="47">
        <f>$D$24*(F23+G23)/2/1000</f>
        <v>442.81229999999999</v>
      </c>
      <c r="G11" s="48">
        <f>$D$24*(G23+H23)/2/1000</f>
        <v>453.55700000000002</v>
      </c>
    </row>
    <row r="12" spans="2:7" ht="3.75" customHeight="1" x14ac:dyDescent="0.25">
      <c r="B12" s="54"/>
      <c r="C12" s="55"/>
      <c r="D12" s="47"/>
      <c r="E12" s="47"/>
      <c r="F12" s="47"/>
      <c r="G12" s="48"/>
    </row>
    <row r="13" spans="2:7" ht="15.75" thickBot="1" x14ac:dyDescent="0.3">
      <c r="B13" s="286" t="s">
        <v>13</v>
      </c>
      <c r="C13" s="287"/>
      <c r="D13" s="56">
        <f>+D9+D10+D11</f>
        <v>1371.7619258048737</v>
      </c>
      <c r="E13" s="56">
        <f t="shared" ref="E13:G13" si="0">+E9+E10+E11</f>
        <v>1604.5864982968583</v>
      </c>
      <c r="F13" s="56">
        <f t="shared" si="0"/>
        <v>1723.7490202203307</v>
      </c>
      <c r="G13" s="57">
        <f t="shared" si="0"/>
        <v>1837.0888407768909</v>
      </c>
    </row>
    <row r="22" spans="2:8" x14ac:dyDescent="0.25">
      <c r="D22" s="63">
        <v>43252</v>
      </c>
      <c r="E22" s="63">
        <v>43617</v>
      </c>
      <c r="F22" s="63">
        <v>43983</v>
      </c>
      <c r="G22" s="63">
        <v>44348</v>
      </c>
      <c r="H22" s="63">
        <v>44713</v>
      </c>
    </row>
    <row r="23" spans="2:8" x14ac:dyDescent="0.25">
      <c r="B23" s="21" t="s">
        <v>85</v>
      </c>
      <c r="C23" s="21"/>
      <c r="D23" s="64">
        <v>59170</v>
      </c>
      <c r="E23" s="64">
        <f>+D23+INVERSIONES!D38</f>
        <v>60695</v>
      </c>
      <c r="F23" s="64">
        <f>+E23+INVERSIONES!E38</f>
        <v>62941</v>
      </c>
      <c r="G23" s="64">
        <f>+F23+INVERSIONES!F38</f>
        <v>64487</v>
      </c>
      <c r="H23" s="64">
        <f>+G23+INVERSIONES!G38</f>
        <v>66033</v>
      </c>
    </row>
    <row r="24" spans="2:8" x14ac:dyDescent="0.25">
      <c r="B24" s="61" t="s">
        <v>86</v>
      </c>
      <c r="C24" s="21"/>
      <c r="D24" s="62">
        <v>6.95</v>
      </c>
    </row>
    <row r="26" spans="2:8" x14ac:dyDescent="0.25">
      <c r="D26" s="65"/>
      <c r="E26" s="65"/>
      <c r="F26" s="65"/>
      <c r="G26" s="65"/>
    </row>
    <row r="27" spans="2:8" x14ac:dyDescent="0.25">
      <c r="D27" s="66"/>
      <c r="E27" s="66"/>
      <c r="F27" s="66"/>
      <c r="G27" s="66"/>
      <c r="H27" s="66"/>
    </row>
    <row r="28" spans="2:8" x14ac:dyDescent="0.25">
      <c r="D28" s="67"/>
      <c r="E28" s="67"/>
      <c r="F28" s="67"/>
      <c r="G28" s="67"/>
      <c r="H28" s="67"/>
    </row>
    <row r="35" spans="3:8" x14ac:dyDescent="0.25">
      <c r="C35" s="27"/>
      <c r="D35" s="27"/>
      <c r="E35" s="27"/>
      <c r="F35" s="27"/>
      <c r="G35" s="27"/>
      <c r="H35" s="27"/>
    </row>
    <row r="36" spans="3:8" x14ac:dyDescent="0.25">
      <c r="C36" s="27"/>
      <c r="D36" s="27"/>
      <c r="E36" s="27"/>
      <c r="F36" s="27"/>
      <c r="G36" s="27"/>
      <c r="H36" s="27"/>
    </row>
    <row r="37" spans="3:8" x14ac:dyDescent="0.25">
      <c r="C37" s="27"/>
      <c r="D37" s="27"/>
      <c r="E37" s="27"/>
      <c r="F37" s="27"/>
      <c r="G37" s="27"/>
      <c r="H37" s="27"/>
    </row>
    <row r="38" spans="3:8" x14ac:dyDescent="0.25">
      <c r="C38" s="27"/>
      <c r="D38" s="27"/>
      <c r="E38" s="27"/>
      <c r="F38" s="27"/>
      <c r="G38" s="27"/>
      <c r="H38" s="27"/>
    </row>
    <row r="39" spans="3:8" x14ac:dyDescent="0.25">
      <c r="C39" s="27"/>
      <c r="D39" s="27"/>
      <c r="E39" s="27"/>
      <c r="F39" s="27"/>
      <c r="G39" s="27"/>
      <c r="H39" s="27"/>
    </row>
    <row r="40" spans="3:8" x14ac:dyDescent="0.25">
      <c r="C40" s="27"/>
      <c r="D40" s="27"/>
      <c r="E40" s="27"/>
      <c r="F40" s="27"/>
      <c r="G40" s="27"/>
      <c r="H40" s="27"/>
    </row>
  </sheetData>
  <sheetProtection algorithmName="SHA-512" hashValue="Qq18knGhlXjpGmGh+um0tbjTdQkmW2TCkCV0GSDFhjNQQDPTbgWNMV4R/W5w9pByu4nMt/R6SV9QeeLO0M3gxQ==" saltValue="mQAbUqgCXz97O5tmAbcQTQ==" spinCount="100000" sheet="1" objects="1" scenarios="1"/>
  <mergeCells count="2">
    <mergeCell ref="B7:C7"/>
    <mergeCell ref="B13:C13"/>
  </mergeCells>
  <phoneticPr fontId="0" type="noConversion"/>
  <pageMargins left="0.74803149606299213" right="0.74803149606299213" top="0.62992125984251968" bottom="0.55118110236220474" header="0.39370078740157483" footer="0"/>
  <pageSetup scale="88" orientation="landscape" r:id="rId1"/>
  <headerFooter alignWithMargins="0">
    <oddFooter xml:space="preserve">&amp;C&amp;A&amp;R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2:M17"/>
  <sheetViews>
    <sheetView zoomScaleNormal="100" workbookViewId="0">
      <selection activeCell="C12" sqref="C12"/>
    </sheetView>
  </sheetViews>
  <sheetFormatPr baseColWidth="10" defaultColWidth="11.42578125" defaultRowHeight="15" x14ac:dyDescent="0.25"/>
  <cols>
    <col min="1" max="1" width="2.5703125" style="8" customWidth="1"/>
    <col min="2" max="2" width="37.140625" style="8" customWidth="1"/>
    <col min="3" max="3" width="11.42578125" style="8"/>
    <col min="4" max="4" width="13.85546875" style="8" customWidth="1"/>
    <col min="5" max="8" width="15.7109375" style="8" bestFit="1" customWidth="1"/>
    <col min="9" max="16384" width="11.42578125" style="8"/>
  </cols>
  <sheetData>
    <row r="2" spans="2:13" x14ac:dyDescent="0.25">
      <c r="D2" s="68"/>
    </row>
    <row r="3" spans="2:13" x14ac:dyDescent="0.25">
      <c r="B3" s="44" t="s">
        <v>176</v>
      </c>
    </row>
    <row r="4" spans="2:13" ht="15.75" thickBot="1" x14ac:dyDescent="0.3"/>
    <row r="5" spans="2:13" x14ac:dyDescent="0.25">
      <c r="B5" s="244" t="s">
        <v>2</v>
      </c>
      <c r="C5" s="244"/>
      <c r="D5" s="244" t="s">
        <v>62</v>
      </c>
      <c r="E5" s="244" t="s">
        <v>189</v>
      </c>
      <c r="F5" s="244" t="s">
        <v>190</v>
      </c>
      <c r="G5" s="244" t="s">
        <v>191</v>
      </c>
      <c r="H5" s="244" t="s">
        <v>192</v>
      </c>
      <c r="I5" s="244" t="s">
        <v>61</v>
      </c>
    </row>
    <row r="6" spans="2:13" x14ac:dyDescent="0.25">
      <c r="B6" s="69" t="s">
        <v>3</v>
      </c>
      <c r="C6" s="70" t="s">
        <v>71</v>
      </c>
      <c r="D6" s="71">
        <f>+D7/8760/D15</f>
        <v>152.69565540664792</v>
      </c>
      <c r="E6" s="71">
        <f>+E7/8760/E15</f>
        <v>155.91552834133535</v>
      </c>
      <c r="F6" s="71">
        <f>+F7/8760/F15</f>
        <v>159.99736902070075</v>
      </c>
      <c r="G6" s="71">
        <f>+G7/8760/G15</f>
        <v>164.19048456914408</v>
      </c>
      <c r="H6" s="71">
        <f>+H7/8760/H15</f>
        <v>168.49811903243804</v>
      </c>
      <c r="I6" s="72">
        <f>(H6/D6)^(1/4)-1</f>
        <v>2.4925017934827709E-2</v>
      </c>
    </row>
    <row r="7" spans="2:13" x14ac:dyDescent="0.25">
      <c r="B7" s="69" t="s">
        <v>171</v>
      </c>
      <c r="C7" s="70" t="s">
        <v>67</v>
      </c>
      <c r="D7" s="73">
        <f>+(D12+D13)/(1-D14)</f>
        <v>909577.48012632038</v>
      </c>
      <c r="E7" s="73">
        <f>+(E12+E13)/(1-E14)</f>
        <v>928757.61922366638</v>
      </c>
      <c r="F7" s="73">
        <f t="shared" ref="F7:H7" si="0">+(F12+F13)/(1-F14)</f>
        <v>953072.32778251031</v>
      </c>
      <c r="G7" s="73">
        <f t="shared" si="0"/>
        <v>978049.8784814775</v>
      </c>
      <c r="H7" s="73">
        <f t="shared" si="0"/>
        <v>1003709.595452427</v>
      </c>
      <c r="I7" s="74">
        <f>(H7/D7)^(1/4)-1</f>
        <v>2.4925017934827931E-2</v>
      </c>
    </row>
    <row r="8" spans="2:13" x14ac:dyDescent="0.25">
      <c r="B8" s="75" t="s">
        <v>4</v>
      </c>
      <c r="C8" s="76" t="s">
        <v>22</v>
      </c>
      <c r="D8" s="77">
        <v>151142</v>
      </c>
      <c r="E8" s="77">
        <f>+D8*$J$8</f>
        <v>156129.68599999999</v>
      </c>
      <c r="F8" s="77">
        <f>+E8*$J$8</f>
        <v>161281.96563799997</v>
      </c>
      <c r="G8" s="77">
        <f>+F8*$J$8</f>
        <v>166604.27050405394</v>
      </c>
      <c r="H8" s="77">
        <f>+G8*$J$8</f>
        <v>172102.21143068772</v>
      </c>
      <c r="I8" s="78">
        <f>+(H8/D8)^(0.25)-1</f>
        <v>3.2999999999999918E-2</v>
      </c>
      <c r="J8" s="27">
        <v>1.0329999999999999</v>
      </c>
    </row>
    <row r="9" spans="2:13" x14ac:dyDescent="0.25">
      <c r="B9" s="21" t="s">
        <v>58</v>
      </c>
      <c r="C9" s="79" t="s">
        <v>60</v>
      </c>
      <c r="D9" s="80">
        <f>D6/D8*1000</f>
        <v>1.0102794418933714</v>
      </c>
      <c r="E9" s="80">
        <v>1.8369350047542534</v>
      </c>
      <c r="F9" s="80">
        <v>1.8143079216741513</v>
      </c>
      <c r="G9" s="80">
        <v>1.784533004263946</v>
      </c>
      <c r="H9" s="80">
        <v>1.8060682817147111</v>
      </c>
      <c r="I9" s="67"/>
      <c r="J9" s="67"/>
      <c r="K9" s="67"/>
      <c r="L9" s="67"/>
      <c r="M9" s="67"/>
    </row>
    <row r="10" spans="2:13" x14ac:dyDescent="0.25">
      <c r="B10" s="21" t="s">
        <v>59</v>
      </c>
      <c r="C10" s="79" t="s">
        <v>64</v>
      </c>
      <c r="D10" s="80">
        <f>+D12/D8</f>
        <v>5.2694750631856131</v>
      </c>
      <c r="E10" s="80">
        <v>9.0600380812163337</v>
      </c>
      <c r="F10" s="80">
        <v>9.3260849802730856</v>
      </c>
      <c r="G10" s="80">
        <v>8.9827326715219087</v>
      </c>
      <c r="H10" s="80">
        <v>9.0396665612601872</v>
      </c>
      <c r="I10" s="67"/>
      <c r="J10" s="67"/>
      <c r="K10" s="67"/>
      <c r="L10" s="67"/>
      <c r="M10" s="67"/>
    </row>
    <row r="11" spans="2:13" x14ac:dyDescent="0.25">
      <c r="J11" s="67"/>
      <c r="K11" s="67"/>
      <c r="L11" s="67"/>
      <c r="M11" s="67"/>
    </row>
    <row r="12" spans="2:13" x14ac:dyDescent="0.25">
      <c r="B12" s="21" t="s">
        <v>169</v>
      </c>
      <c r="C12" s="79" t="s">
        <v>10</v>
      </c>
      <c r="D12" s="81">
        <v>796439</v>
      </c>
      <c r="E12" s="81">
        <f>+D12*(1+$J$12)</f>
        <v>816349.97499999998</v>
      </c>
      <c r="F12" s="81">
        <f>+E12*(1+$J$12)</f>
        <v>836758.72437499987</v>
      </c>
      <c r="G12" s="81">
        <f>+F12*(1+$J$12)</f>
        <v>857677.69248437474</v>
      </c>
      <c r="H12" s="81">
        <f>+G12*(1+$J$12)</f>
        <v>879119.63479648402</v>
      </c>
      <c r="I12" s="82">
        <f>+(H12/D12)^(1/4)-1</f>
        <v>2.4999999999999911E-2</v>
      </c>
      <c r="J12" s="85">
        <v>2.5000000000000001E-2</v>
      </c>
    </row>
    <row r="13" spans="2:13" x14ac:dyDescent="0.25">
      <c r="B13" s="21" t="s">
        <v>175</v>
      </c>
      <c r="C13" s="79" t="s">
        <v>10</v>
      </c>
      <c r="D13" s="81">
        <v>38826</v>
      </c>
      <c r="E13" s="81">
        <f>+D13*(1+$J$13)</f>
        <v>40767.300000000003</v>
      </c>
      <c r="F13" s="81">
        <f t="shared" ref="F13:H13" si="1">+E13*(1+$J$13)</f>
        <v>42805.665000000008</v>
      </c>
      <c r="G13" s="81">
        <f t="shared" si="1"/>
        <v>44945.948250000009</v>
      </c>
      <c r="H13" s="81">
        <f t="shared" si="1"/>
        <v>47193.245662500012</v>
      </c>
      <c r="I13" s="82">
        <f>+(H13/D13)^(1/4)-1</f>
        <v>5.0000000000000044E-2</v>
      </c>
      <c r="J13" s="86">
        <v>0.05</v>
      </c>
    </row>
    <row r="14" spans="2:13" x14ac:dyDescent="0.25">
      <c r="B14" s="21" t="s">
        <v>173</v>
      </c>
      <c r="C14" s="21"/>
      <c r="D14" s="263">
        <v>8.1699999999999995E-2</v>
      </c>
      <c r="E14" s="83">
        <f>+'PERDIDAS y OTROS'!E9+'PERDIDAS y OTROS'!E10</f>
        <v>7.7135673227154061E-2</v>
      </c>
      <c r="F14" s="83">
        <f>+'PERDIDAS y OTROS'!F9+'PERDIDAS y OTROS'!F10</f>
        <v>7.7127345181177892E-2</v>
      </c>
      <c r="G14" s="83">
        <f>+'PERDIDAS y OTROS'!G9+'PERDIDAS y OTROS'!G10</f>
        <v>7.7119009374255698E-2</v>
      </c>
      <c r="H14" s="83">
        <f>+'PERDIDAS y OTROS'!H9+'PERDIDAS y OTROS'!H10</f>
        <v>7.7110665618929444E-2</v>
      </c>
    </row>
    <row r="15" spans="2:13" x14ac:dyDescent="0.25">
      <c r="B15" s="21" t="s">
        <v>174</v>
      </c>
      <c r="C15" s="21"/>
      <c r="D15" s="80">
        <v>0.68</v>
      </c>
      <c r="E15" s="80">
        <v>0.68</v>
      </c>
      <c r="F15" s="80">
        <v>0.68</v>
      </c>
      <c r="G15" s="80">
        <v>0.68</v>
      </c>
      <c r="H15" s="80">
        <v>0.68</v>
      </c>
    </row>
    <row r="16" spans="2:13" x14ac:dyDescent="0.25">
      <c r="B16" s="6"/>
      <c r="D16" s="84"/>
      <c r="E16" s="84"/>
      <c r="F16" s="84"/>
      <c r="G16" s="84"/>
      <c r="H16" s="84"/>
    </row>
    <row r="17" spans="4:8" x14ac:dyDescent="0.25">
      <c r="D17" s="84"/>
      <c r="E17" s="84"/>
      <c r="F17" s="84"/>
      <c r="G17" s="84"/>
      <c r="H17" s="84"/>
    </row>
  </sheetData>
  <sheetProtection algorithmName="SHA-512" hashValue="8Je/CI54G9HVMbc22CgW2tkz2NGLVSo1FaIHwqPkZH8+BFG89h2oXUK/Gk1lj88YK6D0c/cPGWjn6JIVPdyuHQ==" saltValue="92DTWkxL6RBaLT/iAY+b+Q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80" orientation="landscape" r:id="rId1"/>
  <headerFooter alignWithMargins="0">
    <oddFooter xml:space="preserve">&amp;C&amp;A&amp;R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opLeftCell="A64" zoomScaleNormal="100" workbookViewId="0">
      <selection activeCell="C12" sqref="C12"/>
    </sheetView>
  </sheetViews>
  <sheetFormatPr baseColWidth="10" defaultColWidth="16.7109375" defaultRowHeight="12.75" x14ac:dyDescent="0.2"/>
  <cols>
    <col min="1" max="1" width="30.7109375" style="89" customWidth="1"/>
    <col min="2" max="16384" width="16.7109375" style="89"/>
  </cols>
  <sheetData>
    <row r="1" spans="1:13" ht="14.25" x14ac:dyDescent="0.2">
      <c r="A1" s="88" t="s">
        <v>170</v>
      </c>
    </row>
    <row r="2" spans="1:13" ht="14.25" x14ac:dyDescent="0.2">
      <c r="A2" s="88"/>
    </row>
    <row r="3" spans="1:13" ht="14.25" x14ac:dyDescent="0.2">
      <c r="A3" s="88" t="s">
        <v>110</v>
      </c>
    </row>
    <row r="4" spans="1:13" s="93" customFormat="1" ht="14.25" x14ac:dyDescent="0.2">
      <c r="A4" s="90" t="s">
        <v>111</v>
      </c>
      <c r="B4" s="91" t="s">
        <v>23</v>
      </c>
      <c r="C4" s="91" t="s">
        <v>24</v>
      </c>
      <c r="D4" s="91" t="s">
        <v>27</v>
      </c>
      <c r="E4" s="91" t="s">
        <v>21</v>
      </c>
      <c r="F4" s="91" t="s">
        <v>25</v>
      </c>
      <c r="G4" s="92"/>
      <c r="I4" s="1"/>
      <c r="J4" s="1"/>
      <c r="K4" s="1"/>
      <c r="L4" s="1"/>
      <c r="M4" s="1"/>
    </row>
    <row r="5" spans="1:13" ht="15" x14ac:dyDescent="0.2">
      <c r="A5" s="94" t="s">
        <v>112</v>
      </c>
      <c r="B5" s="95">
        <v>0.994336</v>
      </c>
      <c r="C5" s="95"/>
      <c r="D5" s="95">
        <v>0.90142100000000003</v>
      </c>
      <c r="E5" s="95"/>
      <c r="F5" s="95"/>
      <c r="G5" s="96"/>
      <c r="I5" s="1"/>
      <c r="J5" s="1"/>
      <c r="K5" s="1"/>
      <c r="L5" s="1"/>
      <c r="M5" s="1"/>
    </row>
    <row r="6" spans="1:13" ht="15" x14ac:dyDescent="0.2">
      <c r="A6" s="94" t="s">
        <v>158</v>
      </c>
      <c r="B6" s="95"/>
      <c r="C6" s="95">
        <v>0.98074600000000001</v>
      </c>
      <c r="D6" s="95"/>
      <c r="E6" s="95">
        <v>1.0040389999999999</v>
      </c>
      <c r="F6" s="95">
        <v>0.87096899999999999</v>
      </c>
      <c r="G6" s="96"/>
      <c r="I6" s="1"/>
      <c r="J6" s="1"/>
      <c r="K6" s="1"/>
      <c r="L6" s="1"/>
      <c r="M6" s="1"/>
    </row>
    <row r="7" spans="1:13" ht="15" x14ac:dyDescent="0.2">
      <c r="A7" s="94" t="s">
        <v>157</v>
      </c>
      <c r="B7" s="95">
        <v>-0.83731299999999997</v>
      </c>
      <c r="C7" s="95"/>
      <c r="D7" s="95">
        <v>-0.84747600000000001</v>
      </c>
      <c r="E7" s="95"/>
      <c r="F7" s="95"/>
      <c r="G7" s="96"/>
      <c r="I7" s="1"/>
      <c r="J7" s="1"/>
      <c r="K7" s="1"/>
      <c r="L7" s="1"/>
      <c r="M7" s="1"/>
    </row>
    <row r="8" spans="1:13" ht="15" x14ac:dyDescent="0.2">
      <c r="A8" s="94" t="s">
        <v>160</v>
      </c>
      <c r="B8" s="95"/>
      <c r="C8" s="95"/>
      <c r="D8" s="95"/>
      <c r="E8" s="95"/>
      <c r="F8" s="95"/>
      <c r="G8" s="96"/>
      <c r="I8" s="1"/>
      <c r="J8" s="1"/>
      <c r="K8" s="1"/>
      <c r="L8" s="1"/>
      <c r="M8" s="1"/>
    </row>
    <row r="9" spans="1:13" ht="15" x14ac:dyDescent="0.2">
      <c r="A9" s="94" t="s">
        <v>159</v>
      </c>
      <c r="B9" s="95"/>
      <c r="C9" s="95"/>
      <c r="D9" s="95"/>
      <c r="E9" s="95"/>
      <c r="F9" s="95"/>
      <c r="G9" s="96"/>
      <c r="I9" s="1"/>
      <c r="J9" s="1"/>
      <c r="K9" s="1"/>
      <c r="L9" s="1"/>
      <c r="M9" s="1"/>
    </row>
    <row r="10" spans="1:13" ht="15" x14ac:dyDescent="0.2">
      <c r="A10" s="94" t="s">
        <v>26</v>
      </c>
      <c r="B10" s="95">
        <v>9.3116339999999997</v>
      </c>
      <c r="C10" s="95">
        <v>5.5468419999999998</v>
      </c>
      <c r="D10" s="95">
        <v>6.1940470000000003</v>
      </c>
      <c r="E10" s="95">
        <v>4.5432420000000002</v>
      </c>
      <c r="F10" s="95">
        <v>5.9060639999999998</v>
      </c>
      <c r="G10" s="96"/>
      <c r="I10" s="1"/>
      <c r="J10" s="1"/>
      <c r="K10" s="1"/>
      <c r="L10" s="1"/>
      <c r="M10" s="1"/>
    </row>
    <row r="13" spans="1:13" ht="14.25" x14ac:dyDescent="0.2">
      <c r="A13" s="88" t="s">
        <v>113</v>
      </c>
    </row>
    <row r="14" spans="1:13" ht="6" customHeight="1" x14ac:dyDescent="0.2">
      <c r="A14" s="88"/>
    </row>
    <row r="15" spans="1:13" ht="14.25" x14ac:dyDescent="0.2">
      <c r="A15" s="97" t="s">
        <v>176</v>
      </c>
      <c r="C15" s="98"/>
      <c r="D15" s="98"/>
      <c r="E15" s="98"/>
      <c r="F15" s="98"/>
      <c r="G15" s="98"/>
      <c r="H15" s="98"/>
    </row>
    <row r="16" spans="1:13" ht="15" x14ac:dyDescent="0.2">
      <c r="A16" s="288" t="s">
        <v>114</v>
      </c>
      <c r="B16" s="288" t="s">
        <v>115</v>
      </c>
      <c r="C16" s="93" t="s">
        <v>116</v>
      </c>
      <c r="D16" s="289" t="s">
        <v>139</v>
      </c>
      <c r="E16" s="289"/>
      <c r="F16" s="289"/>
      <c r="G16" s="289"/>
      <c r="H16" s="289"/>
    </row>
    <row r="17" spans="1:10" ht="13.5" x14ac:dyDescent="0.2">
      <c r="A17" s="288"/>
      <c r="B17" s="288"/>
      <c r="C17" s="99" t="s">
        <v>117</v>
      </c>
      <c r="D17" s="99" t="s">
        <v>118</v>
      </c>
      <c r="E17" s="99" t="s">
        <v>153</v>
      </c>
      <c r="F17" s="99" t="s">
        <v>154</v>
      </c>
      <c r="G17" s="99" t="s">
        <v>155</v>
      </c>
      <c r="H17" s="99" t="s">
        <v>156</v>
      </c>
    </row>
    <row r="18" spans="1:10" ht="15" x14ac:dyDescent="0.2">
      <c r="A18" s="100" t="s">
        <v>119</v>
      </c>
      <c r="B18" s="89" t="s">
        <v>71</v>
      </c>
      <c r="C18" s="101"/>
      <c r="D18" s="101">
        <f>+DEMANDA!D6</f>
        <v>152.69565540664792</v>
      </c>
      <c r="E18" s="101">
        <f>+DEMANDA!E6</f>
        <v>155.91552834133535</v>
      </c>
      <c r="F18" s="101">
        <f>+DEMANDA!F6</f>
        <v>159.99736902070075</v>
      </c>
      <c r="G18" s="101">
        <f>+DEMANDA!G6</f>
        <v>164.19048456914408</v>
      </c>
      <c r="H18" s="101">
        <f>+DEMANDA!H6</f>
        <v>168.49811903243804</v>
      </c>
      <c r="I18" s="102"/>
    </row>
    <row r="19" spans="1:10" ht="15" x14ac:dyDescent="0.2">
      <c r="A19" s="103" t="s">
        <v>172</v>
      </c>
      <c r="B19" s="89" t="s">
        <v>10</v>
      </c>
      <c r="C19" s="104"/>
      <c r="D19" s="104">
        <v>909577.48012632038</v>
      </c>
      <c r="E19" s="104">
        <v>928757.61606903677</v>
      </c>
      <c r="F19" s="104">
        <v>953072.32406157861</v>
      </c>
      <c r="G19" s="104">
        <v>978049.87416555523</v>
      </c>
      <c r="H19" s="104">
        <v>1003709.5905115976</v>
      </c>
    </row>
    <row r="20" spans="1:10" x14ac:dyDescent="0.2">
      <c r="A20" s="100" t="s">
        <v>4</v>
      </c>
      <c r="B20" s="89" t="s">
        <v>120</v>
      </c>
      <c r="C20" s="105"/>
      <c r="D20" s="105">
        <f>+DEMANDA!D8</f>
        <v>151142</v>
      </c>
      <c r="E20" s="105">
        <f>+DEMANDA!E8</f>
        <v>156129.68599999999</v>
      </c>
      <c r="F20" s="105">
        <f>+DEMANDA!F8</f>
        <v>161281.96563799997</v>
      </c>
      <c r="G20" s="105">
        <f>+DEMANDA!G8</f>
        <v>166604.27050405394</v>
      </c>
      <c r="H20" s="105">
        <f>+DEMANDA!H8</f>
        <v>172102.21143068772</v>
      </c>
    </row>
    <row r="23" spans="1:10" ht="14.25" x14ac:dyDescent="0.2">
      <c r="A23" s="88" t="s">
        <v>121</v>
      </c>
    </row>
    <row r="24" spans="1:10" ht="6" customHeight="1" x14ac:dyDescent="0.2">
      <c r="A24" s="88"/>
    </row>
    <row r="25" spans="1:10" ht="14.25" x14ac:dyDescent="0.2">
      <c r="A25" s="97" t="s">
        <v>176</v>
      </c>
      <c r="C25" s="98"/>
      <c r="D25" s="98"/>
      <c r="E25" s="98"/>
      <c r="F25" s="98"/>
      <c r="G25" s="98"/>
      <c r="H25" s="98"/>
    </row>
    <row r="26" spans="1:10" ht="15" x14ac:dyDescent="0.2">
      <c r="A26" s="106" t="s">
        <v>244</v>
      </c>
      <c r="B26" s="107"/>
      <c r="C26" s="98"/>
      <c r="D26" s="98"/>
      <c r="E26" s="98"/>
      <c r="F26" s="98"/>
      <c r="G26" s="98"/>
      <c r="H26" s="98"/>
    </row>
    <row r="27" spans="1:10" ht="14.25" x14ac:dyDescent="0.2">
      <c r="A27" s="98" t="s">
        <v>122</v>
      </c>
      <c r="B27" s="99"/>
      <c r="C27" s="99" t="s">
        <v>118</v>
      </c>
      <c r="D27" s="99" t="s">
        <v>153</v>
      </c>
      <c r="E27" s="99" t="s">
        <v>154</v>
      </c>
      <c r="F27" s="99" t="s">
        <v>155</v>
      </c>
      <c r="G27" s="99" t="s">
        <v>156</v>
      </c>
      <c r="I27" s="1"/>
      <c r="J27" s="1"/>
    </row>
    <row r="28" spans="1:10" x14ac:dyDescent="0.2">
      <c r="A28" s="108" t="s">
        <v>23</v>
      </c>
      <c r="B28" s="109"/>
      <c r="C28" s="109">
        <f>EXP($B$10+$B$5*LN(D18)+$B$7*LN(D18/D20))</f>
        <v>529259681.3679992</v>
      </c>
      <c r="D28" s="109">
        <f t="shared" ref="D28:G28" si="0">EXP($B$10+$B$5*LN(E18)+$B$7*LN(E18/E20))</f>
        <v>545630004.4149332</v>
      </c>
      <c r="E28" s="109">
        <f t="shared" si="0"/>
        <v>562946301.04456794</v>
      </c>
      <c r="F28" s="109">
        <f t="shared" si="0"/>
        <v>580814604.74377823</v>
      </c>
      <c r="G28" s="109">
        <f t="shared" si="0"/>
        <v>599252645.35818911</v>
      </c>
      <c r="I28" s="1"/>
      <c r="J28" s="1"/>
    </row>
    <row r="29" spans="1:10" x14ac:dyDescent="0.2">
      <c r="A29" s="108" t="s">
        <v>24</v>
      </c>
      <c r="B29" s="109"/>
      <c r="C29" s="109">
        <f t="shared" ref="C29" si="1">EXP($C$10+$C$6*LN(D20))</f>
        <v>30805208.698383853</v>
      </c>
      <c r="D29" s="109">
        <f t="shared" ref="D29" si="2">EXP($C$10+$C$6*LN(E20))</f>
        <v>31801894.265958618</v>
      </c>
      <c r="E29" s="109">
        <f t="shared" ref="E29" si="3">EXP($C$10+$C$6*LN(F20))</f>
        <v>32830827.046345055</v>
      </c>
      <c r="F29" s="109">
        <f t="shared" ref="F29" si="4">EXP($C$10+$C$6*LN(G20))</f>
        <v>33893050.380360268</v>
      </c>
      <c r="G29" s="109">
        <f t="shared" ref="G29" si="5">EXP($C$10+$C$6*LN(H20))</f>
        <v>34989641.365538627</v>
      </c>
      <c r="I29" s="1"/>
      <c r="J29" s="1"/>
    </row>
    <row r="30" spans="1:10" x14ac:dyDescent="0.2">
      <c r="A30" s="108" t="s">
        <v>27</v>
      </c>
      <c r="B30" s="109"/>
      <c r="C30" s="109">
        <f t="shared" ref="C30" si="6">EXP($D$10+$D$5*LN(D18)+$D$7*LN(D18/D20))</f>
        <v>15748949.300825814</v>
      </c>
      <c r="D30" s="109">
        <f t="shared" ref="D30" si="7">EXP($D$10+$D$5*LN(E18)+$D$7*LN(E18/E20))</f>
        <v>16206534.416278278</v>
      </c>
      <c r="E30" s="109">
        <f t="shared" ref="E30" si="8">EXP($D$10+$D$5*LN(F18)+$D$7*LN(F18/F20))</f>
        <v>16681891.416590622</v>
      </c>
      <c r="F30" s="109">
        <f t="shared" ref="F30" si="9">EXP($D$10+$D$5*LN(G18)+$D$7*LN(G18/G20))</f>
        <v>17171216.102022827</v>
      </c>
      <c r="G30" s="109">
        <f t="shared" ref="G30" si="10">EXP($D$10+$D$5*LN(H18)+$D$7*LN(H18/H20))</f>
        <v>17674920.184889033</v>
      </c>
      <c r="I30" s="1"/>
      <c r="J30" s="1"/>
    </row>
    <row r="31" spans="1:10" x14ac:dyDescent="0.2">
      <c r="A31" s="108" t="s">
        <v>21</v>
      </c>
      <c r="B31" s="109"/>
      <c r="C31" s="109">
        <f>EXP($E$10+$E$6*LN(D20))</f>
        <v>14907665.244364737</v>
      </c>
      <c r="D31" s="109">
        <f t="shared" ref="D31:G31" si="11">EXP($E$10+$E$6*LN(E20))</f>
        <v>15401637.758482631</v>
      </c>
      <c r="E31" s="109">
        <f t="shared" si="11"/>
        <v>15911978.28467379</v>
      </c>
      <c r="F31" s="109">
        <f t="shared" si="11"/>
        <v>16439229.184732795</v>
      </c>
      <c r="G31" s="109">
        <f t="shared" si="11"/>
        <v>16983950.791867912</v>
      </c>
      <c r="I31" s="1"/>
      <c r="J31" s="1"/>
    </row>
    <row r="32" spans="1:10" s="112" customFormat="1" x14ac:dyDescent="0.2">
      <c r="A32" s="110" t="s">
        <v>25</v>
      </c>
      <c r="B32" s="111"/>
      <c r="C32" s="111">
        <f>EXP($F$10+$F$6*LN(D20))</f>
        <v>11913926.66552951</v>
      </c>
      <c r="D32" s="111">
        <f t="shared" ref="D32:G32" si="12">EXP($F$10+$F$6*LN(E20))</f>
        <v>12255636.33307318</v>
      </c>
      <c r="E32" s="111">
        <f t="shared" si="12"/>
        <v>12607146.75734218</v>
      </c>
      <c r="F32" s="111">
        <f t="shared" si="12"/>
        <v>12968739.039053075</v>
      </c>
      <c r="G32" s="111">
        <f t="shared" si="12"/>
        <v>13340702.341321604</v>
      </c>
      <c r="I32" s="1"/>
      <c r="J32" s="1"/>
    </row>
    <row r="33" spans="1:8" x14ac:dyDescent="0.2">
      <c r="A33" s="108"/>
    </row>
    <row r="34" spans="1:8" x14ac:dyDescent="0.2">
      <c r="A34" s="108"/>
    </row>
    <row r="35" spans="1:8" x14ac:dyDescent="0.2">
      <c r="A35" s="108"/>
    </row>
    <row r="36" spans="1:8" ht="15" x14ac:dyDescent="0.2">
      <c r="A36" s="106" t="s">
        <v>123</v>
      </c>
    </row>
    <row r="37" spans="1:8" x14ac:dyDescent="0.2">
      <c r="A37" s="113" t="s">
        <v>124</v>
      </c>
    </row>
    <row r="38" spans="1:8" s="117" customFormat="1" ht="15" x14ac:dyDescent="0.2">
      <c r="A38" s="114" t="s">
        <v>125</v>
      </c>
      <c r="B38" s="115">
        <v>0.32063664466362535</v>
      </c>
      <c r="C38" s="116"/>
    </row>
    <row r="39" spans="1:8" s="117" customFormat="1" ht="15" x14ac:dyDescent="0.25">
      <c r="A39" s="118" t="s">
        <v>126</v>
      </c>
      <c r="B39" s="119"/>
      <c r="C39" s="116" t="s">
        <v>234</v>
      </c>
      <c r="D39" s="119" t="s">
        <v>235</v>
      </c>
      <c r="E39" s="119"/>
      <c r="F39" s="119"/>
      <c r="G39" s="2"/>
      <c r="H39" s="2"/>
    </row>
    <row r="40" spans="1:8" s="117" customFormat="1" ht="15" x14ac:dyDescent="0.25">
      <c r="A40" s="120" t="s">
        <v>23</v>
      </c>
      <c r="B40" s="121">
        <v>0.58923073407008419</v>
      </c>
      <c r="C40" s="275">
        <v>0.63009999999999999</v>
      </c>
      <c r="D40" s="276">
        <f>+C40*105.5/104.1+(1-C40)</f>
        <v>1.008473967339097</v>
      </c>
      <c r="E40" s="122"/>
      <c r="F40" s="122"/>
      <c r="G40" s="2"/>
      <c r="H40" s="2"/>
    </row>
    <row r="41" spans="1:8" s="117" customFormat="1" ht="15" x14ac:dyDescent="0.25">
      <c r="A41" s="120" t="s">
        <v>24</v>
      </c>
      <c r="B41" s="121">
        <v>0.3714811668734932</v>
      </c>
      <c r="C41" s="275">
        <v>0.43390000000000001</v>
      </c>
      <c r="D41" s="276">
        <f t="shared" ref="D41:D44" si="13">+C41*105.5/104.1+(1-C41)</f>
        <v>1.0058353506243998</v>
      </c>
      <c r="E41" s="115"/>
      <c r="F41" s="115"/>
      <c r="G41" s="2"/>
      <c r="H41" s="2"/>
    </row>
    <row r="42" spans="1:8" s="117" customFormat="1" ht="15" x14ac:dyDescent="0.25">
      <c r="A42" s="120" t="s">
        <v>27</v>
      </c>
      <c r="B42" s="121">
        <v>0.47815572623195551</v>
      </c>
      <c r="C42" s="275">
        <v>0.5302</v>
      </c>
      <c r="D42" s="276">
        <f t="shared" si="13"/>
        <v>1.007130451488953</v>
      </c>
      <c r="E42" s="121"/>
      <c r="F42" s="121"/>
      <c r="G42" s="2"/>
      <c r="H42" s="2"/>
    </row>
    <row r="43" spans="1:8" s="117" customFormat="1" ht="15" x14ac:dyDescent="0.25">
      <c r="A43" s="120" t="s">
        <v>21</v>
      </c>
      <c r="B43" s="121">
        <v>0.28472794005419</v>
      </c>
      <c r="C43" s="275">
        <v>0.39229999999999998</v>
      </c>
      <c r="D43" s="276">
        <f t="shared" si="13"/>
        <v>1.0052758885686841</v>
      </c>
      <c r="E43" s="121"/>
      <c r="F43" s="121"/>
      <c r="G43" s="2"/>
      <c r="H43" s="2"/>
    </row>
    <row r="44" spans="1:8" s="117" customFormat="1" ht="15" x14ac:dyDescent="0.25">
      <c r="A44" s="120" t="s">
        <v>25</v>
      </c>
      <c r="B44" s="121">
        <v>0.57724700085588343</v>
      </c>
      <c r="C44" s="275">
        <v>0.68279999999999996</v>
      </c>
      <c r="D44" s="276">
        <f t="shared" si="13"/>
        <v>1.0091827089337175</v>
      </c>
      <c r="E44" s="122"/>
      <c r="F44" s="121"/>
      <c r="G44" s="2"/>
      <c r="H44" s="2"/>
    </row>
    <row r="45" spans="1:8" s="117" customFormat="1" ht="15" x14ac:dyDescent="0.25">
      <c r="A45" s="19"/>
      <c r="C45" s="121"/>
      <c r="D45" s="121"/>
      <c r="E45" s="121"/>
      <c r="F45" s="2"/>
      <c r="G45" s="2"/>
      <c r="H45" s="2"/>
    </row>
    <row r="46" spans="1:8" s="117" customFormat="1" ht="15" x14ac:dyDescent="0.25">
      <c r="A46" s="113" t="s">
        <v>127</v>
      </c>
      <c r="C46" s="121"/>
      <c r="D46" s="121"/>
      <c r="E46" s="121"/>
      <c r="F46" s="2"/>
      <c r="G46" s="2"/>
      <c r="H46" s="2"/>
    </row>
    <row r="47" spans="1:8" s="117" customFormat="1" ht="14.25" x14ac:dyDescent="0.2">
      <c r="A47" s="113"/>
      <c r="B47" s="98">
        <v>2013</v>
      </c>
      <c r="C47" s="98">
        <f>B47+1</f>
        <v>2014</v>
      </c>
      <c r="D47" s="98">
        <f>C47+1</f>
        <v>2015</v>
      </c>
      <c r="E47" s="98">
        <f>D47+1</f>
        <v>2016</v>
      </c>
      <c r="F47" s="98">
        <f>E47+1</f>
        <v>2017</v>
      </c>
      <c r="G47" s="98">
        <f>F47+1</f>
        <v>2018</v>
      </c>
      <c r="H47" s="2"/>
    </row>
    <row r="48" spans="1:8" s="117" customFormat="1" ht="15" x14ac:dyDescent="0.2">
      <c r="A48" s="123" t="s">
        <v>128</v>
      </c>
      <c r="B48" s="124">
        <v>0.59</v>
      </c>
      <c r="C48" s="124">
        <v>0.59</v>
      </c>
      <c r="D48" s="124">
        <v>0.59</v>
      </c>
      <c r="E48" s="124">
        <v>0.59</v>
      </c>
      <c r="F48" s="124">
        <v>0.59</v>
      </c>
      <c r="G48" s="124">
        <v>0.59</v>
      </c>
      <c r="H48" s="116"/>
    </row>
    <row r="49" spans="1:17" s="117" customFormat="1" ht="15" customHeight="1" x14ac:dyDescent="0.25">
      <c r="A49" s="125" t="s">
        <v>129</v>
      </c>
      <c r="C49" s="121"/>
      <c r="D49" s="121"/>
      <c r="E49" s="121"/>
      <c r="F49" s="2"/>
      <c r="G49" s="2"/>
      <c r="H49" s="2"/>
    </row>
    <row r="50" spans="1:17" s="117" customFormat="1" ht="15" x14ac:dyDescent="0.25">
      <c r="A50" s="120" t="s">
        <v>23</v>
      </c>
      <c r="B50" s="126">
        <v>0.1</v>
      </c>
      <c r="C50" s="116"/>
      <c r="D50" s="2"/>
      <c r="E50" s="127"/>
      <c r="F50" s="2"/>
      <c r="G50" s="2"/>
      <c r="H50" s="2"/>
    </row>
    <row r="51" spans="1:17" s="117" customFormat="1" ht="15" x14ac:dyDescent="0.25">
      <c r="A51" s="120" t="s">
        <v>24</v>
      </c>
      <c r="B51" s="126">
        <v>0.1</v>
      </c>
      <c r="C51" s="2"/>
      <c r="D51" s="2"/>
      <c r="E51" s="127"/>
      <c r="F51" s="2"/>
      <c r="G51" s="2"/>
      <c r="H51" s="2"/>
    </row>
    <row r="52" spans="1:17" s="117" customFormat="1" ht="15" x14ac:dyDescent="0.25">
      <c r="A52" s="120" t="s">
        <v>27</v>
      </c>
      <c r="B52" s="126">
        <v>0.1</v>
      </c>
      <c r="C52" s="2"/>
      <c r="D52" s="2"/>
      <c r="E52" s="127"/>
      <c r="F52" s="2"/>
      <c r="G52" s="2"/>
      <c r="H52" s="2"/>
    </row>
    <row r="53" spans="1:17" s="117" customFormat="1" ht="15" x14ac:dyDescent="0.25">
      <c r="A53" s="120" t="s">
        <v>21</v>
      </c>
      <c r="B53" s="126">
        <v>0.15</v>
      </c>
      <c r="C53" s="2"/>
      <c r="D53" s="2"/>
      <c r="E53" s="127"/>
      <c r="F53" s="2"/>
      <c r="G53" s="2"/>
      <c r="H53" s="2"/>
    </row>
    <row r="54" spans="1:17" s="117" customFormat="1" ht="15" x14ac:dyDescent="0.25">
      <c r="A54" s="120" t="s">
        <v>25</v>
      </c>
      <c r="B54" s="126">
        <v>0.25</v>
      </c>
      <c r="C54" s="2"/>
      <c r="D54" s="2"/>
      <c r="E54" s="127"/>
      <c r="F54" s="2"/>
      <c r="G54" s="2"/>
      <c r="H54" s="2"/>
    </row>
    <row r="55" spans="1:17" s="117" customFormat="1" ht="15" x14ac:dyDescent="0.2">
      <c r="A55" s="2"/>
      <c r="B55" s="115"/>
      <c r="C55" s="2"/>
      <c r="D55" s="2"/>
      <c r="E55" s="127"/>
      <c r="F55" s="2"/>
      <c r="G55" s="2"/>
      <c r="H55" s="2"/>
    </row>
    <row r="56" spans="1:17" s="117" customFormat="1" ht="15" x14ac:dyDescent="0.2">
      <c r="A56" s="106" t="s">
        <v>245</v>
      </c>
      <c r="B56" s="89"/>
      <c r="C56" s="98"/>
      <c r="D56" s="98"/>
      <c r="E56" s="98"/>
      <c r="F56" s="98"/>
      <c r="G56" s="98"/>
      <c r="I56" s="1"/>
      <c r="J56" s="1"/>
      <c r="K56" s="1"/>
      <c r="L56" s="1"/>
      <c r="M56" s="1"/>
      <c r="N56" s="1"/>
      <c r="O56" s="1"/>
      <c r="P56" s="1"/>
      <c r="Q56" s="1"/>
    </row>
    <row r="57" spans="1:17" s="117" customFormat="1" ht="14.25" x14ac:dyDescent="0.2">
      <c r="A57" s="98" t="s">
        <v>122</v>
      </c>
      <c r="B57" s="99"/>
      <c r="C57" s="99" t="s">
        <v>118</v>
      </c>
      <c r="D57" s="99" t="s">
        <v>153</v>
      </c>
      <c r="E57" s="99" t="s">
        <v>154</v>
      </c>
      <c r="F57" s="99" t="s">
        <v>155</v>
      </c>
      <c r="G57" s="99" t="s">
        <v>156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s="117" customFormat="1" x14ac:dyDescent="0.2">
      <c r="A58" s="108" t="s">
        <v>23</v>
      </c>
      <c r="B58" s="109"/>
      <c r="C58" s="109">
        <f>C28*($B40*$B$38+C$48*(1-$B40)*$B50+(1-$B40)*(1-$B50))*$D40</f>
        <v>311096617.86990827</v>
      </c>
      <c r="D58" s="109">
        <f>D28*($B40*$B$38+D$48*(1-$B40)*$B50+(1-$B40)*(1-$B50))*$D40</f>
        <v>320719025.00316191</v>
      </c>
      <c r="E58" s="109">
        <f t="shared" ref="E58:G58" si="14">E28*($B40*$B$38+E$48*(1-$B40)*$B50+(1-$B40)*(1-$B50))*$D40</f>
        <v>330897471.43533176</v>
      </c>
      <c r="F58" s="109">
        <f t="shared" si="14"/>
        <v>341400385.30462313</v>
      </c>
      <c r="G58" s="109">
        <f t="shared" si="14"/>
        <v>352238188.13983083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s="117" customFormat="1" x14ac:dyDescent="0.2">
      <c r="A59" s="108" t="s">
        <v>24</v>
      </c>
      <c r="B59" s="109"/>
      <c r="C59" s="109">
        <f t="shared" ref="C59:G62" si="15">C29*($B41*$B$38+C$48*(1-$B41)*$B51+(1-$B41)*(1-$B51))*$D41</f>
        <v>22366810.034103245</v>
      </c>
      <c r="D59" s="109">
        <f t="shared" si="15"/>
        <v>23090475.858670335</v>
      </c>
      <c r="E59" s="109">
        <f t="shared" si="15"/>
        <v>23837555.492575638</v>
      </c>
      <c r="F59" s="109">
        <f t="shared" si="15"/>
        <v>24608806.476730034</v>
      </c>
      <c r="G59" s="109">
        <f t="shared" si="15"/>
        <v>25405010.861863162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s="117" customFormat="1" x14ac:dyDescent="0.2">
      <c r="A60" s="108" t="s">
        <v>27</v>
      </c>
      <c r="B60" s="109"/>
      <c r="C60" s="109">
        <f t="shared" si="15"/>
        <v>10369494.555838348</v>
      </c>
      <c r="D60" s="109">
        <f t="shared" si="15"/>
        <v>10670779.820834927</v>
      </c>
      <c r="E60" s="109">
        <f t="shared" si="15"/>
        <v>10983766.53078389</v>
      </c>
      <c r="F60" s="109">
        <f t="shared" si="15"/>
        <v>11305949.907255901</v>
      </c>
      <c r="G60" s="109">
        <f t="shared" si="15"/>
        <v>11637601.031738268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 s="117" customFormat="1" x14ac:dyDescent="0.2">
      <c r="A61" s="108" t="s">
        <v>21</v>
      </c>
      <c r="B61" s="109"/>
      <c r="C61" s="109">
        <f t="shared" si="15"/>
        <v>11428220.813897019</v>
      </c>
      <c r="D61" s="109">
        <f t="shared" si="15"/>
        <v>11806900.296887765</v>
      </c>
      <c r="E61" s="109">
        <f t="shared" si="15"/>
        <v>12198127.503025737</v>
      </c>
      <c r="F61" s="109">
        <f t="shared" si="15"/>
        <v>12602318.20703138</v>
      </c>
      <c r="G61" s="109">
        <f t="shared" si="15"/>
        <v>13019901.960516466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s="117" customFormat="1" x14ac:dyDescent="0.2">
      <c r="A62" s="110" t="s">
        <v>25</v>
      </c>
      <c r="B62" s="111"/>
      <c r="C62" s="109">
        <f t="shared" si="15"/>
        <v>6787257.5702978997</v>
      </c>
      <c r="D62" s="109">
        <f t="shared" si="15"/>
        <v>6981926.5147182215</v>
      </c>
      <c r="E62" s="109">
        <f t="shared" si="15"/>
        <v>7182178.8626751043</v>
      </c>
      <c r="F62" s="109">
        <f t="shared" si="15"/>
        <v>7388174.7547351373</v>
      </c>
      <c r="G62" s="109">
        <f t="shared" si="15"/>
        <v>7600078.9245416811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 s="117" customFormat="1" x14ac:dyDescent="0.2">
      <c r="A63" s="110"/>
      <c r="B63" s="111"/>
      <c r="C63" s="111"/>
      <c r="D63" s="111">
        <f>+D60+D61+D62</f>
        <v>29459606.63244091</v>
      </c>
      <c r="E63" s="111">
        <f t="shared" ref="E63:G63" si="16">+E60+E61+E62</f>
        <v>30364072.896484729</v>
      </c>
      <c r="F63" s="111">
        <f t="shared" si="16"/>
        <v>31296442.869022418</v>
      </c>
      <c r="G63" s="111">
        <f t="shared" si="16"/>
        <v>32257581.916796416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s="117" customFormat="1" ht="15" x14ac:dyDescent="0.2">
      <c r="A64" s="128"/>
      <c r="B64" s="129"/>
      <c r="C64" s="129"/>
      <c r="D64" s="129"/>
      <c r="E64" s="129"/>
      <c r="F64" s="129"/>
      <c r="G64" s="129"/>
      <c r="I64" s="1"/>
      <c r="J64" s="1"/>
      <c r="K64" s="1"/>
      <c r="L64" s="1"/>
      <c r="M64" s="1"/>
      <c r="N64" s="1"/>
      <c r="O64" s="1"/>
      <c r="P64" s="1"/>
      <c r="Q64" s="1"/>
    </row>
    <row r="65" spans="1:17" s="117" customFormat="1" x14ac:dyDescent="0.2">
      <c r="I65" s="1"/>
      <c r="J65" s="1"/>
      <c r="K65" s="1"/>
      <c r="L65" s="1"/>
      <c r="M65" s="1"/>
      <c r="N65" s="1"/>
      <c r="O65" s="1"/>
      <c r="P65" s="1"/>
      <c r="Q65" s="1"/>
    </row>
    <row r="66" spans="1:17" s="117" customFormat="1" ht="14.25" x14ac:dyDescent="0.2">
      <c r="A66" s="130" t="s">
        <v>130</v>
      </c>
      <c r="B66" s="131"/>
      <c r="C66" s="131">
        <f t="shared" ref="C66:G66" si="17">SUM(C58:C59)</f>
        <v>333463427.90401149</v>
      </c>
      <c r="D66" s="131">
        <f t="shared" si="17"/>
        <v>343809500.86183226</v>
      </c>
      <c r="E66" s="131">
        <f t="shared" si="17"/>
        <v>354735026.92790741</v>
      </c>
      <c r="F66" s="131">
        <f t="shared" si="17"/>
        <v>366009191.78135318</v>
      </c>
      <c r="G66" s="131">
        <f t="shared" si="17"/>
        <v>377643199.00169396</v>
      </c>
      <c r="I66" s="1"/>
      <c r="J66" s="1"/>
      <c r="K66" s="1"/>
      <c r="L66" s="1"/>
      <c r="M66" s="1"/>
      <c r="N66" s="1"/>
      <c r="O66" s="1"/>
      <c r="P66" s="1"/>
      <c r="Q66" s="1"/>
    </row>
    <row r="67" spans="1:17" s="117" customFormat="1" ht="14.25" x14ac:dyDescent="0.2">
      <c r="A67" s="130" t="s">
        <v>131</v>
      </c>
      <c r="B67" s="131"/>
      <c r="C67" s="131">
        <f t="shared" ref="C67:G67" si="18">SUM(C60:C62)</f>
        <v>28584972.940033268</v>
      </c>
      <c r="D67" s="131">
        <f t="shared" si="18"/>
        <v>29459606.63244091</v>
      </c>
      <c r="E67" s="131">
        <f t="shared" si="18"/>
        <v>30364072.896484729</v>
      </c>
      <c r="F67" s="131">
        <f t="shared" si="18"/>
        <v>31296442.869022418</v>
      </c>
      <c r="G67" s="131">
        <f t="shared" si="18"/>
        <v>32257581.916796416</v>
      </c>
      <c r="I67" s="1"/>
      <c r="J67" s="1"/>
      <c r="K67" s="1"/>
      <c r="L67" s="1"/>
      <c r="M67" s="1"/>
      <c r="N67" s="1"/>
      <c r="O67" s="1"/>
      <c r="P67" s="1"/>
      <c r="Q67" s="1"/>
    </row>
    <row r="68" spans="1:17" s="117" customFormat="1" ht="14.25" x14ac:dyDescent="0.2">
      <c r="A68" s="132" t="s">
        <v>132</v>
      </c>
      <c r="B68" s="131"/>
      <c r="C68" s="131">
        <f t="shared" ref="C68:G68" si="19">C66+C67</f>
        <v>362048400.84404474</v>
      </c>
      <c r="D68" s="131">
        <f t="shared" si="19"/>
        <v>373269107.49427319</v>
      </c>
      <c r="E68" s="131">
        <f t="shared" si="19"/>
        <v>385099099.82439214</v>
      </c>
      <c r="F68" s="131">
        <f t="shared" si="19"/>
        <v>397305634.6503756</v>
      </c>
      <c r="G68" s="131">
        <f t="shared" si="19"/>
        <v>409900780.91849041</v>
      </c>
      <c r="I68" s="1"/>
      <c r="J68" s="1"/>
      <c r="K68" s="1"/>
      <c r="L68" s="1"/>
      <c r="M68" s="1"/>
      <c r="N68" s="1"/>
      <c r="O68" s="1"/>
      <c r="P68" s="1"/>
      <c r="Q68" s="1"/>
    </row>
    <row r="69" spans="1:17" s="117" customFormat="1" x14ac:dyDescent="0.2">
      <c r="I69" s="1"/>
      <c r="J69" s="1"/>
      <c r="K69" s="1"/>
      <c r="L69" s="1"/>
      <c r="M69" s="1"/>
      <c r="N69" s="1"/>
      <c r="O69" s="1"/>
      <c r="P69" s="1"/>
      <c r="Q69" s="1"/>
    </row>
    <row r="70" spans="1:17" s="117" customFormat="1" ht="14.25" x14ac:dyDescent="0.2">
      <c r="A70" s="133" t="s">
        <v>18</v>
      </c>
      <c r="B70" s="99"/>
      <c r="C70" s="99" t="s">
        <v>118</v>
      </c>
      <c r="D70" s="99" t="s">
        <v>153</v>
      </c>
      <c r="E70" s="99" t="s">
        <v>154</v>
      </c>
      <c r="F70" s="99" t="s">
        <v>155</v>
      </c>
      <c r="G70" s="99" t="s">
        <v>156</v>
      </c>
      <c r="I70" s="1"/>
      <c r="J70" s="1"/>
      <c r="K70" s="1"/>
      <c r="L70" s="1"/>
      <c r="M70" s="1"/>
      <c r="N70" s="1"/>
      <c r="O70" s="1"/>
      <c r="P70" s="1"/>
      <c r="Q70" s="1"/>
    </row>
    <row r="71" spans="1:17" s="117" customFormat="1" x14ac:dyDescent="0.2">
      <c r="A71" s="110" t="s">
        <v>41</v>
      </c>
      <c r="C71" s="134">
        <f>C58-B58</f>
        <v>311096617.86990827</v>
      </c>
      <c r="D71" s="134">
        <f t="shared" ref="C71:G72" si="20">D58-C58</f>
        <v>9622407.133253634</v>
      </c>
      <c r="E71" s="134">
        <f t="shared" si="20"/>
        <v>10178446.432169855</v>
      </c>
      <c r="F71" s="134">
        <f t="shared" si="20"/>
        <v>10502913.869291365</v>
      </c>
      <c r="G71" s="134">
        <f t="shared" si="20"/>
        <v>10837802.835207701</v>
      </c>
      <c r="H71" s="134"/>
      <c r="I71" s="1"/>
      <c r="J71" s="1"/>
      <c r="K71" s="1"/>
      <c r="L71" s="1"/>
      <c r="M71" s="1"/>
      <c r="N71" s="1"/>
      <c r="O71" s="1"/>
      <c r="P71" s="1"/>
      <c r="Q71" s="1"/>
    </row>
    <row r="72" spans="1:17" s="117" customFormat="1" x14ac:dyDescent="0.2">
      <c r="A72" s="110" t="s">
        <v>42</v>
      </c>
      <c r="C72" s="134">
        <f t="shared" si="20"/>
        <v>22366810.034103245</v>
      </c>
      <c r="D72" s="134">
        <f t="shared" si="20"/>
        <v>723665.82456709072</v>
      </c>
      <c r="E72" s="134">
        <f t="shared" si="20"/>
        <v>747079.63390530273</v>
      </c>
      <c r="F72" s="134">
        <f t="shared" si="20"/>
        <v>771250.98415439576</v>
      </c>
      <c r="G72" s="134">
        <f t="shared" si="20"/>
        <v>796204.38513312861</v>
      </c>
      <c r="H72" s="134"/>
      <c r="I72" s="1"/>
      <c r="J72" s="1"/>
      <c r="K72" s="1"/>
      <c r="L72" s="1"/>
      <c r="M72" s="1"/>
      <c r="N72" s="1"/>
      <c r="O72" s="1"/>
      <c r="P72" s="1"/>
      <c r="Q72" s="1"/>
    </row>
    <row r="73" spans="1:17" s="117" customFormat="1" x14ac:dyDescent="0.2">
      <c r="I73" s="1"/>
      <c r="J73" s="1"/>
      <c r="K73" s="1"/>
      <c r="L73" s="1"/>
      <c r="M73" s="1"/>
      <c r="N73" s="1"/>
      <c r="O73" s="1"/>
      <c r="P73" s="1"/>
      <c r="Q73" s="1"/>
    </row>
    <row r="74" spans="1:17" s="117" customFormat="1" ht="14.25" x14ac:dyDescent="0.2">
      <c r="A74" s="130" t="s">
        <v>133</v>
      </c>
      <c r="C74" s="131">
        <f>SUM(C71:C72)</f>
        <v>333463427.90401149</v>
      </c>
      <c r="D74" s="131">
        <f>SUM(D71:D72)</f>
        <v>10346072.957820725</v>
      </c>
      <c r="E74" s="131">
        <f>SUM(E71:E72)</f>
        <v>10925526.066075157</v>
      </c>
      <c r="F74" s="131">
        <f>SUM(F71:F72)</f>
        <v>11274164.853445761</v>
      </c>
      <c r="G74" s="131">
        <f>SUM(G71:G72)</f>
        <v>11634007.220340829</v>
      </c>
      <c r="H74" s="134"/>
      <c r="I74" s="1"/>
      <c r="J74" s="1"/>
      <c r="K74" s="1"/>
      <c r="L74" s="1"/>
      <c r="M74" s="1"/>
      <c r="N74" s="1"/>
      <c r="O74" s="1"/>
      <c r="P74" s="1"/>
      <c r="Q74" s="1"/>
    </row>
    <row r="75" spans="1:17" s="117" customFormat="1" x14ac:dyDescent="0.2">
      <c r="I75" s="1"/>
      <c r="J75" s="1"/>
      <c r="K75" s="1"/>
      <c r="L75" s="1"/>
      <c r="M75" s="1"/>
      <c r="N75" s="1"/>
      <c r="O75" s="1"/>
      <c r="P75" s="1"/>
      <c r="Q75" s="1"/>
    </row>
    <row r="76" spans="1:17" s="117" customFormat="1" x14ac:dyDescent="0.2"/>
    <row r="77" spans="1:17" s="117" customFormat="1" ht="14.25" x14ac:dyDescent="0.2">
      <c r="A77" s="88" t="s">
        <v>134</v>
      </c>
    </row>
    <row r="78" spans="1:17" s="117" customFormat="1" ht="14.25" x14ac:dyDescent="0.2">
      <c r="A78" s="90" t="s">
        <v>111</v>
      </c>
      <c r="B78" s="91" t="s">
        <v>218</v>
      </c>
    </row>
    <row r="79" spans="1:17" s="117" customFormat="1" x14ac:dyDescent="0.2">
      <c r="A79" s="94" t="s">
        <v>203</v>
      </c>
      <c r="B79" s="95">
        <v>0.99582199999999998</v>
      </c>
    </row>
    <row r="80" spans="1:17" s="117" customFormat="1" x14ac:dyDescent="0.2">
      <c r="A80" s="94" t="s">
        <v>204</v>
      </c>
      <c r="B80" s="95">
        <v>-2.5047769999999998</v>
      </c>
    </row>
    <row r="81" spans="1:7" s="117" customFormat="1" x14ac:dyDescent="0.2"/>
    <row r="82" spans="1:7" s="117" customFormat="1" x14ac:dyDescent="0.2"/>
    <row r="83" spans="1:7" s="117" customFormat="1" ht="14.25" x14ac:dyDescent="0.2">
      <c r="A83" s="88" t="s">
        <v>135</v>
      </c>
    </row>
    <row r="84" spans="1:7" s="117" customFormat="1" ht="14.25" x14ac:dyDescent="0.2">
      <c r="A84" s="88"/>
      <c r="B84" s="89"/>
      <c r="C84" s="89"/>
      <c r="D84" s="89"/>
      <c r="E84" s="89"/>
      <c r="F84" s="89"/>
      <c r="G84" s="89"/>
    </row>
    <row r="85" spans="1:7" s="117" customFormat="1" ht="14.25" x14ac:dyDescent="0.2">
      <c r="A85" s="97"/>
      <c r="B85" s="89"/>
      <c r="C85" s="98"/>
      <c r="D85" s="98"/>
      <c r="E85" s="98"/>
      <c r="F85" s="98"/>
      <c r="G85" s="98"/>
    </row>
    <row r="86" spans="1:7" s="117" customFormat="1" ht="15" x14ac:dyDescent="0.2">
      <c r="A86" s="106" t="s">
        <v>136</v>
      </c>
      <c r="B86" s="89"/>
      <c r="C86" s="98"/>
      <c r="D86" s="98"/>
      <c r="E86" s="98"/>
      <c r="F86" s="98"/>
      <c r="G86" s="98"/>
    </row>
    <row r="87" spans="1:7" s="117" customFormat="1" ht="14.25" x14ac:dyDescent="0.2">
      <c r="A87" s="98" t="s">
        <v>122</v>
      </c>
      <c r="B87" s="99"/>
      <c r="C87" s="99" t="s">
        <v>118</v>
      </c>
      <c r="D87" s="99" t="s">
        <v>153</v>
      </c>
      <c r="E87" s="99" t="s">
        <v>154</v>
      </c>
      <c r="F87" s="99" t="s">
        <v>155</v>
      </c>
      <c r="G87" s="99" t="s">
        <v>156</v>
      </c>
    </row>
    <row r="88" spans="1:7" s="117" customFormat="1" x14ac:dyDescent="0.2">
      <c r="A88" s="108" t="s">
        <v>137</v>
      </c>
      <c r="B88" s="109"/>
      <c r="C88" s="109">
        <f t="shared" ref="C88:G88" si="21">EXP($B$80+$B$79*LN(D19))</f>
        <v>70166.988515874007</v>
      </c>
      <c r="D88" s="109">
        <f t="shared" si="21"/>
        <v>71640.343980331832</v>
      </c>
      <c r="E88" s="109">
        <f t="shared" si="21"/>
        <v>73507.938120524806</v>
      </c>
      <c r="F88" s="109">
        <f t="shared" si="21"/>
        <v>75426.237414263058</v>
      </c>
      <c r="G88" s="109">
        <f t="shared" si="21"/>
        <v>77396.714612452401</v>
      </c>
    </row>
    <row r="89" spans="1:7" s="117" customFormat="1" x14ac:dyDescent="0.2">
      <c r="A89" s="108" t="s">
        <v>138</v>
      </c>
      <c r="B89" s="135"/>
      <c r="C89" s="135">
        <f t="shared" ref="C89:G89" si="22">C88/D19</f>
        <v>7.7142398585032412E-2</v>
      </c>
      <c r="D89" s="135">
        <f t="shared" si="22"/>
        <v>7.7135673227154061E-2</v>
      </c>
      <c r="E89" s="135">
        <f t="shared" si="22"/>
        <v>7.7127345181177892E-2</v>
      </c>
      <c r="F89" s="135">
        <f t="shared" si="22"/>
        <v>7.7119009374255698E-2</v>
      </c>
      <c r="G89" s="135">
        <f t="shared" si="22"/>
        <v>7.7110665618929444E-2</v>
      </c>
    </row>
    <row r="90" spans="1:7" s="117" customFormat="1" x14ac:dyDescent="0.2"/>
    <row r="91" spans="1:7" s="117" customFormat="1" x14ac:dyDescent="0.2"/>
    <row r="92" spans="1:7" s="117" customFormat="1" x14ac:dyDescent="0.2"/>
    <row r="93" spans="1:7" s="117" customFormat="1" x14ac:dyDescent="0.2"/>
    <row r="94" spans="1:7" s="117" customFormat="1" x14ac:dyDescent="0.2"/>
    <row r="95" spans="1:7" s="117" customFormat="1" x14ac:dyDescent="0.2"/>
    <row r="96" spans="1:7" s="117" customFormat="1" x14ac:dyDescent="0.2"/>
    <row r="97" s="117" customFormat="1" x14ac:dyDescent="0.2"/>
    <row r="98" s="117" customFormat="1" x14ac:dyDescent="0.2"/>
    <row r="99" s="117" customFormat="1" x14ac:dyDescent="0.2"/>
    <row r="100" s="117" customFormat="1" x14ac:dyDescent="0.2"/>
  </sheetData>
  <sheetProtection algorithmName="SHA-512" hashValue="jUCOmm+zS9hkGlWA+Toayh37f9CwmH1MHb057if4TeSST40eiNmbXVWI+D+QgR8EewTGUsivkFeCJC6weVG/lQ==" saltValue="DScwY2BAh9hL/rFsimDJGA==" spinCount="100000" sheet="1" objects="1" scenarios="1"/>
  <mergeCells count="3">
    <mergeCell ref="A16:A17"/>
    <mergeCell ref="B16:B17"/>
    <mergeCell ref="D16:H16"/>
  </mergeCells>
  <pageMargins left="0.74803149606299213" right="0.74803149606299213" top="0.62992125984251968" bottom="0.55118110236220474" header="0.39370078740157483" footer="0"/>
  <pageSetup scale="43" orientation="landscape" r:id="rId1"/>
  <headerFooter alignWithMargins="0">
    <oddFooter xml:space="preserve">&amp;C&amp;A&amp;R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U106"/>
  <sheetViews>
    <sheetView zoomScale="110" zoomScaleNormal="110" workbookViewId="0">
      <selection activeCell="C12" sqref="C12"/>
    </sheetView>
  </sheetViews>
  <sheetFormatPr baseColWidth="10" defaultColWidth="11.42578125" defaultRowHeight="15" x14ac:dyDescent="0.25"/>
  <cols>
    <col min="1" max="1" width="3.7109375" style="8" customWidth="1"/>
    <col min="2" max="2" width="37.5703125" style="8" customWidth="1"/>
    <col min="3" max="3" width="6" style="8" customWidth="1"/>
    <col min="4" max="8" width="18.7109375" style="8" bestFit="1" customWidth="1"/>
    <col min="9" max="9" width="17.7109375" style="8" customWidth="1"/>
    <col min="10" max="10" width="10.85546875" style="8" customWidth="1"/>
    <col min="11" max="11" width="7.28515625" style="8" bestFit="1" customWidth="1"/>
    <col min="12" max="12" width="55.7109375" style="8" customWidth="1"/>
    <col min="13" max="14" width="13.5703125" style="8" customWidth="1"/>
    <col min="15" max="15" width="13.140625" style="8" customWidth="1"/>
    <col min="16" max="18" width="13.5703125" style="8" customWidth="1"/>
    <col min="19" max="19" width="15.28515625" style="8" customWidth="1"/>
    <col min="20" max="16384" width="11.42578125" style="8"/>
  </cols>
  <sheetData>
    <row r="2" spans="2:21" x14ac:dyDescent="0.25">
      <c r="B2" s="44" t="s">
        <v>176</v>
      </c>
      <c r="D2" s="7"/>
      <c r="L2" s="300" t="s">
        <v>219</v>
      </c>
      <c r="M2" s="301"/>
      <c r="N2" s="301"/>
      <c r="O2" s="301"/>
      <c r="P2" s="301"/>
      <c r="Q2" s="301"/>
      <c r="R2" s="301"/>
      <c r="S2" s="301"/>
      <c r="T2" s="301"/>
      <c r="U2" s="302"/>
    </row>
    <row r="3" spans="2:21" ht="12.75" customHeight="1" x14ac:dyDescent="0.25">
      <c r="L3" s="298" t="s">
        <v>91</v>
      </c>
      <c r="M3" s="215">
        <v>2018</v>
      </c>
      <c r="N3" s="303">
        <v>2019</v>
      </c>
      <c r="O3" s="304"/>
      <c r="P3" s="303">
        <v>2020</v>
      </c>
      <c r="Q3" s="304"/>
      <c r="R3" s="303">
        <v>2021</v>
      </c>
      <c r="S3" s="304"/>
      <c r="T3" s="216">
        <v>2022</v>
      </c>
      <c r="U3" s="298" t="s">
        <v>207</v>
      </c>
    </row>
    <row r="4" spans="2:21" x14ac:dyDescent="0.25">
      <c r="B4" s="6" t="s">
        <v>18</v>
      </c>
      <c r="L4" s="299"/>
      <c r="M4" s="215" t="s">
        <v>205</v>
      </c>
      <c r="N4" s="215" t="s">
        <v>206</v>
      </c>
      <c r="O4" s="215" t="s">
        <v>205</v>
      </c>
      <c r="P4" s="215" t="s">
        <v>206</v>
      </c>
      <c r="Q4" s="215" t="s">
        <v>205</v>
      </c>
      <c r="R4" s="215" t="s">
        <v>206</v>
      </c>
      <c r="S4" s="215" t="s">
        <v>205</v>
      </c>
      <c r="T4" s="216" t="s">
        <v>206</v>
      </c>
      <c r="U4" s="299"/>
    </row>
    <row r="5" spans="2:21" x14ac:dyDescent="0.25">
      <c r="B5" s="8" t="s">
        <v>72</v>
      </c>
      <c r="L5" s="220" t="s">
        <v>179</v>
      </c>
      <c r="M5" s="219"/>
      <c r="N5" s="219">
        <v>431.8742267348149</v>
      </c>
      <c r="O5" s="219">
        <v>0</v>
      </c>
      <c r="P5" s="219">
        <v>0</v>
      </c>
      <c r="Q5" s="219">
        <v>0</v>
      </c>
      <c r="R5" s="219">
        <v>0</v>
      </c>
      <c r="S5" s="21">
        <v>0</v>
      </c>
      <c r="T5" s="21">
        <v>0</v>
      </c>
      <c r="U5" s="217">
        <f>+SUM(M5:T5)</f>
        <v>431.8742267348149</v>
      </c>
    </row>
    <row r="6" spans="2:21" ht="15.75" customHeight="1" thickBot="1" x14ac:dyDescent="0.3">
      <c r="C6" s="6"/>
      <c r="L6" s="218" t="s">
        <v>180</v>
      </c>
      <c r="M6" s="219"/>
      <c r="N6" s="219">
        <v>1500</v>
      </c>
      <c r="O6" s="219">
        <v>1500</v>
      </c>
      <c r="P6" s="219">
        <v>1500</v>
      </c>
      <c r="Q6" s="219">
        <v>0</v>
      </c>
      <c r="R6" s="219">
        <v>0</v>
      </c>
      <c r="S6" s="21">
        <v>0</v>
      </c>
      <c r="T6" s="21">
        <v>0</v>
      </c>
      <c r="U6" s="217">
        <f t="shared" ref="U6:U10" si="0">+SUM(M6:T6)</f>
        <v>4500</v>
      </c>
    </row>
    <row r="7" spans="2:21" ht="21" customHeight="1" x14ac:dyDescent="0.25">
      <c r="B7" s="311" t="s">
        <v>151</v>
      </c>
      <c r="C7" s="312"/>
      <c r="D7" s="246" t="s">
        <v>161</v>
      </c>
      <c r="E7" s="246" t="s">
        <v>162</v>
      </c>
      <c r="F7" s="246" t="s">
        <v>163</v>
      </c>
      <c r="G7" s="246" t="s">
        <v>164</v>
      </c>
      <c r="H7" s="246" t="s">
        <v>63</v>
      </c>
      <c r="L7" s="218" t="s">
        <v>183</v>
      </c>
      <c r="M7" s="219"/>
      <c r="N7" s="219">
        <v>0</v>
      </c>
      <c r="O7" s="219"/>
      <c r="P7" s="219"/>
      <c r="Q7" s="219">
        <v>750</v>
      </c>
      <c r="R7" s="219">
        <v>750</v>
      </c>
      <c r="S7" s="21">
        <v>610</v>
      </c>
      <c r="T7" s="21">
        <v>610</v>
      </c>
      <c r="U7" s="217">
        <f t="shared" si="0"/>
        <v>2720</v>
      </c>
    </row>
    <row r="8" spans="2:21" ht="16.5" customHeight="1" x14ac:dyDescent="0.25">
      <c r="B8" s="136" t="s">
        <v>43</v>
      </c>
      <c r="C8" s="69" t="s">
        <v>41</v>
      </c>
      <c r="D8" s="137">
        <f>(REGRESIONES!D71)/1000+D40</f>
        <v>13084.281359988448</v>
      </c>
      <c r="E8" s="137">
        <f>(REGRESIONES!E71)/1000+E40</f>
        <v>18503.446432169854</v>
      </c>
      <c r="F8" s="137">
        <f>(REGRESIONES!F71)/1000+F40</f>
        <v>16777.913869291366</v>
      </c>
      <c r="G8" s="137">
        <f>(REGRESIONES!G71)/1000+G40</f>
        <v>15332.8028352077</v>
      </c>
      <c r="H8" s="137">
        <f>SUM(D8:G8)</f>
        <v>63698.444496657372</v>
      </c>
      <c r="L8" s="218" t="s">
        <v>181</v>
      </c>
      <c r="M8" s="219"/>
      <c r="N8" s="219">
        <v>180</v>
      </c>
      <c r="O8" s="219">
        <v>1450</v>
      </c>
      <c r="P8" s="219">
        <v>1450</v>
      </c>
      <c r="Q8" s="219">
        <v>0</v>
      </c>
      <c r="R8" s="219">
        <v>0</v>
      </c>
      <c r="S8" s="21">
        <v>0</v>
      </c>
      <c r="T8" s="21">
        <v>0</v>
      </c>
      <c r="U8" s="217">
        <f t="shared" si="0"/>
        <v>3080</v>
      </c>
    </row>
    <row r="9" spans="2:21" x14ac:dyDescent="0.25">
      <c r="B9" s="136" t="s">
        <v>37</v>
      </c>
      <c r="C9" s="69" t="s">
        <v>42</v>
      </c>
      <c r="D9" s="137">
        <f>(REGRESIONES!D72)/1000+D41</f>
        <v>749.66582456709068</v>
      </c>
      <c r="E9" s="137">
        <f>(REGRESIONES!E72)/1000+E41</f>
        <v>799.07963390530279</v>
      </c>
      <c r="F9" s="137">
        <f>(REGRESIONES!F72)/1000+F41</f>
        <v>825.25098415439572</v>
      </c>
      <c r="G9" s="137">
        <f>(REGRESIONES!G72)/1000+G41</f>
        <v>850.20438513312865</v>
      </c>
      <c r="H9" s="137">
        <f t="shared" ref="H9:H10" si="1">SUM(D9:G9)</f>
        <v>3224.200827759918</v>
      </c>
      <c r="L9" s="218" t="s">
        <v>177</v>
      </c>
      <c r="M9" s="219"/>
      <c r="N9" s="219">
        <v>0</v>
      </c>
      <c r="O9" s="219">
        <v>0</v>
      </c>
      <c r="P9" s="219">
        <v>0</v>
      </c>
      <c r="Q9" s="219">
        <v>2000</v>
      </c>
      <c r="R9" s="219">
        <v>2000</v>
      </c>
      <c r="S9" s="21">
        <v>2950</v>
      </c>
      <c r="T9" s="21">
        <v>0</v>
      </c>
      <c r="U9" s="217">
        <f t="shared" si="0"/>
        <v>6950</v>
      </c>
    </row>
    <row r="10" spans="2:21" x14ac:dyDescent="0.25">
      <c r="B10" s="136" t="s">
        <v>73</v>
      </c>
      <c r="C10" s="136" t="s">
        <v>55</v>
      </c>
      <c r="D10" s="137">
        <f>D22+D23+D24</f>
        <v>1540.1596300000001</v>
      </c>
      <c r="E10" s="137">
        <f>E22+E23+E24</f>
        <v>2055.2825600000001</v>
      </c>
      <c r="F10" s="137">
        <f>F22+F23+F24</f>
        <v>1164.88256</v>
      </c>
      <c r="G10" s="137">
        <f>G22+G23+G24</f>
        <v>1165.26656</v>
      </c>
      <c r="H10" s="137">
        <f t="shared" si="1"/>
        <v>5925.5913099999998</v>
      </c>
      <c r="I10" s="68"/>
      <c r="L10" s="218" t="s">
        <v>182</v>
      </c>
      <c r="M10" s="219"/>
      <c r="N10" s="219">
        <v>0</v>
      </c>
      <c r="O10" s="219">
        <v>320</v>
      </c>
      <c r="P10" s="219">
        <v>320</v>
      </c>
      <c r="Q10" s="219">
        <v>0</v>
      </c>
      <c r="R10" s="219">
        <v>0</v>
      </c>
      <c r="S10" s="21">
        <v>0</v>
      </c>
      <c r="T10" s="21">
        <v>0</v>
      </c>
      <c r="U10" s="217">
        <f t="shared" si="0"/>
        <v>640</v>
      </c>
    </row>
    <row r="11" spans="2:21" ht="13.5" customHeight="1" x14ac:dyDescent="0.25">
      <c r="B11" s="138" t="s">
        <v>19</v>
      </c>
      <c r="C11" s="24"/>
      <c r="D11" s="158">
        <f>+D8+D9+D10</f>
        <v>15374.10681455554</v>
      </c>
      <c r="E11" s="277">
        <f>+E8+E9+E10</f>
        <v>21357.808626075155</v>
      </c>
      <c r="F11" s="277">
        <f>+F8+F9+F10</f>
        <v>18768.047413445762</v>
      </c>
      <c r="G11" s="158">
        <f>+G8+G9+G10</f>
        <v>17348.273780340831</v>
      </c>
      <c r="H11" s="159">
        <f>SUM(D11:G11)</f>
        <v>72848.236634417291</v>
      </c>
      <c r="L11" s="218" t="s">
        <v>184</v>
      </c>
      <c r="M11" s="219">
        <f>+SUM(M5:M10)</f>
        <v>0</v>
      </c>
      <c r="N11" s="219">
        <f>+SUM(N5:N10)</f>
        <v>2111.8742267348148</v>
      </c>
      <c r="O11" s="219">
        <f t="shared" ref="O11:U11" si="2">+SUM(O5:O10)</f>
        <v>3270</v>
      </c>
      <c r="P11" s="219">
        <f t="shared" si="2"/>
        <v>3270</v>
      </c>
      <c r="Q11" s="219">
        <f t="shared" si="2"/>
        <v>2750</v>
      </c>
      <c r="R11" s="219">
        <f t="shared" si="2"/>
        <v>2750</v>
      </c>
      <c r="S11" s="219">
        <f t="shared" si="2"/>
        <v>3560</v>
      </c>
      <c r="T11" s="219">
        <f t="shared" si="2"/>
        <v>610</v>
      </c>
      <c r="U11" s="219">
        <f t="shared" si="2"/>
        <v>18321.874226734813</v>
      </c>
    </row>
    <row r="12" spans="2:21" ht="15.75" thickBot="1" x14ac:dyDescent="0.3">
      <c r="B12" s="67"/>
      <c r="C12" s="67"/>
      <c r="E12" s="27"/>
      <c r="F12" s="27"/>
      <c r="G12" s="27"/>
      <c r="H12" s="27"/>
      <c r="L12" s="221"/>
      <c r="M12" s="222"/>
      <c r="N12" s="222"/>
      <c r="O12" s="222"/>
      <c r="P12" s="222"/>
      <c r="Q12" s="222"/>
      <c r="R12" s="222"/>
      <c r="S12" s="222"/>
      <c r="T12" s="222"/>
      <c r="U12" s="222"/>
    </row>
    <row r="13" spans="2:21" x14ac:dyDescent="0.25">
      <c r="B13" s="309" t="s">
        <v>142</v>
      </c>
      <c r="C13" s="310"/>
      <c r="D13" s="246" t="s">
        <v>161</v>
      </c>
      <c r="E13" s="246" t="s">
        <v>162</v>
      </c>
      <c r="F13" s="246" t="s">
        <v>163</v>
      </c>
      <c r="G13" s="246" t="s">
        <v>164</v>
      </c>
      <c r="H13" s="246" t="s">
        <v>63</v>
      </c>
      <c r="L13" s="300" t="s">
        <v>238</v>
      </c>
      <c r="M13" s="301"/>
      <c r="N13" s="301"/>
      <c r="O13" s="301"/>
      <c r="P13" s="301"/>
      <c r="Q13" s="301"/>
      <c r="R13" s="301"/>
      <c r="S13" s="301"/>
      <c r="T13" s="301"/>
      <c r="U13" s="302"/>
    </row>
    <row r="14" spans="2:21" x14ac:dyDescent="0.25">
      <c r="B14" s="140" t="s">
        <v>141</v>
      </c>
      <c r="C14" s="141" t="s">
        <v>41</v>
      </c>
      <c r="D14" s="142">
        <f>+M11+N11</f>
        <v>2111.8742267348148</v>
      </c>
      <c r="E14" s="142">
        <f>+O11+P11</f>
        <v>6540</v>
      </c>
      <c r="F14" s="142">
        <f>+Q11+R11</f>
        <v>5500</v>
      </c>
      <c r="G14" s="142">
        <f>+S11+T11</f>
        <v>4170</v>
      </c>
      <c r="H14" s="143">
        <f>SUM(D14:G14)</f>
        <v>18321.874226734813</v>
      </c>
      <c r="L14" s="298" t="s">
        <v>91</v>
      </c>
      <c r="M14" s="215">
        <v>2018</v>
      </c>
      <c r="N14" s="303">
        <v>2019</v>
      </c>
      <c r="O14" s="304"/>
      <c r="P14" s="303">
        <v>2020</v>
      </c>
      <c r="Q14" s="304"/>
      <c r="R14" s="303">
        <v>2021</v>
      </c>
      <c r="S14" s="304"/>
      <c r="T14" s="216">
        <v>2022</v>
      </c>
      <c r="U14" s="298" t="s">
        <v>207</v>
      </c>
    </row>
    <row r="15" spans="2:21" ht="32.25" customHeight="1" x14ac:dyDescent="0.25">
      <c r="B15" s="140" t="s">
        <v>241</v>
      </c>
      <c r="C15" s="141" t="s">
        <v>41</v>
      </c>
      <c r="D15" s="142">
        <f>+M21+N21</f>
        <v>1175</v>
      </c>
      <c r="E15" s="142">
        <f>+O21+P21</f>
        <v>1435</v>
      </c>
      <c r="F15" s="142">
        <f>+Q21+R21</f>
        <v>425</v>
      </c>
      <c r="G15" s="142">
        <f>+S21+T21</f>
        <v>0</v>
      </c>
      <c r="H15" s="143">
        <f>SUM(D15:G15)</f>
        <v>3035</v>
      </c>
      <c r="L15" s="299"/>
      <c r="M15" s="215" t="s">
        <v>205</v>
      </c>
      <c r="N15" s="215" t="s">
        <v>206</v>
      </c>
      <c r="O15" s="215" t="s">
        <v>205</v>
      </c>
      <c r="P15" s="215" t="s">
        <v>206</v>
      </c>
      <c r="Q15" s="215" t="s">
        <v>205</v>
      </c>
      <c r="R15" s="215" t="s">
        <v>206</v>
      </c>
      <c r="S15" s="215" t="s">
        <v>205</v>
      </c>
      <c r="T15" s="216" t="s">
        <v>206</v>
      </c>
      <c r="U15" s="299"/>
    </row>
    <row r="16" spans="2:21" ht="15" customHeight="1" x14ac:dyDescent="0.25">
      <c r="B16" s="140" t="s">
        <v>188</v>
      </c>
      <c r="C16" s="141" t="s">
        <v>42</v>
      </c>
      <c r="D16" s="142">
        <f>+M26+N26</f>
        <v>26</v>
      </c>
      <c r="E16" s="142">
        <f>+O26+P26</f>
        <v>52</v>
      </c>
      <c r="F16" s="142">
        <f>+Q26+R26</f>
        <v>54</v>
      </c>
      <c r="G16" s="142">
        <f>+S26+T26</f>
        <v>54</v>
      </c>
      <c r="H16" s="143">
        <f>+SUM(D16:G16)</f>
        <v>186</v>
      </c>
      <c r="L16" s="226" t="s">
        <v>239</v>
      </c>
      <c r="M16" s="224"/>
      <c r="N16" s="224">
        <v>750</v>
      </c>
      <c r="O16" s="224"/>
      <c r="P16" s="224"/>
      <c r="Q16" s="224"/>
      <c r="R16" s="224"/>
      <c r="S16" s="21"/>
      <c r="T16" s="21"/>
      <c r="U16" s="217">
        <f t="shared" ref="U16:U17" si="3">+SUM(M16:T16)</f>
        <v>750</v>
      </c>
    </row>
    <row r="17" spans="2:21" ht="17.25" customHeight="1" x14ac:dyDescent="0.25">
      <c r="B17" s="140" t="s">
        <v>140</v>
      </c>
      <c r="C17" s="141" t="s">
        <v>41</v>
      </c>
      <c r="D17" s="142">
        <f>+M27+N27</f>
        <v>175</v>
      </c>
      <c r="E17" s="142">
        <f>+O27+P27</f>
        <v>350</v>
      </c>
      <c r="F17" s="142">
        <f>+Q27+R27</f>
        <v>350</v>
      </c>
      <c r="G17" s="142">
        <f>+S27+T27</f>
        <v>325</v>
      </c>
      <c r="H17" s="143">
        <f>SUM(D17:G17)</f>
        <v>1200</v>
      </c>
      <c r="I17" s="139"/>
      <c r="L17" s="226" t="s">
        <v>240</v>
      </c>
      <c r="M17" s="224"/>
      <c r="N17" s="224"/>
      <c r="O17" s="224">
        <v>585</v>
      </c>
      <c r="P17" s="224"/>
      <c r="Q17" s="224"/>
      <c r="R17" s="224"/>
      <c r="S17" s="21"/>
      <c r="T17" s="21"/>
      <c r="U17" s="217">
        <f t="shared" si="3"/>
        <v>585</v>
      </c>
    </row>
    <row r="18" spans="2:21" ht="15.75" thickBot="1" x14ac:dyDescent="0.3">
      <c r="B18" s="295" t="s">
        <v>92</v>
      </c>
      <c r="C18" s="296"/>
      <c r="D18" s="296"/>
      <c r="E18" s="296"/>
      <c r="F18" s="296"/>
      <c r="G18" s="296"/>
      <c r="H18" s="297"/>
      <c r="I18" s="139"/>
      <c r="L18" s="226" t="s">
        <v>185</v>
      </c>
      <c r="M18" s="224">
        <v>0</v>
      </c>
      <c r="N18" s="224">
        <v>175</v>
      </c>
      <c r="O18" s="224">
        <v>175</v>
      </c>
      <c r="P18" s="224">
        <v>175</v>
      </c>
      <c r="Q18" s="224">
        <v>175</v>
      </c>
      <c r="R18" s="224">
        <v>0</v>
      </c>
      <c r="S18" s="21">
        <v>0</v>
      </c>
      <c r="T18" s="21">
        <v>0</v>
      </c>
      <c r="U18" s="217">
        <f>+SUM(M18:T18)</f>
        <v>700</v>
      </c>
    </row>
    <row r="19" spans="2:21" x14ac:dyDescent="0.25">
      <c r="D19" s="145"/>
      <c r="E19" s="145"/>
      <c r="F19" s="145"/>
      <c r="G19" s="145"/>
      <c r="H19" s="145"/>
      <c r="I19" s="122"/>
      <c r="L19" s="223" t="s">
        <v>186</v>
      </c>
      <c r="M19" s="224">
        <v>0</v>
      </c>
      <c r="N19" s="224">
        <v>125</v>
      </c>
      <c r="O19" s="224">
        <v>125</v>
      </c>
      <c r="P19" s="224">
        <v>125</v>
      </c>
      <c r="Q19" s="224">
        <v>125</v>
      </c>
      <c r="R19" s="224"/>
      <c r="S19" s="21"/>
      <c r="T19" s="21">
        <v>0</v>
      </c>
      <c r="U19" s="217">
        <f t="shared" ref="U19:U20" si="4">+SUM(M19:T19)</f>
        <v>500</v>
      </c>
    </row>
    <row r="20" spans="2:21" ht="15.75" thickBot="1" x14ac:dyDescent="0.3">
      <c r="I20" s="27"/>
      <c r="L20" s="223" t="s">
        <v>187</v>
      </c>
      <c r="M20" s="224">
        <v>0</v>
      </c>
      <c r="N20" s="224">
        <v>125</v>
      </c>
      <c r="O20" s="224">
        <v>125</v>
      </c>
      <c r="P20" s="224">
        <v>125</v>
      </c>
      <c r="Q20" s="224">
        <v>125</v>
      </c>
      <c r="R20" s="224"/>
      <c r="S20" s="21"/>
      <c r="T20" s="21">
        <v>0</v>
      </c>
      <c r="U20" s="217">
        <f t="shared" si="4"/>
        <v>500</v>
      </c>
    </row>
    <row r="21" spans="2:21" x14ac:dyDescent="0.25">
      <c r="B21" s="291" t="s">
        <v>93</v>
      </c>
      <c r="C21" s="292"/>
      <c r="D21" s="246" t="s">
        <v>161</v>
      </c>
      <c r="E21" s="246" t="s">
        <v>162</v>
      </c>
      <c r="F21" s="246" t="s">
        <v>163</v>
      </c>
      <c r="G21" s="246" t="s">
        <v>164</v>
      </c>
      <c r="H21" s="246" t="s">
        <v>63</v>
      </c>
      <c r="I21" s="31"/>
      <c r="L21" s="223" t="s">
        <v>184</v>
      </c>
      <c r="M21" s="224">
        <f>+SUM(M16:M20)</f>
        <v>0</v>
      </c>
      <c r="N21" s="224">
        <f>+SUM(N16:N20)</f>
        <v>1175</v>
      </c>
      <c r="O21" s="224">
        <f t="shared" ref="O21:U21" si="5">+SUM(O16:O20)</f>
        <v>1010</v>
      </c>
      <c r="P21" s="224">
        <f t="shared" si="5"/>
        <v>425</v>
      </c>
      <c r="Q21" s="224">
        <f t="shared" si="5"/>
        <v>425</v>
      </c>
      <c r="R21" s="224">
        <f t="shared" si="5"/>
        <v>0</v>
      </c>
      <c r="S21" s="224">
        <f t="shared" si="5"/>
        <v>0</v>
      </c>
      <c r="T21" s="224">
        <f t="shared" si="5"/>
        <v>0</v>
      </c>
      <c r="U21" s="224">
        <f t="shared" si="5"/>
        <v>3035</v>
      </c>
    </row>
    <row r="22" spans="2:21" x14ac:dyDescent="0.25">
      <c r="B22" s="140" t="s">
        <v>197</v>
      </c>
      <c r="C22" s="141" t="s">
        <v>55</v>
      </c>
      <c r="D22" s="152">
        <f>+M33+N33</f>
        <v>167.68</v>
      </c>
      <c r="E22" s="152">
        <f>+O33+P33</f>
        <v>336.38400000000001</v>
      </c>
      <c r="F22" s="152">
        <f>+Q33+R33</f>
        <v>336.38400000000001</v>
      </c>
      <c r="G22" s="152">
        <f>+S33+T33</f>
        <v>336.38400000000001</v>
      </c>
      <c r="H22" s="143">
        <v>1176.8319999999999</v>
      </c>
      <c r="I22" s="122"/>
    </row>
    <row r="23" spans="2:21" x14ac:dyDescent="0.25">
      <c r="B23" s="153" t="s">
        <v>198</v>
      </c>
      <c r="C23" s="21" t="s">
        <v>55</v>
      </c>
      <c r="D23" s="152">
        <f>+M34+N34</f>
        <v>64.04128</v>
      </c>
      <c r="E23" s="152">
        <f>+O34+P34</f>
        <v>128.08256</v>
      </c>
      <c r="F23" s="152">
        <f>+Q34+R34</f>
        <v>128.08256</v>
      </c>
      <c r="G23" s="152">
        <f>+S34+T34</f>
        <v>128.08256</v>
      </c>
      <c r="H23" s="143">
        <v>448.28896000000003</v>
      </c>
      <c r="I23" s="122"/>
      <c r="J23" s="144"/>
      <c r="L23" s="300" t="s">
        <v>220</v>
      </c>
      <c r="M23" s="301"/>
      <c r="N23" s="301"/>
      <c r="O23" s="301"/>
      <c r="P23" s="301"/>
      <c r="Q23" s="301"/>
      <c r="R23" s="301"/>
      <c r="S23" s="301"/>
      <c r="T23" s="301"/>
      <c r="U23" s="302"/>
    </row>
    <row r="24" spans="2:21" ht="15.75" thickBot="1" x14ac:dyDescent="0.3">
      <c r="B24" s="154" t="s">
        <v>199</v>
      </c>
      <c r="C24" s="155" t="s">
        <v>55</v>
      </c>
      <c r="D24" s="156">
        <f>+M40+N40</f>
        <v>1308.4383500000001</v>
      </c>
      <c r="E24" s="156">
        <f>+O40+P40</f>
        <v>1590.8160000000003</v>
      </c>
      <c r="F24" s="156">
        <f>+Q40+R40</f>
        <v>700.41600000000005</v>
      </c>
      <c r="G24" s="156">
        <f>+S40+T40</f>
        <v>700.8</v>
      </c>
      <c r="H24" s="157">
        <v>4300.6143499999998</v>
      </c>
      <c r="I24" s="146"/>
      <c r="J24" s="144"/>
      <c r="L24" s="305" t="s">
        <v>91</v>
      </c>
      <c r="M24" s="215">
        <v>2018</v>
      </c>
      <c r="N24" s="305">
        <v>2019</v>
      </c>
      <c r="O24" s="305"/>
      <c r="P24" s="305">
        <v>2020</v>
      </c>
      <c r="Q24" s="305"/>
      <c r="R24" s="305">
        <v>2021</v>
      </c>
      <c r="S24" s="305"/>
      <c r="T24" s="215">
        <v>2022</v>
      </c>
      <c r="U24" s="305" t="s">
        <v>207</v>
      </c>
    </row>
    <row r="25" spans="2:21" x14ac:dyDescent="0.25">
      <c r="B25" s="138" t="s">
        <v>200</v>
      </c>
      <c r="C25" s="24"/>
      <c r="D25" s="158">
        <f>SUM(D22:D24)</f>
        <v>1540.1596300000001</v>
      </c>
      <c r="E25" s="158">
        <f>SUM(E22:E24)</f>
        <v>2055.2825600000001</v>
      </c>
      <c r="F25" s="158">
        <f>SUM(F22:F24)</f>
        <v>1164.88256</v>
      </c>
      <c r="G25" s="158">
        <f>SUM(G22:G24)</f>
        <v>1165.26656</v>
      </c>
      <c r="H25" s="159">
        <f>SUM(D25:G25)</f>
        <v>5925.5913099999998</v>
      </c>
      <c r="I25" s="27"/>
      <c r="L25" s="305"/>
      <c r="M25" s="215" t="s">
        <v>205</v>
      </c>
      <c r="N25" s="215" t="s">
        <v>206</v>
      </c>
      <c r="O25" s="215" t="s">
        <v>205</v>
      </c>
      <c r="P25" s="215" t="s">
        <v>206</v>
      </c>
      <c r="Q25" s="215" t="s">
        <v>205</v>
      </c>
      <c r="R25" s="215" t="s">
        <v>206</v>
      </c>
      <c r="S25" s="215" t="s">
        <v>205</v>
      </c>
      <c r="T25" s="215" t="s">
        <v>206</v>
      </c>
      <c r="U25" s="305"/>
    </row>
    <row r="26" spans="2:21" ht="12.75" customHeight="1" x14ac:dyDescent="0.25">
      <c r="D26" s="150"/>
      <c r="E26" s="150"/>
      <c r="F26" s="150"/>
      <c r="G26" s="150"/>
      <c r="L26" s="223" t="s">
        <v>208</v>
      </c>
      <c r="M26" s="225"/>
      <c r="N26" s="225">
        <v>26</v>
      </c>
      <c r="O26" s="225">
        <v>26</v>
      </c>
      <c r="P26" s="225">
        <v>26</v>
      </c>
      <c r="Q26" s="225">
        <v>27</v>
      </c>
      <c r="R26" s="225">
        <v>27</v>
      </c>
      <c r="S26" s="21">
        <v>27</v>
      </c>
      <c r="T26" s="21">
        <v>27</v>
      </c>
      <c r="U26" s="217">
        <f>+SUM(M26:T26)</f>
        <v>186</v>
      </c>
    </row>
    <row r="27" spans="2:21" ht="15.75" thickBot="1" x14ac:dyDescent="0.3">
      <c r="I27" s="67"/>
      <c r="L27" s="21" t="s">
        <v>140</v>
      </c>
      <c r="M27" s="21"/>
      <c r="N27" s="21">
        <v>175</v>
      </c>
      <c r="O27" s="21">
        <v>175</v>
      </c>
      <c r="P27" s="21">
        <v>175</v>
      </c>
      <c r="Q27" s="21">
        <v>175</v>
      </c>
      <c r="R27" s="21">
        <v>175</v>
      </c>
      <c r="S27" s="21">
        <v>165</v>
      </c>
      <c r="T27" s="21">
        <v>160</v>
      </c>
      <c r="U27" s="217">
        <f>+SUM(M27:T27)</f>
        <v>1200</v>
      </c>
    </row>
    <row r="28" spans="2:21" x14ac:dyDescent="0.25">
      <c r="B28" s="291" t="s">
        <v>151</v>
      </c>
      <c r="C28" s="292"/>
      <c r="D28" s="160" t="s">
        <v>161</v>
      </c>
      <c r="E28" s="160" t="s">
        <v>162</v>
      </c>
      <c r="F28" s="160" t="s">
        <v>163</v>
      </c>
      <c r="G28" s="160" t="s">
        <v>164</v>
      </c>
      <c r="H28" s="161" t="s">
        <v>63</v>
      </c>
      <c r="I28" s="67"/>
    </row>
    <row r="29" spans="2:21" ht="15" customHeight="1" x14ac:dyDescent="0.25">
      <c r="B29" s="162" t="s">
        <v>43</v>
      </c>
      <c r="C29" s="163" t="s">
        <v>41</v>
      </c>
      <c r="D29" s="239">
        <f t="shared" ref="D29:H30" si="6">+D8</f>
        <v>13084.281359988448</v>
      </c>
      <c r="E29" s="239">
        <f t="shared" si="6"/>
        <v>18503.446432169854</v>
      </c>
      <c r="F29" s="239">
        <f t="shared" si="6"/>
        <v>16777.913869291366</v>
      </c>
      <c r="G29" s="239">
        <f t="shared" si="6"/>
        <v>15332.8028352077</v>
      </c>
      <c r="H29" s="240">
        <f t="shared" si="6"/>
        <v>63698.444496657372</v>
      </c>
      <c r="I29" s="67"/>
      <c r="J29" s="149"/>
      <c r="L29" s="151"/>
      <c r="M29" s="151"/>
      <c r="N29" s="151"/>
      <c r="O29" s="151"/>
      <c r="P29" s="151"/>
      <c r="Q29" s="151"/>
      <c r="R29" s="151"/>
    </row>
    <row r="30" spans="2:21" x14ac:dyDescent="0.25">
      <c r="B30" s="162" t="s">
        <v>37</v>
      </c>
      <c r="C30" s="163" t="s">
        <v>42</v>
      </c>
      <c r="D30" s="239">
        <f t="shared" si="6"/>
        <v>749.66582456709068</v>
      </c>
      <c r="E30" s="239">
        <f t="shared" si="6"/>
        <v>799.07963390530279</v>
      </c>
      <c r="F30" s="239">
        <f t="shared" si="6"/>
        <v>825.25098415439572</v>
      </c>
      <c r="G30" s="239">
        <f t="shared" si="6"/>
        <v>850.20438513312865</v>
      </c>
      <c r="H30" s="240">
        <f t="shared" si="6"/>
        <v>3224.200827759918</v>
      </c>
      <c r="L30" s="306" t="s">
        <v>221</v>
      </c>
      <c r="M30" s="307"/>
      <c r="N30" s="307"/>
      <c r="O30" s="307"/>
      <c r="P30" s="307"/>
      <c r="Q30" s="307"/>
      <c r="R30" s="307"/>
      <c r="S30" s="307"/>
      <c r="T30" s="307"/>
      <c r="U30" s="308"/>
    </row>
    <row r="31" spans="2:21" ht="15" customHeight="1" thickBot="1" x14ac:dyDescent="0.3">
      <c r="B31" s="293" t="s">
        <v>19</v>
      </c>
      <c r="C31" s="294"/>
      <c r="D31" s="241">
        <f>SUM(D29:D30)</f>
        <v>13833.94718455554</v>
      </c>
      <c r="E31" s="241">
        <f t="shared" ref="E31:H31" si="7">SUM(E29:E30)</f>
        <v>19302.526066075156</v>
      </c>
      <c r="F31" s="241">
        <f t="shared" si="7"/>
        <v>17603.16485344576</v>
      </c>
      <c r="G31" s="241">
        <f t="shared" si="7"/>
        <v>16183.007220340829</v>
      </c>
      <c r="H31" s="242">
        <f t="shared" si="7"/>
        <v>66922.645324417288</v>
      </c>
      <c r="I31" s="146"/>
      <c r="J31" s="67"/>
      <c r="L31" s="298" t="s">
        <v>91</v>
      </c>
      <c r="M31" s="215">
        <v>2018</v>
      </c>
      <c r="N31" s="303">
        <v>2019</v>
      </c>
      <c r="O31" s="304"/>
      <c r="P31" s="303">
        <v>2020</v>
      </c>
      <c r="Q31" s="304"/>
      <c r="R31" s="303">
        <v>2021</v>
      </c>
      <c r="S31" s="304"/>
      <c r="T31" s="216">
        <v>2022</v>
      </c>
      <c r="U31" s="231" t="s">
        <v>207</v>
      </c>
    </row>
    <row r="32" spans="2:21" x14ac:dyDescent="0.25">
      <c r="L32" s="299"/>
      <c r="M32" s="215" t="s">
        <v>205</v>
      </c>
      <c r="N32" s="215" t="s">
        <v>206</v>
      </c>
      <c r="O32" s="215" t="s">
        <v>205</v>
      </c>
      <c r="P32" s="215" t="s">
        <v>206</v>
      </c>
      <c r="Q32" s="215" t="s">
        <v>205</v>
      </c>
      <c r="R32" s="215" t="s">
        <v>206</v>
      </c>
      <c r="S32" s="215" t="s">
        <v>205</v>
      </c>
      <c r="T32" s="216" t="s">
        <v>206</v>
      </c>
      <c r="U32" s="232"/>
    </row>
    <row r="33" spans="2:21" ht="15.75" thickBot="1" x14ac:dyDescent="0.3">
      <c r="L33" s="21" t="s">
        <v>197</v>
      </c>
      <c r="M33" s="81">
        <v>0</v>
      </c>
      <c r="N33" s="81">
        <v>167.68</v>
      </c>
      <c r="O33" s="81">
        <v>168.19200000000001</v>
      </c>
      <c r="P33" s="81">
        <v>168.19200000000001</v>
      </c>
      <c r="Q33" s="81">
        <v>168.19200000000001</v>
      </c>
      <c r="R33" s="81">
        <v>168.19200000000001</v>
      </c>
      <c r="S33" s="81">
        <v>168.19200000000001</v>
      </c>
      <c r="T33" s="81">
        <v>168.19200000000001</v>
      </c>
      <c r="U33" s="81">
        <f>+SUM(M33:T33)</f>
        <v>1176.8320000000001</v>
      </c>
    </row>
    <row r="34" spans="2:21" x14ac:dyDescent="0.25">
      <c r="B34" s="291" t="s">
        <v>217</v>
      </c>
      <c r="C34" s="292"/>
      <c r="D34" s="246" t="s">
        <v>167</v>
      </c>
      <c r="E34" s="246" t="s">
        <v>162</v>
      </c>
      <c r="F34" s="246" t="s">
        <v>163</v>
      </c>
      <c r="G34" s="246" t="s">
        <v>168</v>
      </c>
      <c r="H34" s="161" t="s">
        <v>63</v>
      </c>
      <c r="L34" s="21" t="s">
        <v>198</v>
      </c>
      <c r="M34" s="81">
        <v>0</v>
      </c>
      <c r="N34" s="81">
        <v>64.04128</v>
      </c>
      <c r="O34" s="81">
        <v>64.04128</v>
      </c>
      <c r="P34" s="81">
        <v>64.04128</v>
      </c>
      <c r="Q34" s="81">
        <v>64.04128</v>
      </c>
      <c r="R34" s="81">
        <v>64.04128</v>
      </c>
      <c r="S34" s="81">
        <v>64.04128</v>
      </c>
      <c r="T34" s="81">
        <v>64.04128</v>
      </c>
      <c r="U34" s="81">
        <f t="shared" ref="U34:U41" si="8">+SUM(M34:T34)</f>
        <v>448.28896000000009</v>
      </c>
    </row>
    <row r="35" spans="2:21" x14ac:dyDescent="0.25">
      <c r="B35" s="233" t="s">
        <v>197</v>
      </c>
      <c r="C35" s="233"/>
      <c r="D35" s="234">
        <v>655</v>
      </c>
      <c r="E35" s="234">
        <v>1314</v>
      </c>
      <c r="F35" s="234">
        <v>1314</v>
      </c>
      <c r="G35" s="234">
        <v>1314</v>
      </c>
      <c r="H35" s="235">
        <v>4597</v>
      </c>
      <c r="L35" s="21" t="s">
        <v>209</v>
      </c>
      <c r="M35" s="81">
        <v>0</v>
      </c>
      <c r="N35" s="81">
        <v>231.72128000000001</v>
      </c>
      <c r="O35" s="81">
        <v>232.23328000000001</v>
      </c>
      <c r="P35" s="81">
        <v>232.23328000000001</v>
      </c>
      <c r="Q35" s="81">
        <v>232.23328000000001</v>
      </c>
      <c r="R35" s="81">
        <v>232.23328000000001</v>
      </c>
      <c r="S35" s="81">
        <v>232.23328000000001</v>
      </c>
      <c r="T35" s="81">
        <v>232.23328000000001</v>
      </c>
      <c r="U35" s="81">
        <f t="shared" si="8"/>
        <v>1625.12096</v>
      </c>
    </row>
    <row r="36" spans="2:21" x14ac:dyDescent="0.25">
      <c r="B36" s="233" t="s">
        <v>198</v>
      </c>
      <c r="C36" s="233"/>
      <c r="D36" s="234">
        <v>116</v>
      </c>
      <c r="E36" s="234">
        <v>232</v>
      </c>
      <c r="F36" s="234">
        <v>232</v>
      </c>
      <c r="G36" s="234">
        <v>232</v>
      </c>
      <c r="H36" s="235">
        <v>812</v>
      </c>
      <c r="L36" s="21" t="s">
        <v>210</v>
      </c>
      <c r="M36" s="81">
        <v>0</v>
      </c>
      <c r="N36" s="81">
        <v>508.8</v>
      </c>
      <c r="O36" s="81">
        <v>508.8</v>
      </c>
      <c r="P36" s="81"/>
      <c r="Q36" s="81">
        <v>0</v>
      </c>
      <c r="R36" s="81"/>
      <c r="S36" s="81">
        <v>0</v>
      </c>
      <c r="T36" s="81">
        <v>0</v>
      </c>
      <c r="U36" s="81">
        <f t="shared" si="8"/>
        <v>1017.6</v>
      </c>
    </row>
    <row r="37" spans="2:21" x14ac:dyDescent="0.25">
      <c r="B37" s="233" t="s">
        <v>199</v>
      </c>
      <c r="C37" s="233"/>
      <c r="D37" s="234">
        <v>754</v>
      </c>
      <c r="E37" s="234">
        <v>700</v>
      </c>
      <c r="F37" s="234">
        <v>0</v>
      </c>
      <c r="G37" s="234">
        <v>0</v>
      </c>
      <c r="H37" s="235">
        <v>1454</v>
      </c>
      <c r="L37" s="21" t="s">
        <v>211</v>
      </c>
      <c r="M37" s="81">
        <v>0</v>
      </c>
      <c r="N37" s="81">
        <v>381.6</v>
      </c>
      <c r="O37" s="81">
        <v>381.6</v>
      </c>
      <c r="P37" s="81"/>
      <c r="Q37" s="81">
        <v>0</v>
      </c>
      <c r="R37" s="81"/>
      <c r="S37" s="81">
        <v>0</v>
      </c>
      <c r="T37" s="81">
        <v>0</v>
      </c>
      <c r="U37" s="81">
        <f t="shared" si="8"/>
        <v>763.2</v>
      </c>
    </row>
    <row r="38" spans="2:21" x14ac:dyDescent="0.25">
      <c r="B38" s="236" t="s">
        <v>200</v>
      </c>
      <c r="C38" s="237"/>
      <c r="D38" s="238">
        <v>1525</v>
      </c>
      <c r="E38" s="238">
        <v>2246</v>
      </c>
      <c r="F38" s="238">
        <v>1546</v>
      </c>
      <c r="G38" s="238">
        <v>1546</v>
      </c>
      <c r="H38" s="235">
        <v>6863</v>
      </c>
      <c r="L38" s="21" t="s">
        <v>212</v>
      </c>
      <c r="M38" s="81"/>
      <c r="N38" s="81">
        <v>67.83035000000001</v>
      </c>
      <c r="O38" s="81">
        <v>0</v>
      </c>
      <c r="P38" s="81"/>
      <c r="Q38" s="81">
        <v>0</v>
      </c>
      <c r="R38" s="81"/>
      <c r="S38" s="81">
        <v>0</v>
      </c>
      <c r="T38" s="81">
        <v>0</v>
      </c>
      <c r="U38" s="81">
        <f t="shared" si="8"/>
        <v>67.83035000000001</v>
      </c>
    </row>
    <row r="39" spans="2:21" x14ac:dyDescent="0.25">
      <c r="L39" s="21" t="s">
        <v>213</v>
      </c>
      <c r="M39" s="81">
        <v>0</v>
      </c>
      <c r="N39" s="81">
        <v>350.20800000000003</v>
      </c>
      <c r="O39" s="81">
        <v>350.20800000000003</v>
      </c>
      <c r="P39" s="81">
        <v>350.20800000000003</v>
      </c>
      <c r="Q39" s="81">
        <v>350.20800000000003</v>
      </c>
      <c r="R39" s="81">
        <v>350.20800000000003</v>
      </c>
      <c r="S39" s="81">
        <v>350.20800000000003</v>
      </c>
      <c r="T39" s="81">
        <v>350.59199999999998</v>
      </c>
      <c r="U39" s="81">
        <f t="shared" si="8"/>
        <v>2451.84</v>
      </c>
    </row>
    <row r="40" spans="2:21" x14ac:dyDescent="0.25">
      <c r="B40" s="8" t="s">
        <v>236</v>
      </c>
      <c r="C40" s="147"/>
      <c r="D40" s="148">
        <f>+D14+D15+D17</f>
        <v>3461.8742267348148</v>
      </c>
      <c r="E40" s="148">
        <f>+E14+E15+E17</f>
        <v>8325</v>
      </c>
      <c r="F40" s="148">
        <f>+F14+F15+F17</f>
        <v>6275</v>
      </c>
      <c r="G40" s="148">
        <f>+G14+G15+G17</f>
        <v>4495</v>
      </c>
      <c r="H40" s="148">
        <f>+H14+H15+H17</f>
        <v>22556.874226734813</v>
      </c>
      <c r="L40" s="21" t="s">
        <v>214</v>
      </c>
      <c r="M40" s="81">
        <v>0</v>
      </c>
      <c r="N40" s="81">
        <v>1308.4383500000001</v>
      </c>
      <c r="O40" s="81">
        <v>1240.6080000000002</v>
      </c>
      <c r="P40" s="81">
        <v>350.20800000000003</v>
      </c>
      <c r="Q40" s="81">
        <v>350.20800000000003</v>
      </c>
      <c r="R40" s="81">
        <v>350.20800000000003</v>
      </c>
      <c r="S40" s="81">
        <v>350.20800000000003</v>
      </c>
      <c r="T40" s="81">
        <v>350.59199999999998</v>
      </c>
      <c r="U40" s="81">
        <f t="shared" si="8"/>
        <v>4300.4703500000005</v>
      </c>
    </row>
    <row r="41" spans="2:21" x14ac:dyDescent="0.25">
      <c r="B41" s="8" t="s">
        <v>237</v>
      </c>
      <c r="D41" s="139">
        <f>+D16</f>
        <v>26</v>
      </c>
      <c r="E41" s="139">
        <f>+E16</f>
        <v>52</v>
      </c>
      <c r="F41" s="139">
        <f>+F16</f>
        <v>54</v>
      </c>
      <c r="G41" s="139">
        <f>+G16</f>
        <v>54</v>
      </c>
      <c r="H41" s="139">
        <f>+H16</f>
        <v>186</v>
      </c>
      <c r="L41" s="21" t="s">
        <v>184</v>
      </c>
      <c r="M41" s="81">
        <v>0</v>
      </c>
      <c r="N41" s="81">
        <v>1540.1596300000001</v>
      </c>
      <c r="O41" s="81">
        <v>1472.8412800000001</v>
      </c>
      <c r="P41" s="81">
        <v>582.44128000000001</v>
      </c>
      <c r="Q41" s="81">
        <v>582.44128000000001</v>
      </c>
      <c r="R41" s="81">
        <v>582.44128000000001</v>
      </c>
      <c r="S41" s="81">
        <v>582.44128000000001</v>
      </c>
      <c r="T41" s="81">
        <v>582.82528000000002</v>
      </c>
      <c r="U41" s="81">
        <f t="shared" si="8"/>
        <v>5925.5913100000007</v>
      </c>
    </row>
    <row r="42" spans="2:21" x14ac:dyDescent="0.25">
      <c r="D42" s="145"/>
      <c r="E42" s="145"/>
      <c r="F42" s="145"/>
      <c r="G42" s="145"/>
      <c r="H42" s="145"/>
    </row>
    <row r="44" spans="2:21" x14ac:dyDescent="0.25">
      <c r="L44" s="306" t="s">
        <v>215</v>
      </c>
      <c r="M44" s="307"/>
      <c r="N44" s="307"/>
      <c r="O44" s="307"/>
      <c r="P44" s="307"/>
      <c r="Q44" s="307"/>
      <c r="R44" s="307"/>
      <c r="S44" s="307"/>
      <c r="T44" s="307"/>
      <c r="U44" s="308"/>
    </row>
    <row r="45" spans="2:21" x14ac:dyDescent="0.25">
      <c r="L45" s="298" t="s">
        <v>91</v>
      </c>
      <c r="M45" s="215">
        <v>2018</v>
      </c>
      <c r="N45" s="303">
        <v>2019</v>
      </c>
      <c r="O45" s="304"/>
      <c r="P45" s="303">
        <v>2020</v>
      </c>
      <c r="Q45" s="304"/>
      <c r="R45" s="303">
        <v>2021</v>
      </c>
      <c r="S45" s="304"/>
      <c r="T45" s="216">
        <v>2022</v>
      </c>
      <c r="U45" s="231" t="s">
        <v>207</v>
      </c>
    </row>
    <row r="46" spans="2:21" x14ac:dyDescent="0.25">
      <c r="L46" s="299"/>
      <c r="M46" s="215" t="s">
        <v>205</v>
      </c>
      <c r="N46" s="215" t="s">
        <v>206</v>
      </c>
      <c r="O46" s="215" t="s">
        <v>205</v>
      </c>
      <c r="P46" s="215" t="s">
        <v>206</v>
      </c>
      <c r="Q46" s="215" t="s">
        <v>205</v>
      </c>
      <c r="R46" s="215" t="s">
        <v>206</v>
      </c>
      <c r="S46" s="215" t="s">
        <v>205</v>
      </c>
      <c r="T46" s="216" t="s">
        <v>206</v>
      </c>
      <c r="U46" s="232"/>
    </row>
    <row r="47" spans="2:21" x14ac:dyDescent="0.25">
      <c r="L47" s="21" t="s">
        <v>197</v>
      </c>
      <c r="M47" s="81"/>
      <c r="N47" s="81">
        <v>655</v>
      </c>
      <c r="O47" s="81">
        <v>657</v>
      </c>
      <c r="P47" s="81">
        <v>657</v>
      </c>
      <c r="Q47" s="81">
        <v>657</v>
      </c>
      <c r="R47" s="81">
        <v>657</v>
      </c>
      <c r="S47" s="81">
        <v>657</v>
      </c>
      <c r="T47" s="81">
        <v>657</v>
      </c>
      <c r="U47" s="81">
        <f>+SUM(M47:T47)</f>
        <v>4597</v>
      </c>
    </row>
    <row r="48" spans="2:21" x14ac:dyDescent="0.25">
      <c r="L48" s="21" t="s">
        <v>198</v>
      </c>
      <c r="M48" s="81"/>
      <c r="N48" s="81">
        <v>116</v>
      </c>
      <c r="O48" s="81">
        <v>116</v>
      </c>
      <c r="P48" s="81">
        <v>116</v>
      </c>
      <c r="Q48" s="81">
        <v>116</v>
      </c>
      <c r="R48" s="81">
        <v>116</v>
      </c>
      <c r="S48" s="81">
        <v>116</v>
      </c>
      <c r="T48" s="81">
        <v>116</v>
      </c>
      <c r="U48" s="81">
        <f t="shared" ref="U48:U55" si="9">+SUM(M48:T48)</f>
        <v>812</v>
      </c>
    </row>
    <row r="49" spans="12:21" x14ac:dyDescent="0.25">
      <c r="L49" s="21" t="s">
        <v>209</v>
      </c>
      <c r="M49" s="81"/>
      <c r="N49" s="81">
        <v>771</v>
      </c>
      <c r="O49" s="81">
        <v>773</v>
      </c>
      <c r="P49" s="81">
        <v>773</v>
      </c>
      <c r="Q49" s="81">
        <v>773</v>
      </c>
      <c r="R49" s="81">
        <v>773</v>
      </c>
      <c r="S49" s="81">
        <v>773</v>
      </c>
      <c r="T49" s="81">
        <v>773</v>
      </c>
      <c r="U49" s="81">
        <f t="shared" si="9"/>
        <v>5409</v>
      </c>
    </row>
    <row r="50" spans="12:21" x14ac:dyDescent="0.25">
      <c r="L50" s="21" t="s">
        <v>210</v>
      </c>
      <c r="M50" s="81"/>
      <c r="N50" s="81">
        <v>400</v>
      </c>
      <c r="O50" s="81">
        <v>400</v>
      </c>
      <c r="P50" s="81"/>
      <c r="Q50" s="81"/>
      <c r="R50" s="81"/>
      <c r="S50" s="81"/>
      <c r="T50" s="81"/>
      <c r="U50" s="81">
        <f t="shared" si="9"/>
        <v>800</v>
      </c>
    </row>
    <row r="51" spans="12:21" x14ac:dyDescent="0.25">
      <c r="L51" s="21" t="s">
        <v>211</v>
      </c>
      <c r="M51" s="81"/>
      <c r="N51" s="81">
        <v>300</v>
      </c>
      <c r="O51" s="81">
        <v>300</v>
      </c>
      <c r="P51" s="81"/>
      <c r="Q51" s="81"/>
      <c r="R51" s="81"/>
      <c r="S51" s="81"/>
      <c r="T51" s="81"/>
      <c r="U51" s="81">
        <f t="shared" si="9"/>
        <v>600</v>
      </c>
    </row>
    <row r="52" spans="12:21" x14ac:dyDescent="0.25">
      <c r="L52" s="21" t="s">
        <v>212</v>
      </c>
      <c r="M52" s="81"/>
      <c r="N52" s="81">
        <v>54</v>
      </c>
      <c r="O52" s="81"/>
      <c r="P52" s="81"/>
      <c r="Q52" s="81"/>
      <c r="R52" s="81"/>
      <c r="S52" s="81"/>
      <c r="T52" s="81"/>
      <c r="U52" s="81">
        <f t="shared" si="9"/>
        <v>54</v>
      </c>
    </row>
    <row r="53" spans="12:21" ht="27" customHeight="1" x14ac:dyDescent="0.25">
      <c r="L53" s="21" t="s">
        <v>216</v>
      </c>
      <c r="M53" s="81"/>
      <c r="N53" s="81">
        <v>912</v>
      </c>
      <c r="O53" s="81">
        <v>912</v>
      </c>
      <c r="P53" s="81">
        <v>912</v>
      </c>
      <c r="Q53" s="81">
        <v>912</v>
      </c>
      <c r="R53" s="81">
        <v>912</v>
      </c>
      <c r="S53" s="81">
        <v>912</v>
      </c>
      <c r="T53" s="81">
        <v>913</v>
      </c>
      <c r="U53" s="81">
        <f t="shared" si="9"/>
        <v>6385</v>
      </c>
    </row>
    <row r="54" spans="12:21" x14ac:dyDescent="0.25">
      <c r="L54" s="21" t="s">
        <v>214</v>
      </c>
      <c r="M54" s="81">
        <v>0</v>
      </c>
      <c r="N54" s="81">
        <v>754</v>
      </c>
      <c r="O54" s="81">
        <v>700</v>
      </c>
      <c r="P54" s="81"/>
      <c r="Q54" s="81">
        <v>0</v>
      </c>
      <c r="R54" s="81"/>
      <c r="S54" s="81">
        <v>0</v>
      </c>
      <c r="T54" s="81">
        <v>0</v>
      </c>
      <c r="U54" s="81">
        <f t="shared" si="9"/>
        <v>1454</v>
      </c>
    </row>
    <row r="55" spans="12:21" x14ac:dyDescent="0.25">
      <c r="L55" s="21" t="s">
        <v>184</v>
      </c>
      <c r="M55" s="81">
        <v>0</v>
      </c>
      <c r="N55" s="81">
        <v>1525</v>
      </c>
      <c r="O55" s="81">
        <v>1473</v>
      </c>
      <c r="P55" s="81">
        <v>773</v>
      </c>
      <c r="Q55" s="81">
        <v>773</v>
      </c>
      <c r="R55" s="81">
        <v>773</v>
      </c>
      <c r="S55" s="81">
        <v>773</v>
      </c>
      <c r="T55" s="81">
        <v>773</v>
      </c>
      <c r="U55" s="81">
        <f t="shared" si="9"/>
        <v>6863</v>
      </c>
    </row>
    <row r="66" ht="31.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spans="10:11" ht="12.75" customHeight="1" x14ac:dyDescent="0.25"/>
    <row r="82" spans="10:11" ht="12.75" customHeight="1" x14ac:dyDescent="0.25"/>
    <row r="83" spans="10:11" ht="12.75" customHeight="1" x14ac:dyDescent="0.25"/>
    <row r="84" spans="10:11" ht="12.75" customHeight="1" x14ac:dyDescent="0.25"/>
    <row r="85" spans="10:11" ht="12.75" customHeight="1" x14ac:dyDescent="0.25"/>
    <row r="86" spans="10:11" ht="12.75" customHeight="1" x14ac:dyDescent="0.25"/>
    <row r="87" spans="10:11" ht="12.75" customHeight="1" x14ac:dyDescent="0.25"/>
    <row r="88" spans="10:11" ht="12.75" customHeight="1" x14ac:dyDescent="0.25"/>
    <row r="89" spans="10:11" ht="12.75" customHeight="1" x14ac:dyDescent="0.25"/>
    <row r="90" spans="10:11" ht="12.75" customHeight="1" x14ac:dyDescent="0.25"/>
    <row r="91" spans="10:11" ht="12.75" customHeight="1" x14ac:dyDescent="0.25"/>
    <row r="92" spans="10:11" ht="12.75" customHeight="1" x14ac:dyDescent="0.25"/>
    <row r="93" spans="10:11" ht="12.75" customHeight="1" x14ac:dyDescent="0.25">
      <c r="J93" s="290"/>
      <c r="K93" s="290"/>
    </row>
    <row r="94" spans="10:11" ht="12.75" customHeight="1" x14ac:dyDescent="0.25">
      <c r="J94" s="229"/>
      <c r="K94" s="230"/>
    </row>
    <row r="95" spans="10:11" x14ac:dyDescent="0.25">
      <c r="J95" s="227"/>
      <c r="K95" s="228"/>
    </row>
    <row r="96" spans="10:11" x14ac:dyDescent="0.25">
      <c r="J96" s="227"/>
      <c r="K96" s="228"/>
    </row>
    <row r="97" spans="10:11" x14ac:dyDescent="0.25">
      <c r="J97" s="227"/>
      <c r="K97" s="228"/>
    </row>
    <row r="98" spans="10:11" x14ac:dyDescent="0.25">
      <c r="J98" s="227"/>
      <c r="K98" s="228"/>
    </row>
    <row r="99" spans="10:11" x14ac:dyDescent="0.25">
      <c r="J99" s="227"/>
      <c r="K99" s="228"/>
    </row>
    <row r="100" spans="10:11" x14ac:dyDescent="0.25">
      <c r="J100" s="227"/>
      <c r="K100" s="228"/>
    </row>
    <row r="101" spans="10:11" x14ac:dyDescent="0.25">
      <c r="J101" s="227"/>
      <c r="K101" s="228"/>
    </row>
    <row r="102" spans="10:11" x14ac:dyDescent="0.25">
      <c r="J102" s="227"/>
      <c r="K102" s="228"/>
    </row>
    <row r="103" spans="10:11" x14ac:dyDescent="0.25">
      <c r="J103" s="227"/>
      <c r="K103" s="228"/>
    </row>
    <row r="104" spans="10:11" x14ac:dyDescent="0.25">
      <c r="J104" s="227"/>
      <c r="K104" s="228"/>
    </row>
    <row r="105" spans="10:11" x14ac:dyDescent="0.25">
      <c r="J105" s="227"/>
      <c r="K105" s="228"/>
    </row>
    <row r="106" spans="10:11" x14ac:dyDescent="0.25">
      <c r="J106" s="227"/>
      <c r="K106" s="228"/>
    </row>
  </sheetData>
  <sheetProtection algorithmName="SHA-512" hashValue="h1DV8HUH6C5ZvTBkIvh4AiuEgyZgJiGwqKOk3EC3anbQAGGmLD484us15Kucml6iojvDjaOjVtDTXyVDwKlkhg==" saltValue="eTijEVixD0n6PaxbevaJhQ==" spinCount="100000" sheet="1" objects="1" scenarios="1"/>
  <mergeCells count="36">
    <mergeCell ref="B13:C13"/>
    <mergeCell ref="B7:C7"/>
    <mergeCell ref="B34:C34"/>
    <mergeCell ref="N45:O45"/>
    <mergeCell ref="P45:Q45"/>
    <mergeCell ref="R45:S45"/>
    <mergeCell ref="P31:Q31"/>
    <mergeCell ref="R31:S31"/>
    <mergeCell ref="N31:O31"/>
    <mergeCell ref="L23:U23"/>
    <mergeCell ref="L24:L25"/>
    <mergeCell ref="N24:O24"/>
    <mergeCell ref="P24:Q24"/>
    <mergeCell ref="R24:S24"/>
    <mergeCell ref="U24:U25"/>
    <mergeCell ref="L30:U30"/>
    <mergeCell ref="L44:U44"/>
    <mergeCell ref="L45:L46"/>
    <mergeCell ref="L31:L32"/>
    <mergeCell ref="U3:U4"/>
    <mergeCell ref="L2:U2"/>
    <mergeCell ref="L14:L15"/>
    <mergeCell ref="N14:O14"/>
    <mergeCell ref="P14:Q14"/>
    <mergeCell ref="R14:S14"/>
    <mergeCell ref="U14:U15"/>
    <mergeCell ref="L13:U13"/>
    <mergeCell ref="L3:L4"/>
    <mergeCell ref="N3:O3"/>
    <mergeCell ref="P3:Q3"/>
    <mergeCell ref="R3:S3"/>
    <mergeCell ref="J93:K93"/>
    <mergeCell ref="B28:C28"/>
    <mergeCell ref="B31:C31"/>
    <mergeCell ref="B21:C21"/>
    <mergeCell ref="B18:H18"/>
  </mergeCells>
  <phoneticPr fontId="0" type="noConversion"/>
  <pageMargins left="0.74803149606299213" right="0.74803149606299213" top="0.62992125984251968" bottom="0.55118110236220474" header="0.39370078740157483" footer="0"/>
  <pageSetup scale="35" orientation="landscape" r:id="rId1"/>
  <headerFooter alignWithMargins="0">
    <oddFooter xml:space="preserve">&amp;C&amp;A&amp;R
</oddFoot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2:L38"/>
  <sheetViews>
    <sheetView zoomScaleNormal="100" workbookViewId="0">
      <selection activeCell="C12" sqref="C12"/>
    </sheetView>
  </sheetViews>
  <sheetFormatPr baseColWidth="10" defaultColWidth="11.42578125" defaultRowHeight="15" x14ac:dyDescent="0.25"/>
  <cols>
    <col min="1" max="1" width="0.140625" style="8" customWidth="1"/>
    <col min="2" max="2" width="40" style="8" customWidth="1"/>
    <col min="3" max="3" width="11.140625" style="8" customWidth="1"/>
    <col min="4" max="4" width="15.140625" style="8" bestFit="1" customWidth="1"/>
    <col min="5" max="5" width="13.85546875" style="8" customWidth="1"/>
    <col min="6" max="6" width="13.85546875" style="8" bestFit="1" customWidth="1"/>
    <col min="7" max="10" width="15.7109375" style="8" bestFit="1" customWidth="1"/>
    <col min="11" max="11" width="12.28515625" style="8" bestFit="1" customWidth="1"/>
    <col min="12" max="16384" width="11.42578125" style="8"/>
  </cols>
  <sheetData>
    <row r="2" spans="2:11" x14ac:dyDescent="0.25">
      <c r="B2" s="44" t="s">
        <v>176</v>
      </c>
    </row>
    <row r="4" spans="2:11" x14ac:dyDescent="0.25">
      <c r="B4" s="6" t="s">
        <v>17</v>
      </c>
    </row>
    <row r="5" spans="2:11" x14ac:dyDescent="0.25">
      <c r="B5" s="8" t="s">
        <v>72</v>
      </c>
    </row>
    <row r="6" spans="2:11" ht="15.75" thickBot="1" x14ac:dyDescent="0.3"/>
    <row r="7" spans="2:11" ht="28.5" x14ac:dyDescent="0.25">
      <c r="B7" s="291" t="s">
        <v>50</v>
      </c>
      <c r="C7" s="292"/>
      <c r="D7" s="164" t="s">
        <v>166</v>
      </c>
      <c r="E7" s="165" t="s">
        <v>65</v>
      </c>
      <c r="F7" s="164" t="s">
        <v>62</v>
      </c>
      <c r="G7" s="246" t="s">
        <v>167</v>
      </c>
      <c r="H7" s="246" t="s">
        <v>162</v>
      </c>
      <c r="I7" s="246" t="s">
        <v>163</v>
      </c>
      <c r="J7" s="246" t="s">
        <v>168</v>
      </c>
    </row>
    <row r="8" spans="2:11" x14ac:dyDescent="0.25">
      <c r="B8" s="69"/>
      <c r="C8" s="69"/>
      <c r="D8" s="166"/>
      <c r="E8" s="167"/>
      <c r="F8" s="167"/>
      <c r="G8" s="168"/>
      <c r="H8" s="168"/>
      <c r="I8" s="168"/>
      <c r="J8" s="168"/>
    </row>
    <row r="9" spans="2:11" x14ac:dyDescent="0.25">
      <c r="B9" s="69" t="s">
        <v>147</v>
      </c>
      <c r="C9" s="69" t="s">
        <v>45</v>
      </c>
      <c r="D9" s="247">
        <v>167213.05591722572</v>
      </c>
      <c r="E9" s="248">
        <v>0.97</v>
      </c>
      <c r="F9" s="247">
        <f>D9*E9</f>
        <v>162196.66423970895</v>
      </c>
      <c r="G9" s="168">
        <f>+F9+INVERSIONES!D8</f>
        <v>175280.94559969738</v>
      </c>
      <c r="H9" s="168">
        <f>+G9+INVERSIONES!E8</f>
        <v>193784.39203186723</v>
      </c>
      <c r="I9" s="168">
        <f>+H9+INVERSIONES!F8</f>
        <v>210562.3059011586</v>
      </c>
      <c r="J9" s="168">
        <f>+I9+INVERSIONES!G8</f>
        <v>225895.1087363663</v>
      </c>
    </row>
    <row r="10" spans="2:11" x14ac:dyDescent="0.25">
      <c r="B10" s="69" t="s">
        <v>148</v>
      </c>
      <c r="C10" s="69" t="s">
        <v>46</v>
      </c>
      <c r="D10" s="247">
        <v>8905.8177419893345</v>
      </c>
      <c r="E10" s="248">
        <v>0.97</v>
      </c>
      <c r="F10" s="247">
        <f>D10*E10</f>
        <v>8638.6432097296547</v>
      </c>
      <c r="G10" s="168">
        <f>+F10+INVERSIONES!D9</f>
        <v>9388.3090342967462</v>
      </c>
      <c r="H10" s="168">
        <f>+G10+INVERSIONES!E9</f>
        <v>10187.388668202049</v>
      </c>
      <c r="I10" s="168">
        <f>+H10+INVERSIONES!F9</f>
        <v>11012.639652356445</v>
      </c>
      <c r="J10" s="168">
        <f>+I10+INVERSIONES!G9</f>
        <v>11862.844037489574</v>
      </c>
    </row>
    <row r="11" spans="2:11" x14ac:dyDescent="0.25">
      <c r="B11" s="69" t="s">
        <v>146</v>
      </c>
      <c r="C11" s="69" t="s">
        <v>51</v>
      </c>
      <c r="D11" s="247">
        <v>8481.2392964913724</v>
      </c>
      <c r="E11" s="248">
        <v>0.97</v>
      </c>
      <c r="F11" s="247">
        <f>D11*E11</f>
        <v>8226.8021175966314</v>
      </c>
      <c r="G11" s="168">
        <f>+F11+INVERSIONES!D10</f>
        <v>9766.9617475966315</v>
      </c>
      <c r="H11" s="168">
        <f>+G11+INVERSIONES!E10</f>
        <v>11822.244307596631</v>
      </c>
      <c r="I11" s="168">
        <f>+H11+INVERSIONES!F10</f>
        <v>12987.126867596631</v>
      </c>
      <c r="J11" s="168">
        <f>+I11+INVERSIONES!G10</f>
        <v>14152.393427596631</v>
      </c>
    </row>
    <row r="12" spans="2:11" x14ac:dyDescent="0.25">
      <c r="B12" s="69"/>
      <c r="C12" s="69"/>
      <c r="D12" s="249">
        <v>184600.11295570643</v>
      </c>
      <c r="E12" s="248"/>
      <c r="F12" s="250">
        <f>SUM(F9:F11)</f>
        <v>179062.10956703525</v>
      </c>
      <c r="G12" s="169"/>
      <c r="H12" s="169"/>
      <c r="I12" s="169"/>
      <c r="J12" s="170"/>
    </row>
    <row r="13" spans="2:11" x14ac:dyDescent="0.25">
      <c r="B13" s="171"/>
      <c r="C13" s="171"/>
      <c r="D13" s="247"/>
      <c r="E13" s="251"/>
      <c r="F13" s="252"/>
      <c r="G13" s="168"/>
      <c r="H13" s="168"/>
      <c r="I13" s="168"/>
      <c r="J13" s="168"/>
    </row>
    <row r="14" spans="2:11" x14ac:dyDescent="0.25">
      <c r="B14" s="69" t="s">
        <v>47</v>
      </c>
      <c r="C14" s="69" t="s">
        <v>49</v>
      </c>
      <c r="D14" s="247">
        <v>85624.519682798389</v>
      </c>
      <c r="E14" s="248">
        <v>0.97</v>
      </c>
      <c r="F14" s="247">
        <f>D14*E14</f>
        <v>83055.784092314439</v>
      </c>
      <c r="G14" s="168">
        <f>F14+(G9-F9)-((G9-F9)/2+F9)*'PERDIDAS y OTROS'!E$11</f>
        <v>91077.901304711791</v>
      </c>
      <c r="H14" s="168">
        <f>G14+(H9-G9)-((H9-G9)/2+G9)*'PERDIDAS y OTROS'!F$11</f>
        <v>104045.36767240817</v>
      </c>
      <c r="I14" s="168">
        <f>H14+(I9-H9)-((I9-H9)/2+H9)*'PERDIDAS y OTROS'!G$11</f>
        <v>114758.08107270415</v>
      </c>
      <c r="J14" s="168">
        <f>I14+(J9-I9)-((J9-I9)/2+I9)*'PERDIDAS y OTROS'!H$11</f>
        <v>123544.02268834898</v>
      </c>
      <c r="K14" s="49"/>
    </row>
    <row r="15" spans="2:11" x14ac:dyDescent="0.25">
      <c r="B15" s="69" t="s">
        <v>143</v>
      </c>
      <c r="C15" s="69" t="s">
        <v>48</v>
      </c>
      <c r="D15" s="247">
        <v>5826.4326262316727</v>
      </c>
      <c r="E15" s="248">
        <v>0.97</v>
      </c>
      <c r="F15" s="247">
        <f>D15*E15</f>
        <v>5651.639647444722</v>
      </c>
      <c r="G15" s="168">
        <f>F15+(G10-F10)-((G10-F10)/2+F10)*'PERDIDAS y OTROS'!E$12</f>
        <v>6053.3852937021038</v>
      </c>
      <c r="H15" s="168">
        <f>G15+(H10-G10)-((H10-G10)/2+G10)*'PERDIDAS y OTROS'!F$12</f>
        <v>6474.6539619491805</v>
      </c>
      <c r="I15" s="168">
        <f>H15+(I10-H10)-((I10-H10)/2+H10)*'PERDIDAS y OTROS'!G$12</f>
        <v>6890.7443995167978</v>
      </c>
      <c r="J15" s="168">
        <f>I15+(J10-I10)-((J10-I10)/2+I10)*'PERDIDAS y OTROS'!H$12</f>
        <v>7299.4519494358983</v>
      </c>
      <c r="K15" s="49"/>
    </row>
    <row r="16" spans="2:11" x14ac:dyDescent="0.25">
      <c r="B16" s="69" t="s">
        <v>149</v>
      </c>
      <c r="C16" s="69" t="s">
        <v>52</v>
      </c>
      <c r="D16" s="247">
        <v>6016.9012579825585</v>
      </c>
      <c r="E16" s="248">
        <v>0.97</v>
      </c>
      <c r="F16" s="247">
        <f>D16*E16</f>
        <v>5836.3942202430817</v>
      </c>
      <c r="G16" s="168">
        <f>F16+(G11-F11)-((G11-F11)/2+F11)*'PERDIDAS y OTROS'!E$13</f>
        <v>7079.6567464673926</v>
      </c>
      <c r="H16" s="168">
        <f>G16+(H11-G11)-((H11-G11)/2+G11)*'PERDIDAS y OTROS'!F$13</f>
        <v>8778.7174065567051</v>
      </c>
      <c r="I16" s="168">
        <f>H16+(I11-H11)-((I11-H11)/2+H11)*'PERDIDAS y OTROS'!G$13</f>
        <v>9534.2453421660157</v>
      </c>
      <c r="J16" s="168">
        <f>I16+(J11-I11)-((J11-I11)/2+I11)*'PERDIDAS y OTROS'!H$13</f>
        <v>10251.709817295327</v>
      </c>
      <c r="K16" s="49"/>
    </row>
    <row r="17" spans="2:12" x14ac:dyDescent="0.25">
      <c r="B17" s="172"/>
      <c r="C17" s="172"/>
      <c r="D17" s="249">
        <v>97467.853567012629</v>
      </c>
      <c r="E17" s="253"/>
      <c r="F17" s="250">
        <f>SUM(F14:F16)</f>
        <v>94543.817960002241</v>
      </c>
      <c r="G17" s="173"/>
      <c r="H17" s="173"/>
      <c r="I17" s="173"/>
      <c r="J17" s="173"/>
    </row>
    <row r="18" spans="2:12" x14ac:dyDescent="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 x14ac:dyDescent="0.25">
      <c r="B19" s="67"/>
      <c r="C19" s="67"/>
      <c r="D19" s="174"/>
      <c r="E19" s="175"/>
      <c r="F19" s="175"/>
      <c r="G19" s="175"/>
      <c r="H19" s="175"/>
      <c r="I19" s="174"/>
      <c r="J19" s="174"/>
      <c r="K19" s="174"/>
      <c r="L19" s="174"/>
    </row>
    <row r="20" spans="2:12" x14ac:dyDescent="0.25">
      <c r="E20" s="176"/>
    </row>
    <row r="21" spans="2:12" x14ac:dyDescent="0.25">
      <c r="B21" s="6"/>
    </row>
    <row r="22" spans="2:12" x14ac:dyDescent="0.25">
      <c r="D22" s="65"/>
    </row>
    <row r="23" spans="2:12" x14ac:dyDescent="0.25">
      <c r="D23" s="65"/>
    </row>
    <row r="24" spans="2:12" x14ac:dyDescent="0.25">
      <c r="D24" s="65"/>
    </row>
    <row r="25" spans="2:12" x14ac:dyDescent="0.25">
      <c r="D25" s="65"/>
    </row>
    <row r="27" spans="2:12" x14ac:dyDescent="0.25">
      <c r="D27" s="65"/>
    </row>
    <row r="28" spans="2:12" x14ac:dyDescent="0.25">
      <c r="D28" s="65"/>
    </row>
    <row r="30" spans="2:12" x14ac:dyDescent="0.25">
      <c r="B30" s="6"/>
    </row>
    <row r="31" spans="2:12" x14ac:dyDescent="0.25">
      <c r="D31" s="65"/>
    </row>
    <row r="32" spans="2:12" x14ac:dyDescent="0.25">
      <c r="D32" s="65"/>
    </row>
    <row r="33" spans="4:4" x14ac:dyDescent="0.25">
      <c r="D33" s="65"/>
    </row>
    <row r="34" spans="4:4" x14ac:dyDescent="0.25">
      <c r="D34" s="65"/>
    </row>
    <row r="36" spans="4:4" x14ac:dyDescent="0.25">
      <c r="D36" s="65"/>
    </row>
    <row r="37" spans="4:4" x14ac:dyDescent="0.25">
      <c r="D37" s="65"/>
    </row>
    <row r="38" spans="4:4" x14ac:dyDescent="0.25">
      <c r="D38" s="65"/>
    </row>
  </sheetData>
  <sheetProtection algorithmName="SHA-512" hashValue="GjKjKljMPVRUOhdzFdVcypZ3X0sOI0qgKE28gRr1W9dun50mMwbRf1Nwi/0uTvewqFJVxuyQ3GelLOCfc4YbsQ==" saltValue="bXVkQ+0t8ehKyjLmNcolEg==" spinCount="100000" sheet="1" objects="1" scenarios="1"/>
  <mergeCells count="1">
    <mergeCell ref="B7:C7"/>
  </mergeCells>
  <phoneticPr fontId="0" type="noConversion"/>
  <pageMargins left="0.74803149606299213" right="0.74803149606299213" top="0.62992125984251968" bottom="0.55118110236220474" header="0.39370078740157483" footer="0"/>
  <pageSetup scale="77" orientation="landscape" horizontalDpi="300" verticalDpi="300" r:id="rId1"/>
  <headerFooter alignWithMargins="0">
    <oddFooter xml:space="preserve">&amp;C&amp;A&amp;R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H38"/>
  <sheetViews>
    <sheetView zoomScaleNormal="100" workbookViewId="0">
      <selection activeCell="C12" sqref="C12"/>
    </sheetView>
  </sheetViews>
  <sheetFormatPr baseColWidth="10" defaultColWidth="11.42578125" defaultRowHeight="15" x14ac:dyDescent="0.25"/>
  <cols>
    <col min="1" max="1" width="1.28515625" style="8" customWidth="1"/>
    <col min="2" max="2" width="50.42578125" style="8" customWidth="1"/>
    <col min="3" max="3" width="11.7109375" style="8" bestFit="1" customWidth="1"/>
    <col min="4" max="4" width="18.5703125" style="8" bestFit="1" customWidth="1"/>
    <col min="5" max="5" width="16.5703125" style="8" bestFit="1" customWidth="1"/>
    <col min="6" max="7" width="16.85546875" style="8" bestFit="1" customWidth="1"/>
    <col min="8" max="8" width="15" style="8" bestFit="1" customWidth="1"/>
    <col min="9" max="9" width="13.42578125" style="8" bestFit="1" customWidth="1"/>
    <col min="10" max="13" width="10.140625" style="8" bestFit="1" customWidth="1"/>
    <col min="14" max="16384" width="11.42578125" style="8"/>
  </cols>
  <sheetData>
    <row r="2" spans="2:8" x14ac:dyDescent="0.25">
      <c r="B2" s="44" t="s">
        <v>176</v>
      </c>
    </row>
    <row r="4" spans="2:8" x14ac:dyDescent="0.25">
      <c r="B4" s="6" t="s">
        <v>56</v>
      </c>
    </row>
    <row r="5" spans="2:8" ht="15.75" thickBot="1" x14ac:dyDescent="0.3"/>
    <row r="6" spans="2:8" x14ac:dyDescent="0.25">
      <c r="B6" s="246" t="s">
        <v>152</v>
      </c>
      <c r="C6" s="246"/>
      <c r="D6" s="246" t="s">
        <v>57</v>
      </c>
      <c r="E6" s="246" t="s">
        <v>161</v>
      </c>
      <c r="F6" s="246" t="s">
        <v>162</v>
      </c>
      <c r="G6" s="246" t="s">
        <v>163</v>
      </c>
      <c r="H6" s="246" t="s">
        <v>164</v>
      </c>
    </row>
    <row r="7" spans="2:8" x14ac:dyDescent="0.25">
      <c r="B7" s="178"/>
      <c r="C7" s="178"/>
      <c r="D7" s="179"/>
      <c r="E7" s="180"/>
      <c r="F7" s="180"/>
      <c r="G7" s="180"/>
      <c r="H7" s="180"/>
    </row>
    <row r="8" spans="2:8" x14ac:dyDescent="0.25">
      <c r="B8" s="181" t="s">
        <v>34</v>
      </c>
      <c r="C8" s="182" t="s">
        <v>33</v>
      </c>
      <c r="D8" s="183" t="s">
        <v>109</v>
      </c>
      <c r="E8" s="184">
        <v>135.17501793486508</v>
      </c>
      <c r="F8" s="184">
        <v>138.21576293973072</v>
      </c>
      <c r="G8" s="184">
        <v>119.22816246590295</v>
      </c>
      <c r="H8" s="184">
        <v>111.03410291752297</v>
      </c>
    </row>
    <row r="9" spans="2:8" x14ac:dyDescent="0.25">
      <c r="B9" s="136" t="s">
        <v>144</v>
      </c>
      <c r="C9" s="183" t="s">
        <v>1</v>
      </c>
      <c r="D9" s="183" t="s">
        <v>0</v>
      </c>
      <c r="E9" s="185">
        <f>+REGRESIONES!D89</f>
        <v>7.7135673227154061E-2</v>
      </c>
      <c r="F9" s="185">
        <f>+REGRESIONES!E89</f>
        <v>7.7127345181177892E-2</v>
      </c>
      <c r="G9" s="185">
        <f>+REGRESIONES!F89</f>
        <v>7.7119009374255698E-2</v>
      </c>
      <c r="H9" s="185">
        <f>+REGRESIONES!G89</f>
        <v>7.7110665618929444E-2</v>
      </c>
    </row>
    <row r="10" spans="2:8" x14ac:dyDescent="0.25">
      <c r="B10" s="136" t="s">
        <v>178</v>
      </c>
      <c r="C10" s="183" t="s">
        <v>1</v>
      </c>
      <c r="D10" s="183" t="s">
        <v>0</v>
      </c>
      <c r="E10" s="185">
        <v>0</v>
      </c>
      <c r="F10" s="185">
        <v>0</v>
      </c>
      <c r="G10" s="185">
        <v>0</v>
      </c>
      <c r="H10" s="185">
        <v>0</v>
      </c>
    </row>
    <row r="11" spans="2:8" x14ac:dyDescent="0.25">
      <c r="B11" s="136" t="s">
        <v>88</v>
      </c>
      <c r="C11" s="183" t="s">
        <v>32</v>
      </c>
      <c r="D11" s="183" t="s">
        <v>0</v>
      </c>
      <c r="E11" s="185">
        <v>0.03</v>
      </c>
      <c r="F11" s="185">
        <v>0.03</v>
      </c>
      <c r="G11" s="185">
        <v>0.03</v>
      </c>
      <c r="H11" s="185">
        <v>0.03</v>
      </c>
    </row>
    <row r="12" spans="2:8" x14ac:dyDescent="0.25">
      <c r="B12" s="136" t="s">
        <v>89</v>
      </c>
      <c r="C12" s="183" t="s">
        <v>32</v>
      </c>
      <c r="D12" s="183" t="s">
        <v>0</v>
      </c>
      <c r="E12" s="185">
        <v>3.8600000000000002E-2</v>
      </c>
      <c r="F12" s="185">
        <v>3.8600000000000002E-2</v>
      </c>
      <c r="G12" s="185">
        <v>3.8600000000000002E-2</v>
      </c>
      <c r="H12" s="185">
        <v>3.8600000000000002E-2</v>
      </c>
    </row>
    <row r="13" spans="2:8" x14ac:dyDescent="0.25">
      <c r="B13" s="136" t="s">
        <v>90</v>
      </c>
      <c r="C13" s="183" t="s">
        <v>32</v>
      </c>
      <c r="D13" s="183" t="s">
        <v>0</v>
      </c>
      <c r="E13" s="185">
        <v>3.3000000000000002E-2</v>
      </c>
      <c r="F13" s="185">
        <v>3.3000000000000002E-2</v>
      </c>
      <c r="G13" s="185">
        <v>3.3000000000000002E-2</v>
      </c>
      <c r="H13" s="185">
        <v>3.3000000000000002E-2</v>
      </c>
    </row>
    <row r="14" spans="2:8" x14ac:dyDescent="0.25">
      <c r="B14" s="136" t="s">
        <v>53</v>
      </c>
      <c r="C14" s="183" t="s">
        <v>54</v>
      </c>
      <c r="D14" s="183" t="s">
        <v>107</v>
      </c>
      <c r="E14" s="184">
        <f>ALUMPU!D11</f>
        <v>416.53087499999998</v>
      </c>
      <c r="F14" s="184">
        <f>ALUMPU!E11</f>
        <v>429.63510000000002</v>
      </c>
      <c r="G14" s="184">
        <f>ALUMPU!F11</f>
        <v>442.81229999999999</v>
      </c>
      <c r="H14" s="184">
        <f>ALUMPU!G11</f>
        <v>453.55700000000002</v>
      </c>
    </row>
    <row r="15" spans="2:8" x14ac:dyDescent="0.25">
      <c r="B15" s="186"/>
      <c r="C15" s="186"/>
      <c r="D15" s="186"/>
      <c r="E15" s="187"/>
      <c r="F15" s="187"/>
      <c r="G15" s="187"/>
      <c r="H15" s="187"/>
    </row>
    <row r="17" spans="2:8" x14ac:dyDescent="0.25">
      <c r="B17" s="6"/>
      <c r="E17" s="59"/>
      <c r="F17" s="59"/>
      <c r="G17" s="59"/>
      <c r="H17" s="59"/>
    </row>
    <row r="18" spans="2:8" x14ac:dyDescent="0.25">
      <c r="E18" s="59"/>
      <c r="F18" s="59"/>
      <c r="G18" s="59"/>
      <c r="H18" s="59"/>
    </row>
    <row r="23" spans="2:8" hidden="1" x14ac:dyDescent="0.25">
      <c r="C23" s="188"/>
      <c r="D23" s="189"/>
      <c r="E23" s="190"/>
      <c r="F23" s="190"/>
      <c r="G23" s="190"/>
    </row>
    <row r="24" spans="2:8" hidden="1" x14ac:dyDescent="0.25">
      <c r="B24" s="191"/>
      <c r="C24" s="192"/>
      <c r="D24" s="193"/>
      <c r="E24" s="193"/>
      <c r="F24" s="193"/>
      <c r="G24" s="193"/>
    </row>
    <row r="25" spans="2:8" hidden="1" x14ac:dyDescent="0.25">
      <c r="B25" s="191"/>
      <c r="C25" s="192"/>
      <c r="D25" s="177"/>
      <c r="E25" s="194"/>
      <c r="F25" s="194"/>
      <c r="G25" s="194"/>
    </row>
    <row r="26" spans="2:8" hidden="1" x14ac:dyDescent="0.25">
      <c r="B26" s="191"/>
      <c r="C26" s="192"/>
      <c r="D26" s="195"/>
      <c r="E26" s="195"/>
      <c r="F26" s="195"/>
      <c r="G26" s="195"/>
    </row>
    <row r="27" spans="2:8" hidden="1" x14ac:dyDescent="0.25">
      <c r="E27" s="196"/>
    </row>
    <row r="28" spans="2:8" hidden="1" x14ac:dyDescent="0.25">
      <c r="E28" s="196"/>
    </row>
    <row r="29" spans="2:8" hidden="1" x14ac:dyDescent="0.25"/>
    <row r="30" spans="2:8" hidden="1" x14ac:dyDescent="0.25"/>
    <row r="31" spans="2:8" ht="15.75" hidden="1" thickBot="1" x14ac:dyDescent="0.3"/>
    <row r="32" spans="2:8" ht="33.75" hidden="1" customHeight="1" x14ac:dyDescent="0.25">
      <c r="B32" s="197"/>
      <c r="C32" s="198"/>
      <c r="D32" s="198"/>
      <c r="E32" s="198"/>
      <c r="F32" s="198"/>
      <c r="G32" s="199"/>
    </row>
    <row r="33" spans="2:7" hidden="1" x14ac:dyDescent="0.25">
      <c r="B33" s="200"/>
      <c r="C33" s="201"/>
      <c r="D33" s="201"/>
      <c r="E33" s="201"/>
      <c r="F33" s="201"/>
      <c r="G33" s="202"/>
    </row>
    <row r="34" spans="2:7" hidden="1" x14ac:dyDescent="0.25">
      <c r="B34" s="200"/>
      <c r="C34" s="201"/>
      <c r="D34" s="201"/>
      <c r="E34" s="201"/>
      <c r="F34" s="201"/>
      <c r="G34" s="202"/>
    </row>
    <row r="35" spans="2:7" ht="15.75" hidden="1" thickBot="1" x14ac:dyDescent="0.3">
      <c r="B35" s="203"/>
      <c r="C35" s="204"/>
      <c r="D35" s="204"/>
      <c r="E35" s="204"/>
      <c r="F35" s="204"/>
      <c r="G35" s="205"/>
    </row>
    <row r="37" spans="2:7" x14ac:dyDescent="0.25">
      <c r="B37" s="58"/>
      <c r="C37" s="58"/>
    </row>
    <row r="38" spans="2:7" x14ac:dyDescent="0.25">
      <c r="B38" s="58"/>
    </row>
  </sheetData>
  <sheetProtection algorithmName="SHA-512" hashValue="J0hBdEa9Ii6Ix0JeT+5KmMsK197LMSs+yW4ZQEK88H9PxbjsWgK85HoCOZHxRI0mchez6jSABcZU5AVVgLabMg==" saltValue="91p6F8F9Q1qVqColtMyZ8Q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83" orientation="landscape" horizontalDpi="300" verticalDpi="300" r:id="rId1"/>
  <headerFooter alignWithMargins="0">
    <oddFooter xml:space="preserve">&amp;C&amp;A&amp;R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IMP-RESUMEN</vt:lpstr>
      <vt:lpstr>IMPD</vt:lpstr>
      <vt:lpstr>IMPCO</vt:lpstr>
      <vt:lpstr>ALUMPU</vt:lpstr>
      <vt:lpstr>DEMANDA</vt:lpstr>
      <vt:lpstr>REGRESIONES</vt:lpstr>
      <vt:lpstr>INVERSIONES</vt:lpstr>
      <vt:lpstr>ACTIVOS</vt:lpstr>
      <vt:lpstr>PERDIDAS y OTROS</vt:lpstr>
      <vt:lpstr>RETORNO</vt:lpstr>
    </vt:vector>
  </TitlesOfParts>
  <Company>Mercados Energeticos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JennyDL</cp:lastModifiedBy>
  <cp:lastPrinted>2018-09-26T19:17:19Z</cp:lastPrinted>
  <dcterms:created xsi:type="dcterms:W3CDTF">2001-07-13T14:01:29Z</dcterms:created>
  <dcterms:modified xsi:type="dcterms:W3CDTF">2018-09-26T19:18:24Z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228361105</vt:i4>
  </property>
  <property fmtid="{D5CDD505-2E9C-101B-9397-08002B2CF9AE}" pid="3" name="_EmailSubject">
    <vt:lpwstr>IMP</vt:lpwstr>
  </property>
  <property fmtid="{D5CDD505-2E9C-101B-9397-08002B2CF9AE}" pid="4" name="_AuthorEmailDisplayName">
    <vt:lpwstr>Jenny de Da Lorenzo</vt:lpwstr>
  </property>
  <property fmtid="{D5CDD505-2E9C-101B-9397-08002B2CF9AE}" pid="5" name="_ReviewingToolsShownOnce">
    <vt:lpwstr/>
  </property>
</Properties>
</file>