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f\Disco F\2018\Pliegos ETESA 16 de enero\"/>
    </mc:Choice>
  </mc:AlternateContent>
  <bookViews>
    <workbookView xWindow="0" yWindow="0" windowWidth="20490" windowHeight="7620" tabRatio="790" firstSheet="1" activeTab="8"/>
  </bookViews>
  <sheets>
    <sheet name="Datos Fijos Año 2" sheetId="3" r:id="rId1"/>
    <sheet name="Datos Fijos Año 1" sheetId="2" r:id="rId2"/>
    <sheet name="Datos Fijos Año 3" sheetId="4" r:id="rId3"/>
    <sheet name="Datos Fijos Año 4" sheetId="5" r:id="rId4"/>
    <sheet name="CUSPT AÑO 1" sheetId="6" r:id="rId5"/>
    <sheet name="CUSPT AÑO 2" sheetId="7" r:id="rId6"/>
    <sheet name="CUSPT AÑO 3" sheetId="8" r:id="rId7"/>
    <sheet name="CUSPT AÑO 4" sheetId="9" r:id="rId8"/>
    <sheet name="CUSPT Equivalente - Generadores" sheetId="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m">#REF!</definedName>
    <definedName name="\r">#REF!</definedName>
    <definedName name="\w">#REF!</definedName>
    <definedName name="\z">#REF!</definedName>
    <definedName name="_2">#REF!</definedName>
    <definedName name="_CFP1">#REF!</definedName>
    <definedName name="_COP1">#REF!</definedName>
    <definedName name="_ERP1">#REF!</definedName>
    <definedName name="_ESP1">#REF!</definedName>
    <definedName name="_Fill" hidden="1">#REF!</definedName>
    <definedName name="_OAP1">#REF!</definedName>
    <definedName name="_PRO2">#REF!</definedName>
    <definedName name="_PRO3">#REF!</definedName>
    <definedName name="_PRO4">#REF!</definedName>
    <definedName name="_RFP1">#REF!</definedName>
    <definedName name="_SE1">#REF!</definedName>
    <definedName name="_SE11">#REF!</definedName>
    <definedName name="_SE12">#REF!</definedName>
    <definedName name="_SE13">#REF!</definedName>
    <definedName name="_SE14">#REF!</definedName>
    <definedName name="_SE15">#REF!</definedName>
    <definedName name="_SE16">#REF!</definedName>
    <definedName name="_SE2">#REF!</definedName>
    <definedName name="_SE3">#REF!</definedName>
    <definedName name="_SE4">#REF!</definedName>
    <definedName name="_SE5">#REF!</definedName>
    <definedName name="_SE6">#REF!</definedName>
    <definedName name="_TST1">#REF!</definedName>
    <definedName name="_TST2">#REF!</definedName>
    <definedName name="_TST3">#REF!</definedName>
    <definedName name="A_IMPRESIÓN_IM">#REF!</definedName>
    <definedName name="Abril">#REF!</definedName>
    <definedName name="ACTUAL">#REF!</definedName>
    <definedName name="ANOS">#REF!</definedName>
    <definedName name="ANOSHIS">#REF!</definedName>
    <definedName name="ANOUNO">#REF!</definedName>
    <definedName name="_xlnm.Extract">#REF!</definedName>
    <definedName name="_xlnm.Print_Area" localSheetId="4">'CUSPT AÑO 1'!$A$1:$M$66</definedName>
    <definedName name="_xlnm.Print_Area" localSheetId="5">'CUSPT AÑO 2'!$A$1:$M$66</definedName>
    <definedName name="_xlnm.Print_Area" localSheetId="6">'CUSPT AÑO 3'!$A$1:$M$66</definedName>
    <definedName name="_xlnm.Print_Area" localSheetId="7">'CUSPT AÑO 4'!$A$1:$M$66</definedName>
    <definedName name="_xlnm.Print_Area" localSheetId="8">'CUSPT Equivalente - Generadores'!$A$1:$M$26</definedName>
    <definedName name="_xlnm.Print_Area" localSheetId="1">'Datos Fijos Año 1'!$A$15:$E$107</definedName>
    <definedName name="_xlnm.Print_Area" localSheetId="0">'Datos Fijos Año 2'!$A$15:$E$111</definedName>
    <definedName name="_xlnm.Print_Area" localSheetId="2">'Datos Fijos Año 3'!$A$15:$E$119</definedName>
    <definedName name="_xlnm.Print_Area" localSheetId="3">'Datos Fijos Año 4'!$A$15:$E$119</definedName>
    <definedName name="ASSUMPTIONS">#REF!</definedName>
    <definedName name="b">#REF!</definedName>
    <definedName name="BALANCE_SH">#REF!</definedName>
    <definedName name="Base_datos_IM">#REF!</definedName>
    <definedName name="_xlnm.Database">#REF!</definedName>
    <definedName name="BASIC_DATA">#REF!</definedName>
    <definedName name="BASICO">#REF!</definedName>
    <definedName name="BLANK">#REF!</definedName>
    <definedName name="Blev">#REF!</definedName>
    <definedName name="Bu">#REF!</definedName>
    <definedName name="CALCULAR">#REF!</definedName>
    <definedName name="CASH_FL">#REF!</definedName>
    <definedName name="CASH_FLOW_RPT">#REF!</definedName>
    <definedName name="CASH_RPT_BR_ROW">#REF!</definedName>
    <definedName name="CASH_RPT_HEADER">#REF!</definedName>
    <definedName name="CASHFLOW">#REF!</definedName>
    <definedName name="CBASE">#REF!</definedName>
    <definedName name="CF_CY">#REF!</definedName>
    <definedName name="CFP">#REF!</definedName>
    <definedName name="CFPC">#REF!</definedName>
    <definedName name="CFPDATA">#REF!</definedName>
    <definedName name="CFPTITLES">#REF!</definedName>
    <definedName name="CFTITLE">#REF!</definedName>
    <definedName name="CFUNIT">#REF!</definedName>
    <definedName name="CHANGES">#REF!</definedName>
    <definedName name="CHECAMAC">#REF!</definedName>
    <definedName name="CHECAOPT">#REF!</definedName>
    <definedName name="CO_CY">#REF!</definedName>
    <definedName name="COLTOTAL">#REF!</definedName>
    <definedName name="COLWIDE">#REF!</definedName>
    <definedName name="CON_ACC_REC">#REF!</definedName>
    <definedName name="CON_ALL_REPORT">#REF!</definedName>
    <definedName name="CON_NETWORTH">#REF!</definedName>
    <definedName name="CON_PAS_COR">#REF!</definedName>
    <definedName name="CON_REPT_FOOTER">#REF!</definedName>
    <definedName name="CON_REPT_HEADER">#REF!</definedName>
    <definedName name="CON_REVENUE">#REF!</definedName>
    <definedName name="CON_RPT_BOR_COL">#REF!</definedName>
    <definedName name="CON_RPT_BOR_ROW">#REF!</definedName>
    <definedName name="CON_VOLUMES">#REF!</definedName>
    <definedName name="CONEX">#REF!</definedName>
    <definedName name="CONSOL_FIXED_AS">#REF!</definedName>
    <definedName name="CONSOL_FUENTE_I">#REF!</definedName>
    <definedName name="CONSOL_RPT">#REF!</definedName>
    <definedName name="CONSOLIDA">#REF!</definedName>
    <definedName name="CONSOLIDATION">#REF!</definedName>
    <definedName name="COP">#REF!</definedName>
    <definedName name="COPDATA">#REF!</definedName>
    <definedName name="COTITLE">#REF!</definedName>
    <definedName name="COUNIT">#REF!</definedName>
    <definedName name="_xlnm.Criteria">#REF!</definedName>
    <definedName name="Criterios_IM">#REF!</definedName>
    <definedName name="CSD">#REF!</definedName>
    <definedName name="CY_DOLAR">#REF!</definedName>
    <definedName name="CY_LOCAL">#REF!</definedName>
    <definedName name="DATOSE">#REF!</definedName>
    <definedName name="DBHH">#REF!</definedName>
    <definedName name="DBPC">#REF!</definedName>
    <definedName name="DBT">#REF!</definedName>
    <definedName name="DCOL">#REF!</definedName>
    <definedName name="DE">#REF!</definedName>
    <definedName name="DECI">#REF!</definedName>
    <definedName name="DENOMINATION">#REF!</definedName>
    <definedName name="DEPRINT">#REF!</definedName>
    <definedName name="DEUDA">#REF!</definedName>
    <definedName name="DEUDAL">#REF!</definedName>
    <definedName name="DV">#REF!</definedName>
    <definedName name="ENTRY">#REF!</definedName>
    <definedName name="ER_CY">#REF!</definedName>
    <definedName name="ERHACTUAL">#REF!</definedName>
    <definedName name="ERHDATA10YEARS">#REF!</definedName>
    <definedName name="ERHDATA5">#REF!</definedName>
    <definedName name="ERHTITLES">#REF!</definedName>
    <definedName name="ERP">#REF!</definedName>
    <definedName name="ERP_LAST">#REF!</definedName>
    <definedName name="ERP0">#REF!</definedName>
    <definedName name="ERPC">#REF!</definedName>
    <definedName name="ERPDATA">#REF!</definedName>
    <definedName name="ERPTITLES">#REF!</definedName>
    <definedName name="ERPUNO">#REF!</definedName>
    <definedName name="ERPWP">#REF!</definedName>
    <definedName name="ERTITLE">#REF!</definedName>
    <definedName name="ERUNIT">#REF!</definedName>
    <definedName name="ES_CY">#REF!</definedName>
    <definedName name="ESP">#REF!</definedName>
    <definedName name="ESP_LAST">#REF!</definedName>
    <definedName name="ESP0">#REF!</definedName>
    <definedName name="ESPACTUAL">#REF!</definedName>
    <definedName name="ESPANOL">#REF!</definedName>
    <definedName name="ESPC">#REF!</definedName>
    <definedName name="ESPDATA">#REF!</definedName>
    <definedName name="ESPTITLES">#REF!</definedName>
    <definedName name="ESPUNO">#REF!</definedName>
    <definedName name="ESTITLE">#REF!</definedName>
    <definedName name="ESUNIT">#REF!</definedName>
    <definedName name="EXIT">#REF!</definedName>
    <definedName name="Extracción_IM">#REF!</definedName>
    <definedName name="FACEL">#REF!</definedName>
    <definedName name="FACWA">#REF!</definedName>
    <definedName name="FILE1">#REF!</definedName>
    <definedName name="FILE2">#REF!</definedName>
    <definedName name="FILE3">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NAME">#REF!</definedName>
    <definedName name="FILES">#REF!</definedName>
    <definedName name="FILESET_UP">#REF!</definedName>
    <definedName name="FIN">#REF!</definedName>
    <definedName name="FORMAT">#REF!</definedName>
    <definedName name="FRAME">#REF!</definedName>
    <definedName name="FREEZE">#REF!</definedName>
    <definedName name="GINC">#REF!</definedName>
    <definedName name="GINCL">#REF!</definedName>
    <definedName name="GWH">#REF!</definedName>
    <definedName name="HISTORY">#REF!</definedName>
    <definedName name="HOJAT">#REF!</definedName>
    <definedName name="i">#REF!</definedName>
    <definedName name="IMPANO0">#REF!</definedName>
    <definedName name="INCOME_ST">#REF!</definedName>
    <definedName name="INDSAVE">#REF!</definedName>
    <definedName name="INGLES">#REF!</definedName>
    <definedName name="INICIO">#REF!</definedName>
    <definedName name="INSTRUCCONSOL">#REF!</definedName>
    <definedName name="ITER">#REF!</definedName>
    <definedName name="JKL">#REF!</definedName>
    <definedName name="LANGUAGE">#REF!</definedName>
    <definedName name="LASER">#REF!</definedName>
    <definedName name="LAST_YEAR">#REF!</definedName>
    <definedName name="LEARN">#REF!</definedName>
    <definedName name="LINE_">#REF!</definedName>
    <definedName name="LINES_ML">#REF!</definedName>
    <definedName name="LOGO">#REF!</definedName>
    <definedName name="MAIN">#REF!</definedName>
    <definedName name="MENSAJ">#REF!</definedName>
    <definedName name="MENSAJ1">#REF!</definedName>
    <definedName name="MENSAJE">#REF!</definedName>
    <definedName name="MENSAJE1">#REF!</definedName>
    <definedName name="MESES">#REF!</definedName>
    <definedName name="MESESL">#REF!</definedName>
    <definedName name="MIL">#REF!</definedName>
    <definedName name="MILLON">#REF!</definedName>
    <definedName name="MODINFO">#REF!</definedName>
    <definedName name="MODULES">#REF!</definedName>
    <definedName name="MSGCALC">#REF!</definedName>
    <definedName name="MSGDEBT">#REF!</definedName>
    <definedName name="MSGFILES">#REF!</definedName>
    <definedName name="MSGINVEST">#REF!</definedName>
    <definedName name="MSGNAMES">#REF!</definedName>
    <definedName name="MSGPRINTG">#REF!</definedName>
    <definedName name="MSGTRANSFER">#REF!</definedName>
    <definedName name="MWH">#REF!</definedName>
    <definedName name="NAME">#REF!</definedName>
    <definedName name="NAMES">#REF!</definedName>
    <definedName name="NOPRO">#REF!</definedName>
    <definedName name="OA_CY">#REF!</definedName>
    <definedName name="OAP">#REF!</definedName>
    <definedName name="OAP_LAST">#REF!</definedName>
    <definedName name="OAP0">#REF!</definedName>
    <definedName name="OAPACTUAL">#REF!</definedName>
    <definedName name="OAPC">#REF!</definedName>
    <definedName name="OAPDATA">#REF!</definedName>
    <definedName name="OAPTITLES">#REF!</definedName>
    <definedName name="OAPUNO">#REF!</definedName>
    <definedName name="OATITLE">#REF!</definedName>
    <definedName name="OAUNIT">#REF!</definedName>
    <definedName name="OPCFLAG">#REF!</definedName>
    <definedName name="OPCION">#REF!</definedName>
    <definedName name="OPSELC">#REF!</definedName>
    <definedName name="OUTPUT">#REF!</definedName>
    <definedName name="OUTPUTDE">#REF!</definedName>
    <definedName name="OUTPUTE">#REF!</definedName>
    <definedName name="OUTPUTE_HEADER">#REF!</definedName>
    <definedName name="OUTPUTEBODY">#REF!</definedName>
    <definedName name="OUTPUTECOL">#REF!</definedName>
    <definedName name="OUTPUTEHEAD">#REF!</definedName>
    <definedName name="OUTPUTNOS">#REF!</definedName>
    <definedName name="OUTPUTPR">#REF!</definedName>
    <definedName name="OUTPUTWS">#REF!</definedName>
    <definedName name="PANTALLA">#REF!</definedName>
    <definedName name="PAPEL">#REF!</definedName>
    <definedName name="PFLAG">#REF!</definedName>
    <definedName name="PGIC">#REF!</definedName>
    <definedName name="PREST">#REF!</definedName>
    <definedName name="PRESTAMO">#REF!</definedName>
    <definedName name="PRESTTOT">#REF!</definedName>
    <definedName name="PRINTER">#REF!</definedName>
    <definedName name="PRODUC2">#REF!</definedName>
    <definedName name="PRODUC3">#REF!</definedName>
    <definedName name="PRODUC4">#REF!</definedName>
    <definedName name="PTOEF">#REF!</definedName>
    <definedName name="PTOER">#REF!</definedName>
    <definedName name="RANGES">#REF!</definedName>
    <definedName name="RATIOS">#REF!</definedName>
    <definedName name="RCC">#REF!</definedName>
    <definedName name="RCCOBR">#REF!</definedName>
    <definedName name="rd">#REF!</definedName>
    <definedName name="rdn">[1]Hidrometeorología!$D$14</definedName>
    <definedName name="rdx">[1]Hidrometeorología!$D$14</definedName>
    <definedName name="re">#REF!</definedName>
    <definedName name="RENTA">#REF!</definedName>
    <definedName name="RENTAL">#REF!</definedName>
    <definedName name="REPO">#REF!</definedName>
    <definedName name="REPOCALC">#REF!</definedName>
    <definedName name="REPOPRO">#REF!</definedName>
    <definedName name="REPSUB">#REF!</definedName>
    <definedName name="REPSUBWYS">#REF!</definedName>
    <definedName name="RESUMEN">#REF!</definedName>
    <definedName name="rf">#REF!</definedName>
    <definedName name="RF_CY">#REF!</definedName>
    <definedName name="RFP">#REF!</definedName>
    <definedName name="RFPACTUAL">#REF!</definedName>
    <definedName name="RFPC">#REF!</definedName>
    <definedName name="RFPDATA">#REF!</definedName>
    <definedName name="RFPTITLES">#REF!</definedName>
    <definedName name="RFTITLE">#REF!</definedName>
    <definedName name="RFUNIT">#REF!</definedName>
    <definedName name="rm_rf">#REF!</definedName>
    <definedName name="rp">#REF!</definedName>
    <definedName name="RPTSFOOTER">#REF!</definedName>
    <definedName name="RPTSHEADER">#REF!</definedName>
    <definedName name="rrd">[1]IMP!$D$14</definedName>
    <definedName name="RRT">#REF!</definedName>
    <definedName name="SCREEN">#REF!</definedName>
    <definedName name="Sd">#REF!</definedName>
    <definedName name="SE0">#REF!</definedName>
    <definedName name="SENOP">#REF!</definedName>
    <definedName name="SENPRI">#REF!</definedName>
    <definedName name="SENSITIVITY">#REF!</definedName>
    <definedName name="SENSTA">#REF!</definedName>
    <definedName name="SENT">#REF!</definedName>
    <definedName name="SENUNI">#REF!</definedName>
    <definedName name="SER">#REF!</definedName>
    <definedName name="SOURCE_APPL">#REF!</definedName>
    <definedName name="STAMP">#REF!</definedName>
    <definedName name="START">#REF!</definedName>
    <definedName name="SUMARIA">#REF!</definedName>
    <definedName name="SUPUESTOS">#REF!</definedName>
    <definedName name="t">#REF!</definedName>
    <definedName name="TASA">#REF!</definedName>
    <definedName name="TASAI">#REF!</definedName>
    <definedName name="TASATOT">#REF!</definedName>
    <definedName name="TIPO">#REF!</definedName>
    <definedName name="TITLE">#REF!</definedName>
    <definedName name="TITLEENG">#REF!</definedName>
    <definedName name="TITLES">#REF!</definedName>
    <definedName name="TITLESPAN">#REF!</definedName>
    <definedName name="TRAF">#REF!</definedName>
    <definedName name="TSFR1">#REF!</definedName>
    <definedName name="TSFR2">#REF!</definedName>
    <definedName name="TSFR3">#REF!</definedName>
    <definedName name="UNDERLINE">#REF!</definedName>
    <definedName name="UNFREEZE">#REF!</definedName>
    <definedName name="UNITS">#REF!</definedName>
    <definedName name="WACCna">#REF!</definedName>
    <definedName name="WACCnd">#REF!</definedName>
    <definedName name="WACCr">#REF!</definedName>
    <definedName name="WACCra">#REF!</definedName>
    <definedName name="WH">#REF!</definedName>
    <definedName name="WHC">#REF!</definedName>
    <definedName name="WHCO">#REF!</definedName>
    <definedName name="WHCR">#REF!</definedName>
    <definedName name="WHCS">#REF!</definedName>
    <definedName name="WHG">#REF!</definedName>
    <definedName name="WHH">#REF!</definedName>
    <definedName name="WORKSHEET">#REF!</definedName>
    <definedName name="WP">#REF!</definedName>
    <definedName name="WPC">#REF!</definedName>
    <definedName name="WPG">#REF!</definedName>
    <definedName name="WPH">#REF!</definedName>
    <definedName name="WSANO0PR">#REF!</definedName>
    <definedName name="WSANO0S">#REF!</definedName>
    <definedName name="WSGRID">#REF!</definedName>
    <definedName name="WSGRID0">#REF!</definedName>
    <definedName name="WSGRID10">#REF!</definedName>
    <definedName name="WSPRIN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8" l="1"/>
  <c r="K61" i="8"/>
  <c r="J61" i="8"/>
  <c r="I61" i="8"/>
  <c r="H61" i="8"/>
  <c r="G61" i="8"/>
  <c r="F61" i="8"/>
  <c r="E61" i="8"/>
  <c r="D61" i="8"/>
  <c r="C61" i="8"/>
  <c r="L61" i="8" s="1"/>
  <c r="B61" i="8"/>
  <c r="K60" i="8"/>
  <c r="J60" i="8"/>
  <c r="I60" i="8"/>
  <c r="H60" i="8"/>
  <c r="G60" i="8"/>
  <c r="F60" i="8"/>
  <c r="E60" i="8"/>
  <c r="D60" i="8"/>
  <c r="C60" i="8"/>
  <c r="L60" i="8" s="1"/>
  <c r="B60" i="8"/>
  <c r="K58" i="8"/>
  <c r="J58" i="8"/>
  <c r="I58" i="8"/>
  <c r="H58" i="8"/>
  <c r="G58" i="8"/>
  <c r="F58" i="8"/>
  <c r="E58" i="8"/>
  <c r="D58" i="8"/>
  <c r="C58" i="8"/>
  <c r="B58" i="8"/>
  <c r="L58" i="8" s="1"/>
  <c r="K57" i="8"/>
  <c r="J57" i="8"/>
  <c r="I57" i="8"/>
  <c r="H57" i="8"/>
  <c r="G57" i="8"/>
  <c r="F57" i="8"/>
  <c r="E57" i="8"/>
  <c r="D57" i="8"/>
  <c r="C57" i="8"/>
  <c r="B57" i="8"/>
  <c r="L57" i="8" s="1"/>
  <c r="K55" i="8"/>
  <c r="K66" i="8" s="1"/>
  <c r="J55" i="8"/>
  <c r="J66" i="8" s="1"/>
  <c r="I55" i="8"/>
  <c r="I66" i="8" s="1"/>
  <c r="H55" i="8"/>
  <c r="H66" i="8" s="1"/>
  <c r="G55" i="8"/>
  <c r="G66" i="8" s="1"/>
  <c r="F55" i="8"/>
  <c r="F66" i="8" s="1"/>
  <c r="E55" i="8"/>
  <c r="E66" i="8" s="1"/>
  <c r="D55" i="8"/>
  <c r="D66" i="8" s="1"/>
  <c r="C55" i="8"/>
  <c r="L55" i="8" s="1"/>
  <c r="B55" i="8"/>
  <c r="B66" i="8" s="1"/>
  <c r="K54" i="8"/>
  <c r="K65" i="8" s="1"/>
  <c r="J54" i="8"/>
  <c r="J65" i="8" s="1"/>
  <c r="I54" i="8"/>
  <c r="I65" i="8" s="1"/>
  <c r="H54" i="8"/>
  <c r="H44" i="8" s="1"/>
  <c r="G54" i="8"/>
  <c r="G44" i="8" s="1"/>
  <c r="F54" i="8"/>
  <c r="F65" i="8" s="1"/>
  <c r="E54" i="8"/>
  <c r="E65" i="8" s="1"/>
  <c r="D54" i="8"/>
  <c r="D44" i="8" s="1"/>
  <c r="C54" i="8"/>
  <c r="L54" i="8" s="1"/>
  <c r="B54" i="8"/>
  <c r="B65" i="8" s="1"/>
  <c r="B48" i="8"/>
  <c r="B47" i="8"/>
  <c r="J44" i="8"/>
  <c r="F44" i="8"/>
  <c r="B44" i="8"/>
  <c r="B40" i="8"/>
  <c r="B36" i="8"/>
  <c r="B35" i="8"/>
  <c r="B33" i="8"/>
  <c r="B32" i="8"/>
  <c r="K26" i="8"/>
  <c r="J26" i="8"/>
  <c r="J45" i="8" s="1"/>
  <c r="I26" i="8"/>
  <c r="I45" i="8" s="1"/>
  <c r="H26" i="8"/>
  <c r="H45" i="8" s="1"/>
  <c r="G26" i="8"/>
  <c r="F26" i="8"/>
  <c r="F45" i="8" s="1"/>
  <c r="E26" i="8"/>
  <c r="E45" i="8" s="1"/>
  <c r="D26" i="8"/>
  <c r="D45" i="8" s="1"/>
  <c r="C26" i="8"/>
  <c r="B26" i="8"/>
  <c r="B45" i="8" s="1"/>
  <c r="K25" i="8"/>
  <c r="J25" i="8"/>
  <c r="I25" i="8"/>
  <c r="I44" i="8" s="1"/>
  <c r="H25" i="8"/>
  <c r="G25" i="8"/>
  <c r="F25" i="8"/>
  <c r="E25" i="8"/>
  <c r="E44" i="8" s="1"/>
  <c r="D25" i="8"/>
  <c r="C25" i="8"/>
  <c r="L25" i="8" s="1"/>
  <c r="B25" i="8"/>
  <c r="K20" i="8"/>
  <c r="J20" i="8"/>
  <c r="I20" i="8"/>
  <c r="H20" i="8"/>
  <c r="G20" i="8"/>
  <c r="F20" i="8"/>
  <c r="E20" i="8"/>
  <c r="D20" i="8"/>
  <c r="L20" i="8" s="1"/>
  <c r="C20" i="8"/>
  <c r="B20" i="8"/>
  <c r="K19" i="8"/>
  <c r="J19" i="8"/>
  <c r="I19" i="8"/>
  <c r="H19" i="8"/>
  <c r="G19" i="8"/>
  <c r="F19" i="8"/>
  <c r="E19" i="8"/>
  <c r="D19" i="8"/>
  <c r="C19" i="8"/>
  <c r="L19" i="8" s="1"/>
  <c r="B19" i="8"/>
  <c r="M14" i="8"/>
  <c r="L14" i="8"/>
  <c r="K14" i="8"/>
  <c r="J14" i="8"/>
  <c r="I14" i="8"/>
  <c r="H14" i="8"/>
  <c r="G14" i="8"/>
  <c r="F14" i="8"/>
  <c r="E14" i="8"/>
  <c r="D14" i="8"/>
  <c r="C14" i="8"/>
  <c r="B14" i="8"/>
  <c r="M13" i="8"/>
  <c r="L13" i="8"/>
  <c r="K13" i="8"/>
  <c r="J13" i="8"/>
  <c r="I13" i="8"/>
  <c r="H13" i="8"/>
  <c r="G13" i="8"/>
  <c r="F13" i="8"/>
  <c r="E13" i="8"/>
  <c r="D13" i="8"/>
  <c r="C13" i="8"/>
  <c r="B13" i="8"/>
  <c r="N13" i="8" s="1"/>
  <c r="M12" i="8"/>
  <c r="L12" i="8"/>
  <c r="K12" i="8"/>
  <c r="J12" i="8"/>
  <c r="I12" i="8"/>
  <c r="H12" i="8"/>
  <c r="G12" i="8"/>
  <c r="F12" i="8"/>
  <c r="E12" i="8"/>
  <c r="D12" i="8"/>
  <c r="C12" i="8"/>
  <c r="B12" i="8"/>
  <c r="A12" i="8" s="1"/>
  <c r="G7" i="8"/>
  <c r="F7" i="8"/>
  <c r="E7" i="8"/>
  <c r="D7" i="8"/>
  <c r="C7" i="8"/>
  <c r="B7" i="8"/>
  <c r="F5" i="8"/>
  <c r="D5" i="8"/>
  <c r="E5" i="8" s="1"/>
  <c r="B5" i="8"/>
  <c r="C5" i="8" s="1"/>
  <c r="F4" i="8"/>
  <c r="D4" i="8"/>
  <c r="E4" i="8" s="1"/>
  <c r="E3" i="8" s="1"/>
  <c r="B4" i="8"/>
  <c r="C4" i="8" s="1"/>
  <c r="D3" i="8"/>
  <c r="B3" i="8"/>
  <c r="J4" i="8" s="1"/>
  <c r="C1" i="8"/>
  <c r="B1" i="8"/>
  <c r="G62" i="7"/>
  <c r="K61" i="7"/>
  <c r="J61" i="7"/>
  <c r="I61" i="7"/>
  <c r="H61" i="7"/>
  <c r="G61" i="7"/>
  <c r="F61" i="7"/>
  <c r="E61" i="7"/>
  <c r="D61" i="7"/>
  <c r="C61" i="7"/>
  <c r="L61" i="7" s="1"/>
  <c r="B61" i="7"/>
  <c r="K60" i="7"/>
  <c r="J60" i="7"/>
  <c r="I60" i="7"/>
  <c r="H60" i="7"/>
  <c r="G60" i="7"/>
  <c r="F60" i="7"/>
  <c r="E60" i="7"/>
  <c r="D60" i="7"/>
  <c r="C60" i="7"/>
  <c r="L60" i="7" s="1"/>
  <c r="B60" i="7"/>
  <c r="K58" i="7"/>
  <c r="J58" i="7"/>
  <c r="I58" i="7"/>
  <c r="H58" i="7"/>
  <c r="G58" i="7"/>
  <c r="F58" i="7"/>
  <c r="E58" i="7"/>
  <c r="D58" i="7"/>
  <c r="C58" i="7"/>
  <c r="B58" i="7"/>
  <c r="L58" i="7" s="1"/>
  <c r="M58" i="7" s="1"/>
  <c r="K57" i="7"/>
  <c r="J57" i="7"/>
  <c r="I57" i="7"/>
  <c r="H57" i="7"/>
  <c r="G57" i="7"/>
  <c r="F57" i="7"/>
  <c r="E57" i="7"/>
  <c r="D57" i="7"/>
  <c r="C57" i="7"/>
  <c r="B57" i="7"/>
  <c r="L57" i="7" s="1"/>
  <c r="K55" i="7"/>
  <c r="K66" i="7" s="1"/>
  <c r="J55" i="7"/>
  <c r="J66" i="7" s="1"/>
  <c r="I55" i="7"/>
  <c r="I66" i="7" s="1"/>
  <c r="H55" i="7"/>
  <c r="H66" i="7" s="1"/>
  <c r="G55" i="7"/>
  <c r="G45" i="7" s="1"/>
  <c r="F55" i="7"/>
  <c r="F66" i="7" s="1"/>
  <c r="E55" i="7"/>
  <c r="E66" i="7" s="1"/>
  <c r="D55" i="7"/>
  <c r="D66" i="7" s="1"/>
  <c r="C55" i="7"/>
  <c r="L55" i="7" s="1"/>
  <c r="B55" i="7"/>
  <c r="B66" i="7" s="1"/>
  <c r="K54" i="7"/>
  <c r="K65" i="7" s="1"/>
  <c r="J54" i="7"/>
  <c r="J65" i="7" s="1"/>
  <c r="I54" i="7"/>
  <c r="I65" i="7" s="1"/>
  <c r="H54" i="7"/>
  <c r="H44" i="7" s="1"/>
  <c r="G54" i="7"/>
  <c r="G44" i="7" s="1"/>
  <c r="F54" i="7"/>
  <c r="F65" i="7" s="1"/>
  <c r="E54" i="7"/>
  <c r="E65" i="7" s="1"/>
  <c r="D54" i="7"/>
  <c r="D44" i="7" s="1"/>
  <c r="C54" i="7"/>
  <c r="C44" i="7" s="1"/>
  <c r="B54" i="7"/>
  <c r="L54" i="7" s="1"/>
  <c r="B47" i="7"/>
  <c r="J44" i="7"/>
  <c r="F44" i="7"/>
  <c r="B44" i="7"/>
  <c r="B40" i="7"/>
  <c r="B36" i="7"/>
  <c r="B35" i="7"/>
  <c r="B33" i="7"/>
  <c r="B48" i="7" s="1"/>
  <c r="B32" i="7"/>
  <c r="K26" i="7"/>
  <c r="J26" i="7"/>
  <c r="J45" i="7" s="1"/>
  <c r="I26" i="7"/>
  <c r="I45" i="7" s="1"/>
  <c r="H26" i="7"/>
  <c r="H45" i="7" s="1"/>
  <c r="G26" i="7"/>
  <c r="F26" i="7"/>
  <c r="F45" i="7" s="1"/>
  <c r="E26" i="7"/>
  <c r="E45" i="7" s="1"/>
  <c r="D26" i="7"/>
  <c r="L26" i="7" s="1"/>
  <c r="C26" i="7"/>
  <c r="B26" i="7"/>
  <c r="B45" i="7" s="1"/>
  <c r="K25" i="7"/>
  <c r="J25" i="7"/>
  <c r="I25" i="7"/>
  <c r="I44" i="7" s="1"/>
  <c r="H25" i="7"/>
  <c r="G25" i="7"/>
  <c r="F25" i="7"/>
  <c r="E25" i="7"/>
  <c r="E44" i="7" s="1"/>
  <c r="D25" i="7"/>
  <c r="C25" i="7"/>
  <c r="B25" i="7"/>
  <c r="L25" i="7" s="1"/>
  <c r="K20" i="7"/>
  <c r="J20" i="7"/>
  <c r="I20" i="7"/>
  <c r="H20" i="7"/>
  <c r="G20" i="7"/>
  <c r="F20" i="7"/>
  <c r="E20" i="7"/>
  <c r="D20" i="7"/>
  <c r="L20" i="7" s="1"/>
  <c r="C20" i="7"/>
  <c r="B20" i="7"/>
  <c r="K19" i="7"/>
  <c r="J19" i="7"/>
  <c r="I19" i="7"/>
  <c r="H19" i="7"/>
  <c r="G19" i="7"/>
  <c r="F19" i="7"/>
  <c r="E19" i="7"/>
  <c r="D19" i="7"/>
  <c r="C19" i="7"/>
  <c r="B19" i="7"/>
  <c r="L19" i="7" s="1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N13" i="7" s="1"/>
  <c r="M12" i="7"/>
  <c r="L12" i="7"/>
  <c r="K12" i="7"/>
  <c r="J12" i="7"/>
  <c r="I12" i="7"/>
  <c r="H12" i="7"/>
  <c r="G12" i="7"/>
  <c r="F12" i="7"/>
  <c r="E12" i="7"/>
  <c r="D12" i="7"/>
  <c r="C12" i="7"/>
  <c r="B12" i="7"/>
  <c r="N12" i="7" s="1"/>
  <c r="G7" i="7"/>
  <c r="F7" i="7"/>
  <c r="E7" i="7"/>
  <c r="D7" i="7"/>
  <c r="C7" i="7"/>
  <c r="B7" i="7"/>
  <c r="F5" i="7"/>
  <c r="D5" i="7"/>
  <c r="E5" i="7" s="1"/>
  <c r="B5" i="7"/>
  <c r="C5" i="7" s="1"/>
  <c r="F4" i="7"/>
  <c r="D4" i="7"/>
  <c r="E4" i="7" s="1"/>
  <c r="B4" i="7"/>
  <c r="C4" i="7" s="1"/>
  <c r="C3" i="7" s="1"/>
  <c r="D3" i="7"/>
  <c r="B3" i="7"/>
  <c r="J4" i="7" s="1"/>
  <c r="C1" i="7"/>
  <c r="B1" i="7"/>
  <c r="G62" i="6"/>
  <c r="K61" i="6"/>
  <c r="J61" i="6"/>
  <c r="I61" i="6"/>
  <c r="H61" i="6"/>
  <c r="G61" i="6"/>
  <c r="F61" i="6"/>
  <c r="E61" i="6"/>
  <c r="D61" i="6"/>
  <c r="C61" i="6"/>
  <c r="B61" i="6"/>
  <c r="L61" i="6" s="1"/>
  <c r="M61" i="6" s="1"/>
  <c r="K60" i="6"/>
  <c r="J60" i="6"/>
  <c r="I60" i="6"/>
  <c r="H60" i="6"/>
  <c r="G60" i="6"/>
  <c r="F60" i="6"/>
  <c r="E60" i="6"/>
  <c r="D60" i="6"/>
  <c r="C60" i="6"/>
  <c r="B60" i="6"/>
  <c r="L60" i="6" s="1"/>
  <c r="K58" i="6"/>
  <c r="J58" i="6"/>
  <c r="I58" i="6"/>
  <c r="H58" i="6"/>
  <c r="G58" i="6"/>
  <c r="F58" i="6"/>
  <c r="E58" i="6"/>
  <c r="D58" i="6"/>
  <c r="C58" i="6"/>
  <c r="B58" i="6"/>
  <c r="L58" i="6" s="1"/>
  <c r="M58" i="6" s="1"/>
  <c r="K57" i="6"/>
  <c r="J57" i="6"/>
  <c r="I57" i="6"/>
  <c r="H57" i="6"/>
  <c r="G57" i="6"/>
  <c r="F57" i="6"/>
  <c r="E57" i="6"/>
  <c r="D57" i="6"/>
  <c r="C57" i="6"/>
  <c r="B57" i="6"/>
  <c r="L57" i="6" s="1"/>
  <c r="K55" i="6"/>
  <c r="K66" i="6" s="1"/>
  <c r="J55" i="6"/>
  <c r="J66" i="6" s="1"/>
  <c r="I55" i="6"/>
  <c r="I45" i="6" s="1"/>
  <c r="H55" i="6"/>
  <c r="H66" i="6" s="1"/>
  <c r="G55" i="6"/>
  <c r="G66" i="6" s="1"/>
  <c r="F55" i="6"/>
  <c r="F66" i="6" s="1"/>
  <c r="E55" i="6"/>
  <c r="E45" i="6" s="1"/>
  <c r="D55" i="6"/>
  <c r="D66" i="6" s="1"/>
  <c r="C55" i="6"/>
  <c r="C66" i="6" s="1"/>
  <c r="B55" i="6"/>
  <c r="L55" i="6" s="1"/>
  <c r="K54" i="6"/>
  <c r="K44" i="6" s="1"/>
  <c r="J54" i="6"/>
  <c r="J65" i="6" s="1"/>
  <c r="I54" i="6"/>
  <c r="I65" i="6" s="1"/>
  <c r="H54" i="6"/>
  <c r="H65" i="6" s="1"/>
  <c r="G54" i="6"/>
  <c r="G44" i="6" s="1"/>
  <c r="F54" i="6"/>
  <c r="F65" i="6" s="1"/>
  <c r="E54" i="6"/>
  <c r="E44" i="6" s="1"/>
  <c r="D54" i="6"/>
  <c r="D65" i="6" s="1"/>
  <c r="C54" i="6"/>
  <c r="C44" i="6" s="1"/>
  <c r="B54" i="6"/>
  <c r="L54" i="6" s="1"/>
  <c r="B47" i="6"/>
  <c r="H44" i="6"/>
  <c r="D44" i="6"/>
  <c r="B40" i="6"/>
  <c r="B36" i="6"/>
  <c r="B35" i="6"/>
  <c r="B33" i="6"/>
  <c r="B48" i="6" s="1"/>
  <c r="B32" i="6"/>
  <c r="K26" i="6"/>
  <c r="J26" i="6"/>
  <c r="J45" i="6" s="1"/>
  <c r="I26" i="6"/>
  <c r="H26" i="6"/>
  <c r="H45" i="6" s="1"/>
  <c r="G26" i="6"/>
  <c r="F26" i="6"/>
  <c r="F45" i="6" s="1"/>
  <c r="E26" i="6"/>
  <c r="D26" i="6"/>
  <c r="D45" i="6" s="1"/>
  <c r="C26" i="6"/>
  <c r="B26" i="6"/>
  <c r="L26" i="6" s="1"/>
  <c r="K25" i="6"/>
  <c r="J25" i="6"/>
  <c r="J44" i="6" s="1"/>
  <c r="I25" i="6"/>
  <c r="H25" i="6"/>
  <c r="G25" i="6"/>
  <c r="F25" i="6"/>
  <c r="F44" i="6" s="1"/>
  <c r="E25" i="6"/>
  <c r="D25" i="6"/>
  <c r="C25" i="6"/>
  <c r="B25" i="6"/>
  <c r="L25" i="6" s="1"/>
  <c r="K20" i="6"/>
  <c r="J20" i="6"/>
  <c r="I20" i="6"/>
  <c r="H20" i="6"/>
  <c r="G20" i="6"/>
  <c r="F20" i="6"/>
  <c r="E20" i="6"/>
  <c r="D20" i="6"/>
  <c r="C20" i="6"/>
  <c r="B20" i="6"/>
  <c r="L20" i="6" s="1"/>
  <c r="K19" i="6"/>
  <c r="J19" i="6"/>
  <c r="I19" i="6"/>
  <c r="H19" i="6"/>
  <c r="G19" i="6"/>
  <c r="F19" i="6"/>
  <c r="E19" i="6"/>
  <c r="D19" i="6"/>
  <c r="C19" i="6"/>
  <c r="B19" i="6"/>
  <c r="L19" i="6" s="1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N13" i="6" s="1"/>
  <c r="M12" i="6"/>
  <c r="L12" i="6"/>
  <c r="K12" i="6"/>
  <c r="J12" i="6"/>
  <c r="I12" i="6"/>
  <c r="H12" i="6"/>
  <c r="G12" i="6"/>
  <c r="F12" i="6"/>
  <c r="E12" i="6"/>
  <c r="D12" i="6"/>
  <c r="C12" i="6"/>
  <c r="B12" i="6"/>
  <c r="N12" i="6" s="1"/>
  <c r="G7" i="6"/>
  <c r="F7" i="6"/>
  <c r="E7" i="6"/>
  <c r="D7" i="6"/>
  <c r="C7" i="6"/>
  <c r="B7" i="6"/>
  <c r="F5" i="6"/>
  <c r="D5" i="6"/>
  <c r="E5" i="6" s="1"/>
  <c r="B5" i="6"/>
  <c r="C5" i="6" s="1"/>
  <c r="F4" i="6"/>
  <c r="D4" i="6"/>
  <c r="E4" i="6" s="1"/>
  <c r="E3" i="6" s="1"/>
  <c r="B4" i="6"/>
  <c r="C4" i="6" s="1"/>
  <c r="D3" i="6"/>
  <c r="B3" i="6"/>
  <c r="J4" i="6" s="1"/>
  <c r="C1" i="6"/>
  <c r="B1" i="6"/>
  <c r="M60" i="8" l="1"/>
  <c r="L59" i="8"/>
  <c r="M59" i="8" s="1"/>
  <c r="M54" i="8"/>
  <c r="L51" i="8"/>
  <c r="H62" i="8" s="1"/>
  <c r="L3" i="8"/>
  <c r="M3" i="8" s="1"/>
  <c r="L53" i="8"/>
  <c r="C3" i="8"/>
  <c r="M58" i="8"/>
  <c r="M55" i="8"/>
  <c r="L4" i="8"/>
  <c r="M61" i="8"/>
  <c r="M57" i="8"/>
  <c r="L56" i="8"/>
  <c r="N12" i="8"/>
  <c r="L26" i="8"/>
  <c r="C45" i="8"/>
  <c r="G45" i="8"/>
  <c r="K45" i="8"/>
  <c r="M51" i="8"/>
  <c r="C65" i="8"/>
  <c r="G65" i="8"/>
  <c r="C66" i="8"/>
  <c r="J3" i="8"/>
  <c r="C44" i="8"/>
  <c r="K44" i="8"/>
  <c r="D65" i="8"/>
  <c r="H65" i="8"/>
  <c r="N14" i="8"/>
  <c r="J23" i="8" s="1"/>
  <c r="K22" i="8"/>
  <c r="D23" i="8"/>
  <c r="G29" i="8"/>
  <c r="K29" i="8"/>
  <c r="C38" i="8"/>
  <c r="G38" i="8"/>
  <c r="M60" i="7"/>
  <c r="L59" i="7"/>
  <c r="M59" i="7" s="1"/>
  <c r="M55" i="7"/>
  <c r="L4" i="7"/>
  <c r="M4" i="7" s="1"/>
  <c r="M61" i="7"/>
  <c r="E3" i="7"/>
  <c r="M54" i="7"/>
  <c r="L51" i="7"/>
  <c r="H62" i="7" s="1"/>
  <c r="L3" i="7"/>
  <c r="L53" i="7"/>
  <c r="M57" i="7"/>
  <c r="L56" i="7"/>
  <c r="D45" i="7"/>
  <c r="G65" i="7"/>
  <c r="G66" i="7"/>
  <c r="A12" i="7"/>
  <c r="C45" i="7"/>
  <c r="K45" i="7"/>
  <c r="M51" i="7"/>
  <c r="B65" i="7"/>
  <c r="C65" i="7"/>
  <c r="C66" i="7"/>
  <c r="L66" i="7" s="1"/>
  <c r="J3" i="7"/>
  <c r="K44" i="7"/>
  <c r="D65" i="7"/>
  <c r="H65" i="7"/>
  <c r="N14" i="7"/>
  <c r="I38" i="7" s="1"/>
  <c r="D23" i="7"/>
  <c r="K29" i="7"/>
  <c r="G38" i="7"/>
  <c r="M55" i="6"/>
  <c r="L4" i="6"/>
  <c r="C3" i="6"/>
  <c r="J38" i="6"/>
  <c r="L53" i="6"/>
  <c r="M54" i="6"/>
  <c r="L51" i="6"/>
  <c r="H62" i="6" s="1"/>
  <c r="L3" i="6"/>
  <c r="M3" i="6" s="1"/>
  <c r="M57" i="6"/>
  <c r="L56" i="6"/>
  <c r="L59" i="6"/>
  <c r="M59" i="6" s="1"/>
  <c r="M60" i="6"/>
  <c r="N14" i="6"/>
  <c r="G22" i="6"/>
  <c r="H23" i="6"/>
  <c r="C29" i="6"/>
  <c r="G29" i="6"/>
  <c r="K29" i="6"/>
  <c r="E30" i="6"/>
  <c r="I30" i="6"/>
  <c r="C38" i="6"/>
  <c r="G38" i="6"/>
  <c r="K38" i="6"/>
  <c r="B45" i="6"/>
  <c r="E65" i="6"/>
  <c r="E66" i="6"/>
  <c r="A12" i="6"/>
  <c r="D22" i="6"/>
  <c r="H22" i="6"/>
  <c r="E23" i="6"/>
  <c r="I23" i="6"/>
  <c r="D29" i="6"/>
  <c r="H29" i="6"/>
  <c r="B30" i="6"/>
  <c r="F30" i="6"/>
  <c r="J30" i="6"/>
  <c r="D38" i="6"/>
  <c r="H38" i="6"/>
  <c r="I44" i="6"/>
  <c r="C45" i="6"/>
  <c r="G45" i="6"/>
  <c r="K45" i="6"/>
  <c r="M51" i="6"/>
  <c r="B65" i="6"/>
  <c r="B66" i="6"/>
  <c r="E22" i="6"/>
  <c r="I22" i="6"/>
  <c r="B23" i="6"/>
  <c r="F23" i="6"/>
  <c r="J23" i="6"/>
  <c r="E29" i="6"/>
  <c r="I29" i="6"/>
  <c r="C30" i="6"/>
  <c r="G30" i="6"/>
  <c r="K30" i="6"/>
  <c r="E38" i="6"/>
  <c r="I38" i="6"/>
  <c r="B44" i="6"/>
  <c r="C65" i="6"/>
  <c r="G65" i="6"/>
  <c r="K65" i="6"/>
  <c r="C22" i="6"/>
  <c r="K22" i="6"/>
  <c r="D23" i="6"/>
  <c r="I66" i="6"/>
  <c r="J3" i="6"/>
  <c r="B22" i="6"/>
  <c r="F22" i="6"/>
  <c r="J22" i="6"/>
  <c r="C23" i="6"/>
  <c r="G23" i="6"/>
  <c r="K23" i="6"/>
  <c r="B29" i="6"/>
  <c r="F29" i="6"/>
  <c r="J29" i="6"/>
  <c r="D30" i="6"/>
  <c r="H30" i="6"/>
  <c r="B38" i="6"/>
  <c r="F38" i="6"/>
  <c r="G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L60" i="9" s="1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L57" i="9" s="1"/>
  <c r="K55" i="9"/>
  <c r="K66" i="9" s="1"/>
  <c r="J55" i="9"/>
  <c r="J66" i="9" s="1"/>
  <c r="I55" i="9"/>
  <c r="I66" i="9" s="1"/>
  <c r="H55" i="9"/>
  <c r="H66" i="9" s="1"/>
  <c r="G55" i="9"/>
  <c r="G66" i="9" s="1"/>
  <c r="F55" i="9"/>
  <c r="F66" i="9" s="1"/>
  <c r="E55" i="9"/>
  <c r="E66" i="9" s="1"/>
  <c r="D55" i="9"/>
  <c r="D66" i="9" s="1"/>
  <c r="C55" i="9"/>
  <c r="C66" i="9" s="1"/>
  <c r="B55" i="9"/>
  <c r="K54" i="9"/>
  <c r="J54" i="9"/>
  <c r="I54" i="9"/>
  <c r="H54" i="9"/>
  <c r="G54" i="9"/>
  <c r="F54" i="9"/>
  <c r="E54" i="9"/>
  <c r="D54" i="9"/>
  <c r="C54" i="9"/>
  <c r="B54" i="9"/>
  <c r="B40" i="9"/>
  <c r="B36" i="9"/>
  <c r="B35" i="9"/>
  <c r="B33" i="9"/>
  <c r="B32" i="9"/>
  <c r="B47" i="9" s="1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L19" i="9" s="1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N13" i="9" s="1"/>
  <c r="M12" i="9"/>
  <c r="L12" i="9"/>
  <c r="K12" i="9"/>
  <c r="J12" i="9"/>
  <c r="I12" i="9"/>
  <c r="H12" i="9"/>
  <c r="G12" i="9"/>
  <c r="F12" i="9"/>
  <c r="E12" i="9"/>
  <c r="D12" i="9"/>
  <c r="C12" i="9"/>
  <c r="B12" i="9"/>
  <c r="N12" i="9" s="1"/>
  <c r="G7" i="9"/>
  <c r="F7" i="9"/>
  <c r="E7" i="9"/>
  <c r="D7" i="9"/>
  <c r="C7" i="9"/>
  <c r="B7" i="9"/>
  <c r="F5" i="9"/>
  <c r="D5" i="9"/>
  <c r="E5" i="9" s="1"/>
  <c r="B5" i="9"/>
  <c r="F4" i="9"/>
  <c r="D4" i="9"/>
  <c r="B4" i="9"/>
  <c r="C4" i="9" s="1"/>
  <c r="D3" i="9"/>
  <c r="B3" i="9"/>
  <c r="J4" i="9" s="1"/>
  <c r="C1" i="9"/>
  <c r="B1" i="9"/>
  <c r="G134" i="5"/>
  <c r="F134" i="5"/>
  <c r="G133" i="5"/>
  <c r="F133" i="5"/>
  <c r="G132" i="5"/>
  <c r="F132" i="5"/>
  <c r="G131" i="5"/>
  <c r="F131" i="5"/>
  <c r="D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D118" i="5"/>
  <c r="G117" i="5"/>
  <c r="F117" i="5"/>
  <c r="G116" i="5"/>
  <c r="F116" i="5"/>
  <c r="G115" i="5"/>
  <c r="F115" i="5"/>
  <c r="D115" i="5"/>
  <c r="G114" i="5"/>
  <c r="F114" i="5"/>
  <c r="G113" i="5"/>
  <c r="F113" i="5"/>
  <c r="G112" i="5"/>
  <c r="F112" i="5"/>
  <c r="G111" i="5"/>
  <c r="F111" i="5"/>
  <c r="G110" i="5"/>
  <c r="F110" i="5"/>
  <c r="D110" i="5"/>
  <c r="G109" i="5"/>
  <c r="F109" i="5"/>
  <c r="G108" i="5"/>
  <c r="F108" i="5"/>
  <c r="G107" i="5"/>
  <c r="F107" i="5"/>
  <c r="G106" i="5"/>
  <c r="F106" i="5"/>
  <c r="D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M78" i="5"/>
  <c r="L78" i="5"/>
  <c r="G78" i="5"/>
  <c r="F78" i="5"/>
  <c r="G77" i="5"/>
  <c r="F77" i="5"/>
  <c r="K76" i="5"/>
  <c r="G76" i="5"/>
  <c r="F76" i="5"/>
  <c r="G75" i="5"/>
  <c r="F75" i="5"/>
  <c r="M74" i="5"/>
  <c r="L74" i="5"/>
  <c r="G74" i="5"/>
  <c r="F74" i="5"/>
  <c r="M73" i="5"/>
  <c r="L73" i="5"/>
  <c r="G73" i="5"/>
  <c r="F73" i="5"/>
  <c r="G72" i="5"/>
  <c r="F72" i="5"/>
  <c r="D72" i="5"/>
  <c r="M71" i="5"/>
  <c r="L71" i="5"/>
  <c r="G71" i="5"/>
  <c r="F71" i="5"/>
  <c r="G70" i="5"/>
  <c r="F70" i="5"/>
  <c r="K69" i="5"/>
  <c r="G69" i="5"/>
  <c r="F69" i="5"/>
  <c r="G68" i="5"/>
  <c r="F68" i="5"/>
  <c r="M67" i="5"/>
  <c r="L67" i="5"/>
  <c r="G67" i="5"/>
  <c r="F67" i="5"/>
  <c r="G66" i="5"/>
  <c r="F66" i="5"/>
  <c r="K65" i="5"/>
  <c r="G65" i="5"/>
  <c r="F65" i="5"/>
  <c r="G64" i="5"/>
  <c r="F64" i="5"/>
  <c r="M63" i="5"/>
  <c r="L63" i="5"/>
  <c r="G63" i="5"/>
  <c r="F63" i="5"/>
  <c r="M62" i="5"/>
  <c r="L62" i="5"/>
  <c r="G62" i="5"/>
  <c r="F62" i="5"/>
  <c r="M61" i="5"/>
  <c r="L61" i="5"/>
  <c r="G61" i="5"/>
  <c r="F61" i="5"/>
  <c r="M60" i="5"/>
  <c r="L60" i="5"/>
  <c r="G60" i="5"/>
  <c r="F60" i="5"/>
  <c r="M59" i="5"/>
  <c r="L59" i="5"/>
  <c r="G59" i="5"/>
  <c r="F59" i="5"/>
  <c r="M58" i="5"/>
  <c r="L58" i="5"/>
  <c r="G58" i="5"/>
  <c r="F58" i="5"/>
  <c r="M57" i="5"/>
  <c r="L57" i="5"/>
  <c r="G57" i="5"/>
  <c r="F57" i="5"/>
  <c r="M56" i="5"/>
  <c r="L56" i="5"/>
  <c r="G56" i="5"/>
  <c r="F56" i="5"/>
  <c r="G55" i="5"/>
  <c r="F55" i="5"/>
  <c r="M54" i="5"/>
  <c r="L54" i="5"/>
  <c r="G54" i="5"/>
  <c r="F54" i="5"/>
  <c r="G53" i="5"/>
  <c r="F53" i="5"/>
  <c r="G52" i="5"/>
  <c r="F52" i="5"/>
  <c r="M51" i="5"/>
  <c r="L51" i="5"/>
  <c r="G51" i="5"/>
  <c r="F51" i="5"/>
  <c r="M50" i="5"/>
  <c r="L50" i="5"/>
  <c r="G50" i="5"/>
  <c r="F50" i="5"/>
  <c r="G49" i="5"/>
  <c r="F49" i="5"/>
  <c r="K48" i="5"/>
  <c r="G48" i="5"/>
  <c r="F48" i="5"/>
  <c r="G47" i="5"/>
  <c r="F47" i="5"/>
  <c r="M46" i="5"/>
  <c r="L46" i="5"/>
  <c r="G46" i="5"/>
  <c r="F46" i="5"/>
  <c r="M45" i="5"/>
  <c r="L45" i="5"/>
  <c r="G45" i="5"/>
  <c r="F45" i="5"/>
  <c r="G44" i="5"/>
  <c r="F44" i="5"/>
  <c r="M43" i="5"/>
  <c r="L43" i="5"/>
  <c r="G43" i="5"/>
  <c r="F43" i="5"/>
  <c r="G42" i="5"/>
  <c r="F42" i="5"/>
  <c r="D42" i="5"/>
  <c r="K41" i="5"/>
  <c r="G41" i="5"/>
  <c r="F41" i="5"/>
  <c r="G40" i="5"/>
  <c r="F40" i="5"/>
  <c r="M39" i="5"/>
  <c r="L39" i="5"/>
  <c r="G39" i="5"/>
  <c r="F39" i="5"/>
  <c r="M38" i="5"/>
  <c r="L38" i="5"/>
  <c r="G38" i="5"/>
  <c r="F38" i="5"/>
  <c r="M37" i="5"/>
  <c r="L37" i="5"/>
  <c r="G37" i="5"/>
  <c r="F37" i="5"/>
  <c r="G36" i="5"/>
  <c r="F36" i="5"/>
  <c r="M35" i="5"/>
  <c r="L35" i="5"/>
  <c r="G35" i="5"/>
  <c r="F35" i="5"/>
  <c r="G34" i="5"/>
  <c r="F34" i="5"/>
  <c r="D34" i="5"/>
  <c r="K33" i="5"/>
  <c r="G33" i="5"/>
  <c r="I11" i="5" s="1"/>
  <c r="J17" i="1" s="1"/>
  <c r="F33" i="5"/>
  <c r="G32" i="5"/>
  <c r="F32" i="5"/>
  <c r="M31" i="5"/>
  <c r="L31" i="5"/>
  <c r="G31" i="5"/>
  <c r="F31" i="5"/>
  <c r="M30" i="5"/>
  <c r="L30" i="5"/>
  <c r="G30" i="5"/>
  <c r="F30" i="5"/>
  <c r="G29" i="5"/>
  <c r="F29" i="5"/>
  <c r="K28" i="5"/>
  <c r="G28" i="5"/>
  <c r="F28" i="5"/>
  <c r="G27" i="5"/>
  <c r="F27" i="5"/>
  <c r="D27" i="5"/>
  <c r="M26" i="5"/>
  <c r="L26" i="5"/>
  <c r="G26" i="5"/>
  <c r="F26" i="5"/>
  <c r="G25" i="5"/>
  <c r="F25" i="5"/>
  <c r="K24" i="5"/>
  <c r="G24" i="5"/>
  <c r="F24" i="5"/>
  <c r="G23" i="5"/>
  <c r="F23" i="5"/>
  <c r="K22" i="5"/>
  <c r="G22" i="5"/>
  <c r="F22" i="5"/>
  <c r="G21" i="5"/>
  <c r="F21" i="5"/>
  <c r="M20" i="5"/>
  <c r="L20" i="5"/>
  <c r="G20" i="5"/>
  <c r="F20" i="5"/>
  <c r="M19" i="5"/>
  <c r="K12" i="5" s="1"/>
  <c r="L19" i="5"/>
  <c r="G19" i="5"/>
  <c r="F19" i="5"/>
  <c r="G18" i="5"/>
  <c r="F18" i="5"/>
  <c r="K17" i="5"/>
  <c r="D17" i="5"/>
  <c r="M12" i="5"/>
  <c r="M11" i="5"/>
  <c r="M7" i="5"/>
  <c r="D7" i="5"/>
  <c r="F7" i="5" s="1"/>
  <c r="M6" i="5"/>
  <c r="D5" i="5"/>
  <c r="C5" i="5"/>
  <c r="C3" i="5" s="1"/>
  <c r="B5" i="5"/>
  <c r="F5" i="5" s="1"/>
  <c r="J4" i="5"/>
  <c r="D4" i="5"/>
  <c r="B4" i="5"/>
  <c r="J3" i="5"/>
  <c r="D3" i="5"/>
  <c r="E3" i="5" s="1"/>
  <c r="G133" i="4"/>
  <c r="F133" i="4"/>
  <c r="G132" i="4"/>
  <c r="F132" i="4"/>
  <c r="G131" i="4"/>
  <c r="F131" i="4"/>
  <c r="G130" i="4"/>
  <c r="F130" i="4"/>
  <c r="D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D118" i="4"/>
  <c r="G117" i="4"/>
  <c r="F117" i="4"/>
  <c r="G116" i="4"/>
  <c r="F116" i="4"/>
  <c r="G115" i="4"/>
  <c r="F115" i="4"/>
  <c r="D115" i="4"/>
  <c r="G114" i="4"/>
  <c r="F114" i="4"/>
  <c r="G113" i="4"/>
  <c r="F113" i="4"/>
  <c r="G112" i="4"/>
  <c r="F112" i="4"/>
  <c r="G111" i="4"/>
  <c r="F111" i="4"/>
  <c r="G110" i="4"/>
  <c r="F110" i="4"/>
  <c r="D110" i="4"/>
  <c r="G109" i="4"/>
  <c r="F109" i="4"/>
  <c r="G108" i="4"/>
  <c r="F108" i="4"/>
  <c r="G107" i="4"/>
  <c r="F107" i="4"/>
  <c r="G106" i="4"/>
  <c r="F106" i="4"/>
  <c r="D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M78" i="4"/>
  <c r="L78" i="4"/>
  <c r="G78" i="4"/>
  <c r="F78" i="4"/>
  <c r="G77" i="4"/>
  <c r="F77" i="4"/>
  <c r="K76" i="4"/>
  <c r="G76" i="4"/>
  <c r="F76" i="4"/>
  <c r="G75" i="4"/>
  <c r="F75" i="4"/>
  <c r="M74" i="4"/>
  <c r="L74" i="4"/>
  <c r="G74" i="4"/>
  <c r="F74" i="4"/>
  <c r="M73" i="4"/>
  <c r="L73" i="4"/>
  <c r="G73" i="4"/>
  <c r="F73" i="4"/>
  <c r="G72" i="4"/>
  <c r="F72" i="4"/>
  <c r="D72" i="4"/>
  <c r="M71" i="4"/>
  <c r="L71" i="4"/>
  <c r="G71" i="4"/>
  <c r="F71" i="4"/>
  <c r="G70" i="4"/>
  <c r="F70" i="4"/>
  <c r="K69" i="4"/>
  <c r="G69" i="4"/>
  <c r="F69" i="4"/>
  <c r="G68" i="4"/>
  <c r="F68" i="4"/>
  <c r="M67" i="4"/>
  <c r="L67" i="4"/>
  <c r="G67" i="4"/>
  <c r="F67" i="4"/>
  <c r="G66" i="4"/>
  <c r="F66" i="4"/>
  <c r="K65" i="4"/>
  <c r="G65" i="4"/>
  <c r="F65" i="4"/>
  <c r="G64" i="4"/>
  <c r="F64" i="4"/>
  <c r="M63" i="4"/>
  <c r="L63" i="4"/>
  <c r="G63" i="4"/>
  <c r="F63" i="4"/>
  <c r="M62" i="4"/>
  <c r="L62" i="4"/>
  <c r="G62" i="4"/>
  <c r="F62" i="4"/>
  <c r="M61" i="4"/>
  <c r="L61" i="4"/>
  <c r="G61" i="4"/>
  <c r="F61" i="4"/>
  <c r="M60" i="4"/>
  <c r="L60" i="4"/>
  <c r="G60" i="4"/>
  <c r="F60" i="4"/>
  <c r="M59" i="4"/>
  <c r="L59" i="4"/>
  <c r="G59" i="4"/>
  <c r="F59" i="4"/>
  <c r="M58" i="4"/>
  <c r="L58" i="4"/>
  <c r="G58" i="4"/>
  <c r="F58" i="4"/>
  <c r="M57" i="4"/>
  <c r="L57" i="4"/>
  <c r="G57" i="4"/>
  <c r="F57" i="4"/>
  <c r="M56" i="4"/>
  <c r="L56" i="4"/>
  <c r="G56" i="4"/>
  <c r="F56" i="4"/>
  <c r="G55" i="4"/>
  <c r="F55" i="4"/>
  <c r="M54" i="4"/>
  <c r="L54" i="4"/>
  <c r="G54" i="4"/>
  <c r="F54" i="4"/>
  <c r="G53" i="4"/>
  <c r="F53" i="4"/>
  <c r="G52" i="4"/>
  <c r="F52" i="4"/>
  <c r="M51" i="4"/>
  <c r="L51" i="4"/>
  <c r="G51" i="4"/>
  <c r="F51" i="4"/>
  <c r="M50" i="4"/>
  <c r="L50" i="4"/>
  <c r="G50" i="4"/>
  <c r="F50" i="4"/>
  <c r="G49" i="4"/>
  <c r="F49" i="4"/>
  <c r="K48" i="4"/>
  <c r="G48" i="4"/>
  <c r="F48" i="4"/>
  <c r="G47" i="4"/>
  <c r="F47" i="4"/>
  <c r="M46" i="4"/>
  <c r="L46" i="4"/>
  <c r="G46" i="4"/>
  <c r="F46" i="4"/>
  <c r="M45" i="4"/>
  <c r="L45" i="4"/>
  <c r="G45" i="4"/>
  <c r="F45" i="4"/>
  <c r="G44" i="4"/>
  <c r="F44" i="4"/>
  <c r="M43" i="4"/>
  <c r="L43" i="4"/>
  <c r="G43" i="4"/>
  <c r="F43" i="4"/>
  <c r="G42" i="4"/>
  <c r="F42" i="4"/>
  <c r="D42" i="4"/>
  <c r="K41" i="4"/>
  <c r="G41" i="4"/>
  <c r="F41" i="4"/>
  <c r="G40" i="4"/>
  <c r="F40" i="4"/>
  <c r="M39" i="4"/>
  <c r="L39" i="4"/>
  <c r="G39" i="4"/>
  <c r="F39" i="4"/>
  <c r="M38" i="4"/>
  <c r="L38" i="4"/>
  <c r="G38" i="4"/>
  <c r="F38" i="4"/>
  <c r="M37" i="4"/>
  <c r="L37" i="4"/>
  <c r="G37" i="4"/>
  <c r="F37" i="4"/>
  <c r="G36" i="4"/>
  <c r="F36" i="4"/>
  <c r="M35" i="4"/>
  <c r="L35" i="4"/>
  <c r="G35" i="4"/>
  <c r="F35" i="4"/>
  <c r="G34" i="4"/>
  <c r="F34" i="4"/>
  <c r="D34" i="4"/>
  <c r="K33" i="4"/>
  <c r="G33" i="4"/>
  <c r="F33" i="4"/>
  <c r="G32" i="4"/>
  <c r="F32" i="4"/>
  <c r="M31" i="4"/>
  <c r="L31" i="4"/>
  <c r="G31" i="4"/>
  <c r="F31" i="4"/>
  <c r="M30" i="4"/>
  <c r="L30" i="4"/>
  <c r="G30" i="4"/>
  <c r="F30" i="4"/>
  <c r="G29" i="4"/>
  <c r="F29" i="4"/>
  <c r="K28" i="4"/>
  <c r="G28" i="4"/>
  <c r="F28" i="4"/>
  <c r="G27" i="4"/>
  <c r="F27" i="4"/>
  <c r="D27" i="4"/>
  <c r="M11" i="4" s="1"/>
  <c r="M26" i="4"/>
  <c r="L26" i="4"/>
  <c r="G26" i="4"/>
  <c r="F26" i="4"/>
  <c r="G25" i="4"/>
  <c r="F25" i="4"/>
  <c r="K24" i="4"/>
  <c r="G24" i="4"/>
  <c r="F24" i="4"/>
  <c r="G23" i="4"/>
  <c r="F23" i="4"/>
  <c r="K22" i="4"/>
  <c r="G22" i="4"/>
  <c r="F22" i="4"/>
  <c r="G21" i="4"/>
  <c r="F21" i="4"/>
  <c r="M20" i="4"/>
  <c r="L20" i="4"/>
  <c r="G20" i="4"/>
  <c r="F20" i="4"/>
  <c r="M19" i="4"/>
  <c r="L19" i="4"/>
  <c r="K19" i="4"/>
  <c r="G19" i="4"/>
  <c r="F19" i="4"/>
  <c r="G18" i="4"/>
  <c r="F18" i="4"/>
  <c r="K17" i="4"/>
  <c r="M12" i="4" s="1"/>
  <c r="D17" i="4"/>
  <c r="M7" i="4"/>
  <c r="D7" i="4"/>
  <c r="F7" i="4" s="1"/>
  <c r="M6" i="4"/>
  <c r="D5" i="4"/>
  <c r="C5" i="4"/>
  <c r="B5" i="4"/>
  <c r="F5" i="4" s="1"/>
  <c r="J4" i="4"/>
  <c r="D4" i="4"/>
  <c r="F4" i="4" s="1"/>
  <c r="B4" i="4"/>
  <c r="J3" i="4"/>
  <c r="C3" i="4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D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D117" i="3"/>
  <c r="G116" i="3"/>
  <c r="F116" i="3"/>
  <c r="G115" i="3"/>
  <c r="F115" i="3"/>
  <c r="G114" i="3"/>
  <c r="F114" i="3"/>
  <c r="D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D108" i="3"/>
  <c r="G107" i="3"/>
  <c r="F107" i="3"/>
  <c r="G106" i="3"/>
  <c r="F106" i="3"/>
  <c r="G105" i="3"/>
  <c r="F105" i="3"/>
  <c r="G104" i="3"/>
  <c r="F104" i="3"/>
  <c r="D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M95" i="3"/>
  <c r="L95" i="3"/>
  <c r="G95" i="3"/>
  <c r="F95" i="3"/>
  <c r="G94" i="3"/>
  <c r="F94" i="3"/>
  <c r="G93" i="3"/>
  <c r="F93" i="3"/>
  <c r="G92" i="3"/>
  <c r="F92" i="3"/>
  <c r="M91" i="3"/>
  <c r="L91" i="3"/>
  <c r="G91" i="3"/>
  <c r="F91" i="3"/>
  <c r="M90" i="3"/>
  <c r="L90" i="3"/>
  <c r="G90" i="3"/>
  <c r="F90" i="3"/>
  <c r="M89" i="3"/>
  <c r="L89" i="3"/>
  <c r="G89" i="3"/>
  <c r="F89" i="3"/>
  <c r="M88" i="3"/>
  <c r="L88" i="3"/>
  <c r="G88" i="3"/>
  <c r="F88" i="3"/>
  <c r="M87" i="3"/>
  <c r="L87" i="3"/>
  <c r="G87" i="3"/>
  <c r="F87" i="3"/>
  <c r="M86" i="3"/>
  <c r="L86" i="3"/>
  <c r="G86" i="3"/>
  <c r="F86" i="3"/>
  <c r="M85" i="3"/>
  <c r="L85" i="3"/>
  <c r="G85" i="3"/>
  <c r="F85" i="3"/>
  <c r="M84" i="3"/>
  <c r="L84" i="3"/>
  <c r="G84" i="3"/>
  <c r="F84" i="3"/>
  <c r="M83" i="3"/>
  <c r="L83" i="3"/>
  <c r="G83" i="3"/>
  <c r="F83" i="3"/>
  <c r="M82" i="3"/>
  <c r="L82" i="3"/>
  <c r="G82" i="3"/>
  <c r="F82" i="3"/>
  <c r="M81" i="3"/>
  <c r="L81" i="3"/>
  <c r="G81" i="3"/>
  <c r="F81" i="3"/>
  <c r="M80" i="3"/>
  <c r="L80" i="3"/>
  <c r="G80" i="3"/>
  <c r="F80" i="3"/>
  <c r="M79" i="3"/>
  <c r="L79" i="3"/>
  <c r="G79" i="3"/>
  <c r="F79" i="3"/>
  <c r="M78" i="3"/>
  <c r="L78" i="3"/>
  <c r="G78" i="3"/>
  <c r="F78" i="3"/>
  <c r="M77" i="3"/>
  <c r="L77" i="3"/>
  <c r="G77" i="3"/>
  <c r="F77" i="3"/>
  <c r="M76" i="3"/>
  <c r="L76" i="3"/>
  <c r="G76" i="3"/>
  <c r="F76" i="3"/>
  <c r="M75" i="3"/>
  <c r="L75" i="3"/>
  <c r="K75" i="3"/>
  <c r="G75" i="3"/>
  <c r="F75" i="3"/>
  <c r="M74" i="3"/>
  <c r="L74" i="3"/>
  <c r="G74" i="3"/>
  <c r="F74" i="3"/>
  <c r="M73" i="3"/>
  <c r="L73" i="3"/>
  <c r="G73" i="3"/>
  <c r="F73" i="3"/>
  <c r="M72" i="3"/>
  <c r="L72" i="3"/>
  <c r="G72" i="3"/>
  <c r="F72" i="3"/>
  <c r="M71" i="3"/>
  <c r="L71" i="3"/>
  <c r="G71" i="3"/>
  <c r="F71" i="3"/>
  <c r="D71" i="3"/>
  <c r="M70" i="3"/>
  <c r="L70" i="3"/>
  <c r="G70" i="3"/>
  <c r="F70" i="3"/>
  <c r="M69" i="3"/>
  <c r="L69" i="3"/>
  <c r="G69" i="3"/>
  <c r="F69" i="3"/>
  <c r="M68" i="3"/>
  <c r="L68" i="3"/>
  <c r="K68" i="3"/>
  <c r="G68" i="3"/>
  <c r="F68" i="3"/>
  <c r="M67" i="3"/>
  <c r="L67" i="3"/>
  <c r="G67" i="3"/>
  <c r="F67" i="3"/>
  <c r="M66" i="3"/>
  <c r="L66" i="3"/>
  <c r="G66" i="3"/>
  <c r="F66" i="3"/>
  <c r="M65" i="3"/>
  <c r="L65" i="3"/>
  <c r="G65" i="3"/>
  <c r="F65" i="3"/>
  <c r="M64" i="3"/>
  <c r="L64" i="3"/>
  <c r="K64" i="3"/>
  <c r="G64" i="3"/>
  <c r="F64" i="3"/>
  <c r="M63" i="3"/>
  <c r="L63" i="3"/>
  <c r="G63" i="3"/>
  <c r="F63" i="3"/>
  <c r="M62" i="3"/>
  <c r="L62" i="3"/>
  <c r="G62" i="3"/>
  <c r="F62" i="3"/>
  <c r="M61" i="3"/>
  <c r="L61" i="3"/>
  <c r="G61" i="3"/>
  <c r="F61" i="3"/>
  <c r="M60" i="3"/>
  <c r="L60" i="3"/>
  <c r="G60" i="3"/>
  <c r="F60" i="3"/>
  <c r="M59" i="3"/>
  <c r="L59" i="3"/>
  <c r="G59" i="3"/>
  <c r="F59" i="3"/>
  <c r="M58" i="3"/>
  <c r="L58" i="3"/>
  <c r="G58" i="3"/>
  <c r="F58" i="3"/>
  <c r="M57" i="3"/>
  <c r="L57" i="3"/>
  <c r="G57" i="3"/>
  <c r="F57" i="3"/>
  <c r="M56" i="3"/>
  <c r="L56" i="3"/>
  <c r="G56" i="3"/>
  <c r="F56" i="3"/>
  <c r="M55" i="3"/>
  <c r="L55" i="3"/>
  <c r="G55" i="3"/>
  <c r="F55" i="3"/>
  <c r="M54" i="3"/>
  <c r="L54" i="3"/>
  <c r="G54" i="3"/>
  <c r="F54" i="3"/>
  <c r="M53" i="3"/>
  <c r="L53" i="3"/>
  <c r="G53" i="3"/>
  <c r="F53" i="3"/>
  <c r="M52" i="3"/>
  <c r="L52" i="3"/>
  <c r="G52" i="3"/>
  <c r="F52" i="3"/>
  <c r="M51" i="3"/>
  <c r="L51" i="3"/>
  <c r="G51" i="3"/>
  <c r="F51" i="3"/>
  <c r="M50" i="3"/>
  <c r="L50" i="3"/>
  <c r="G50" i="3"/>
  <c r="F50" i="3"/>
  <c r="M49" i="3"/>
  <c r="L49" i="3"/>
  <c r="G49" i="3"/>
  <c r="F49" i="3"/>
  <c r="M48" i="3"/>
  <c r="L48" i="3"/>
  <c r="K48" i="3"/>
  <c r="G48" i="3"/>
  <c r="F48" i="3"/>
  <c r="M47" i="3"/>
  <c r="L47" i="3"/>
  <c r="G47" i="3"/>
  <c r="F47" i="3"/>
  <c r="M46" i="3"/>
  <c r="L46" i="3"/>
  <c r="G46" i="3"/>
  <c r="F46" i="3"/>
  <c r="M45" i="3"/>
  <c r="L45" i="3"/>
  <c r="G45" i="3"/>
  <c r="F45" i="3"/>
  <c r="M44" i="3"/>
  <c r="L44" i="3"/>
  <c r="G44" i="3"/>
  <c r="F44" i="3"/>
  <c r="M43" i="3"/>
  <c r="L43" i="3"/>
  <c r="G43" i="3"/>
  <c r="F43" i="3"/>
  <c r="M42" i="3"/>
  <c r="L42" i="3"/>
  <c r="G42" i="3"/>
  <c r="F42" i="3"/>
  <c r="M41" i="3"/>
  <c r="L41" i="3"/>
  <c r="K41" i="3"/>
  <c r="G41" i="3"/>
  <c r="F41" i="3"/>
  <c r="D41" i="3"/>
  <c r="M40" i="3"/>
  <c r="L40" i="3"/>
  <c r="G40" i="3"/>
  <c r="F40" i="3"/>
  <c r="M39" i="3"/>
  <c r="L39" i="3"/>
  <c r="G39" i="3"/>
  <c r="F39" i="3"/>
  <c r="M38" i="3"/>
  <c r="L38" i="3"/>
  <c r="G38" i="3"/>
  <c r="F38" i="3"/>
  <c r="M37" i="3"/>
  <c r="L37" i="3"/>
  <c r="G37" i="3"/>
  <c r="F37" i="3"/>
  <c r="M36" i="3"/>
  <c r="L36" i="3"/>
  <c r="G36" i="3"/>
  <c r="F36" i="3"/>
  <c r="M35" i="3"/>
  <c r="L35" i="3"/>
  <c r="G35" i="3"/>
  <c r="F35" i="3"/>
  <c r="M34" i="3"/>
  <c r="L34" i="3"/>
  <c r="G34" i="3"/>
  <c r="F34" i="3"/>
  <c r="M33" i="3"/>
  <c r="L33" i="3"/>
  <c r="K33" i="3"/>
  <c r="G33" i="3"/>
  <c r="F33" i="3"/>
  <c r="D33" i="3"/>
  <c r="M32" i="3"/>
  <c r="L32" i="3"/>
  <c r="G32" i="3"/>
  <c r="F32" i="3"/>
  <c r="M31" i="3"/>
  <c r="L31" i="3"/>
  <c r="G31" i="3"/>
  <c r="F31" i="3"/>
  <c r="M30" i="3"/>
  <c r="L30" i="3"/>
  <c r="G30" i="3"/>
  <c r="F30" i="3"/>
  <c r="M29" i="3"/>
  <c r="L29" i="3"/>
  <c r="G29" i="3"/>
  <c r="F29" i="3"/>
  <c r="M28" i="3"/>
  <c r="L28" i="3"/>
  <c r="K28" i="3"/>
  <c r="G28" i="3"/>
  <c r="F28" i="3"/>
  <c r="M27" i="3"/>
  <c r="L27" i="3"/>
  <c r="G27" i="3"/>
  <c r="F27" i="3"/>
  <c r="M26" i="3"/>
  <c r="L26" i="3"/>
  <c r="G26" i="3"/>
  <c r="F26" i="3"/>
  <c r="D26" i="3"/>
  <c r="M25" i="3"/>
  <c r="L25" i="3"/>
  <c r="G25" i="3"/>
  <c r="F25" i="3"/>
  <c r="M24" i="3"/>
  <c r="L24" i="3"/>
  <c r="K24" i="3"/>
  <c r="G24" i="3"/>
  <c r="F24" i="3"/>
  <c r="M23" i="3"/>
  <c r="L23" i="3"/>
  <c r="G23" i="3"/>
  <c r="F23" i="3"/>
  <c r="M22" i="3"/>
  <c r="L22" i="3"/>
  <c r="K22" i="3"/>
  <c r="G22" i="3"/>
  <c r="F22" i="3"/>
  <c r="M21" i="3"/>
  <c r="E12" i="3" s="1"/>
  <c r="L21" i="3"/>
  <c r="G21" i="3"/>
  <c r="F21" i="3"/>
  <c r="M20" i="3"/>
  <c r="L20" i="3"/>
  <c r="G20" i="3"/>
  <c r="F20" i="3"/>
  <c r="M19" i="3"/>
  <c r="L19" i="3"/>
  <c r="G19" i="3"/>
  <c r="F19" i="3"/>
  <c r="G18" i="3"/>
  <c r="K11" i="3" s="1"/>
  <c r="L15" i="1" s="1"/>
  <c r="F18" i="3"/>
  <c r="K17" i="3"/>
  <c r="D17" i="3"/>
  <c r="M12" i="3"/>
  <c r="M11" i="3"/>
  <c r="M7" i="3"/>
  <c r="D7" i="3"/>
  <c r="F7" i="3" s="1"/>
  <c r="M6" i="3"/>
  <c r="D5" i="3"/>
  <c r="C5" i="3"/>
  <c r="C3" i="3" s="1"/>
  <c r="B5" i="3"/>
  <c r="J4" i="3"/>
  <c r="D4" i="3"/>
  <c r="B4" i="3"/>
  <c r="J3" i="3"/>
  <c r="G119" i="2"/>
  <c r="F119" i="2"/>
  <c r="G118" i="2"/>
  <c r="F118" i="2"/>
  <c r="G117" i="2"/>
  <c r="F117" i="2"/>
  <c r="D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D107" i="2"/>
  <c r="G106" i="2"/>
  <c r="F106" i="2"/>
  <c r="G105" i="2"/>
  <c r="F105" i="2"/>
  <c r="G104" i="2"/>
  <c r="F104" i="2"/>
  <c r="D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D98" i="2"/>
  <c r="G97" i="2"/>
  <c r="F97" i="2"/>
  <c r="G96" i="2"/>
  <c r="F96" i="2"/>
  <c r="G95" i="2"/>
  <c r="F95" i="2"/>
  <c r="G94" i="2"/>
  <c r="F94" i="2"/>
  <c r="D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M78" i="2"/>
  <c r="L78" i="2"/>
  <c r="G78" i="2"/>
  <c r="F78" i="2"/>
  <c r="G77" i="2"/>
  <c r="F77" i="2"/>
  <c r="K76" i="2"/>
  <c r="G76" i="2"/>
  <c r="F76" i="2"/>
  <c r="G75" i="2"/>
  <c r="F75" i="2"/>
  <c r="M74" i="2"/>
  <c r="L74" i="2"/>
  <c r="G74" i="2"/>
  <c r="F74" i="2"/>
  <c r="M73" i="2"/>
  <c r="L73" i="2"/>
  <c r="G73" i="2"/>
  <c r="F73" i="2"/>
  <c r="G72" i="2"/>
  <c r="F72" i="2"/>
  <c r="M71" i="2"/>
  <c r="L71" i="2"/>
  <c r="G71" i="2"/>
  <c r="F71" i="2"/>
  <c r="G70" i="2"/>
  <c r="F70" i="2"/>
  <c r="K69" i="2"/>
  <c r="G69" i="2"/>
  <c r="F69" i="2"/>
  <c r="G68" i="2"/>
  <c r="F68" i="2"/>
  <c r="M67" i="2"/>
  <c r="L67" i="2"/>
  <c r="G67" i="2"/>
  <c r="F67" i="2"/>
  <c r="G66" i="2"/>
  <c r="F66" i="2"/>
  <c r="D66" i="2"/>
  <c r="K65" i="2"/>
  <c r="G65" i="2"/>
  <c r="F65" i="2"/>
  <c r="G64" i="2"/>
  <c r="F64" i="2"/>
  <c r="M63" i="2"/>
  <c r="L63" i="2"/>
  <c r="G63" i="2"/>
  <c r="F63" i="2"/>
  <c r="M62" i="2"/>
  <c r="L62" i="2"/>
  <c r="G62" i="2"/>
  <c r="F62" i="2"/>
  <c r="M61" i="2"/>
  <c r="L61" i="2"/>
  <c r="G61" i="2"/>
  <c r="F61" i="2"/>
  <c r="M60" i="2"/>
  <c r="L60" i="2"/>
  <c r="G60" i="2"/>
  <c r="F60" i="2"/>
  <c r="M59" i="2"/>
  <c r="L59" i="2"/>
  <c r="G59" i="2"/>
  <c r="F59" i="2"/>
  <c r="M58" i="2"/>
  <c r="L58" i="2"/>
  <c r="G58" i="2"/>
  <c r="F58" i="2"/>
  <c r="M57" i="2"/>
  <c r="L57" i="2"/>
  <c r="G57" i="2"/>
  <c r="F57" i="2"/>
  <c r="M56" i="2"/>
  <c r="L56" i="2"/>
  <c r="G56" i="2"/>
  <c r="F56" i="2"/>
  <c r="G55" i="2"/>
  <c r="F55" i="2"/>
  <c r="M54" i="2"/>
  <c r="L54" i="2"/>
  <c r="G54" i="2"/>
  <c r="F54" i="2"/>
  <c r="G53" i="2"/>
  <c r="F53" i="2"/>
  <c r="G52" i="2"/>
  <c r="F52" i="2"/>
  <c r="M51" i="2"/>
  <c r="L51" i="2"/>
  <c r="G51" i="2"/>
  <c r="F51" i="2"/>
  <c r="M50" i="2"/>
  <c r="L50" i="2"/>
  <c r="G50" i="2"/>
  <c r="F50" i="2"/>
  <c r="G49" i="2"/>
  <c r="F49" i="2"/>
  <c r="K48" i="2"/>
  <c r="G48" i="2"/>
  <c r="F48" i="2"/>
  <c r="G47" i="2"/>
  <c r="F47" i="2"/>
  <c r="M46" i="2"/>
  <c r="L46" i="2"/>
  <c r="G46" i="2"/>
  <c r="F46" i="2"/>
  <c r="M45" i="2"/>
  <c r="L45" i="2"/>
  <c r="G45" i="2"/>
  <c r="F45" i="2"/>
  <c r="G44" i="2"/>
  <c r="F44" i="2"/>
  <c r="M43" i="2"/>
  <c r="L43" i="2"/>
  <c r="G43" i="2"/>
  <c r="F43" i="2"/>
  <c r="G42" i="2"/>
  <c r="F42" i="2"/>
  <c r="K41" i="2"/>
  <c r="G41" i="2"/>
  <c r="F41" i="2"/>
  <c r="G40" i="2"/>
  <c r="F40" i="2"/>
  <c r="D40" i="2"/>
  <c r="M39" i="2"/>
  <c r="L39" i="2"/>
  <c r="G39" i="2"/>
  <c r="F39" i="2"/>
  <c r="M38" i="2"/>
  <c r="L38" i="2"/>
  <c r="G38" i="2"/>
  <c r="F38" i="2"/>
  <c r="M37" i="2"/>
  <c r="L37" i="2"/>
  <c r="G37" i="2"/>
  <c r="F37" i="2"/>
  <c r="G36" i="2"/>
  <c r="F36" i="2"/>
  <c r="M35" i="2"/>
  <c r="L35" i="2"/>
  <c r="G35" i="2"/>
  <c r="F35" i="2"/>
  <c r="G34" i="2"/>
  <c r="F34" i="2"/>
  <c r="K33" i="2"/>
  <c r="G33" i="2"/>
  <c r="F33" i="2"/>
  <c r="G32" i="2"/>
  <c r="F32" i="2"/>
  <c r="D32" i="2"/>
  <c r="M31" i="2"/>
  <c r="L31" i="2"/>
  <c r="G31" i="2"/>
  <c r="F31" i="2"/>
  <c r="M30" i="2"/>
  <c r="L30" i="2"/>
  <c r="G30" i="2"/>
  <c r="F30" i="2"/>
  <c r="G29" i="2"/>
  <c r="F29" i="2"/>
  <c r="K28" i="2"/>
  <c r="G28" i="2"/>
  <c r="F28" i="2"/>
  <c r="G27" i="2"/>
  <c r="F27" i="2"/>
  <c r="M26" i="2"/>
  <c r="L26" i="2"/>
  <c r="G26" i="2"/>
  <c r="F26" i="2"/>
  <c r="G25" i="2"/>
  <c r="F25" i="2"/>
  <c r="D25" i="2"/>
  <c r="K24" i="2"/>
  <c r="G24" i="2"/>
  <c r="F24" i="2"/>
  <c r="G23" i="2"/>
  <c r="F23" i="2"/>
  <c r="K22" i="2"/>
  <c r="G22" i="2"/>
  <c r="F22" i="2"/>
  <c r="G21" i="2"/>
  <c r="F21" i="2"/>
  <c r="M20" i="2"/>
  <c r="L20" i="2"/>
  <c r="G20" i="2"/>
  <c r="F20" i="2"/>
  <c r="M19" i="2"/>
  <c r="L19" i="2"/>
  <c r="G19" i="2"/>
  <c r="F19" i="2"/>
  <c r="G18" i="2"/>
  <c r="F18" i="2"/>
  <c r="K17" i="2"/>
  <c r="M12" i="2" s="1"/>
  <c r="D17" i="2"/>
  <c r="M11" i="2"/>
  <c r="M7" i="2"/>
  <c r="D7" i="2"/>
  <c r="F7" i="2" s="1"/>
  <c r="M6" i="2"/>
  <c r="D5" i="2"/>
  <c r="C5" i="2"/>
  <c r="C3" i="2" s="1"/>
  <c r="B5" i="2"/>
  <c r="J4" i="2"/>
  <c r="D4" i="2"/>
  <c r="F4" i="2" s="1"/>
  <c r="B4" i="2"/>
  <c r="J3" i="2"/>
  <c r="E30" i="8" l="1"/>
  <c r="H23" i="8"/>
  <c r="C22" i="8"/>
  <c r="J38" i="8"/>
  <c r="D30" i="8"/>
  <c r="K23" i="8"/>
  <c r="F22" i="8"/>
  <c r="I29" i="8"/>
  <c r="J30" i="8"/>
  <c r="D29" i="8"/>
  <c r="D22" i="8"/>
  <c r="F23" i="8"/>
  <c r="M56" i="8"/>
  <c r="I38" i="8"/>
  <c r="M4" i="8"/>
  <c r="F38" i="8"/>
  <c r="J29" i="8"/>
  <c r="G23" i="8"/>
  <c r="B22" i="8"/>
  <c r="I22" i="8"/>
  <c r="F30" i="8"/>
  <c r="I23" i="8"/>
  <c r="C30" i="8"/>
  <c r="B23" i="8"/>
  <c r="K38" i="8"/>
  <c r="M53" i="8"/>
  <c r="G30" i="8"/>
  <c r="B38" i="8"/>
  <c r="F29" i="8"/>
  <c r="C23" i="8"/>
  <c r="E38" i="8"/>
  <c r="H38" i="8"/>
  <c r="B30" i="8"/>
  <c r="E23" i="8"/>
  <c r="E22" i="8"/>
  <c r="I30" i="8"/>
  <c r="C29" i="8"/>
  <c r="G22" i="8"/>
  <c r="E29" i="8"/>
  <c r="H30" i="8"/>
  <c r="B29" i="8"/>
  <c r="J22" i="8"/>
  <c r="K30" i="8"/>
  <c r="D38" i="8"/>
  <c r="H29" i="8"/>
  <c r="H22" i="8"/>
  <c r="L65" i="8"/>
  <c r="L66" i="8"/>
  <c r="F38" i="7"/>
  <c r="G23" i="7"/>
  <c r="F23" i="7"/>
  <c r="H29" i="7"/>
  <c r="E30" i="7"/>
  <c r="H23" i="7"/>
  <c r="C22" i="7"/>
  <c r="I22" i="7"/>
  <c r="J38" i="7"/>
  <c r="D30" i="7"/>
  <c r="K23" i="7"/>
  <c r="F22" i="7"/>
  <c r="J23" i="7"/>
  <c r="L65" i="7"/>
  <c r="H38" i="7"/>
  <c r="B30" i="7"/>
  <c r="E23" i="7"/>
  <c r="M56" i="7"/>
  <c r="J29" i="7"/>
  <c r="H22" i="7"/>
  <c r="C38" i="7"/>
  <c r="G29" i="7"/>
  <c r="K22" i="7"/>
  <c r="G30" i="7"/>
  <c r="B38" i="7"/>
  <c r="F29" i="7"/>
  <c r="C23" i="7"/>
  <c r="K30" i="7"/>
  <c r="B23" i="7"/>
  <c r="J30" i="7"/>
  <c r="D29" i="7"/>
  <c r="D22" i="7"/>
  <c r="M53" i="7"/>
  <c r="M52" i="7" s="1"/>
  <c r="B22" i="7"/>
  <c r="E38" i="7"/>
  <c r="D38" i="7"/>
  <c r="K38" i="7"/>
  <c r="I30" i="7"/>
  <c r="C29" i="7"/>
  <c r="G22" i="7"/>
  <c r="E29" i="7"/>
  <c r="H30" i="7"/>
  <c r="B29" i="7"/>
  <c r="J22" i="7"/>
  <c r="I29" i="7"/>
  <c r="E22" i="7"/>
  <c r="F30" i="7"/>
  <c r="I23" i="7"/>
  <c r="C30" i="7"/>
  <c r="M3" i="7"/>
  <c r="L23" i="6"/>
  <c r="L65" i="6"/>
  <c r="M4" i="6"/>
  <c r="L22" i="6"/>
  <c r="M56" i="6"/>
  <c r="L66" i="6"/>
  <c r="M66" i="6" s="1"/>
  <c r="M53" i="6"/>
  <c r="J25" i="1"/>
  <c r="C5" i="9"/>
  <c r="C65" i="9"/>
  <c r="D10" i="1"/>
  <c r="G65" i="9"/>
  <c r="H10" i="1"/>
  <c r="K65" i="9"/>
  <c r="L10" i="1"/>
  <c r="C3" i="9"/>
  <c r="L20" i="9"/>
  <c r="L25" i="9"/>
  <c r="L26" i="9"/>
  <c r="D65" i="9"/>
  <c r="E10" i="1"/>
  <c r="H65" i="9"/>
  <c r="I10" i="1"/>
  <c r="L55" i="9"/>
  <c r="L58" i="9"/>
  <c r="M58" i="9" s="1"/>
  <c r="L61" i="9"/>
  <c r="M61" i="9" s="1"/>
  <c r="G11" i="5"/>
  <c r="H17" i="1" s="1"/>
  <c r="H25" i="1" s="1"/>
  <c r="E12" i="5"/>
  <c r="E4" i="9"/>
  <c r="B48" i="9"/>
  <c r="E65" i="9"/>
  <c r="F10" i="1"/>
  <c r="I65" i="9"/>
  <c r="J10" i="1"/>
  <c r="E4" i="5"/>
  <c r="E5" i="5"/>
  <c r="E11" i="5"/>
  <c r="F17" i="1" s="1"/>
  <c r="F25" i="1" s="1"/>
  <c r="I12" i="5"/>
  <c r="L54" i="9"/>
  <c r="M54" i="9" s="1"/>
  <c r="C10" i="1"/>
  <c r="F65" i="9"/>
  <c r="G10" i="1"/>
  <c r="J65" i="9"/>
  <c r="K10" i="1"/>
  <c r="G11" i="4"/>
  <c r="H16" i="1" s="1"/>
  <c r="G12" i="4"/>
  <c r="C11" i="4"/>
  <c r="D16" i="1" s="1"/>
  <c r="K11" i="4"/>
  <c r="L16" i="1" s="1"/>
  <c r="K12" i="4"/>
  <c r="J11" i="4"/>
  <c r="K16" i="1" s="1"/>
  <c r="C9" i="1"/>
  <c r="G9" i="1"/>
  <c r="K9" i="1"/>
  <c r="L9" i="1"/>
  <c r="L24" i="1" s="1"/>
  <c r="D9" i="1"/>
  <c r="H9" i="1"/>
  <c r="C12" i="4"/>
  <c r="I11" i="4"/>
  <c r="J16" i="1" s="1"/>
  <c r="H12" i="4"/>
  <c r="E9" i="1"/>
  <c r="I9" i="1"/>
  <c r="B12" i="4"/>
  <c r="J12" i="4"/>
  <c r="F9" i="1"/>
  <c r="J9" i="1"/>
  <c r="K12" i="2"/>
  <c r="F5" i="2"/>
  <c r="H11" i="2"/>
  <c r="I14" i="1" s="1"/>
  <c r="H12" i="2"/>
  <c r="K12" i="3"/>
  <c r="C8" i="1"/>
  <c r="G8" i="1"/>
  <c r="K8" i="1"/>
  <c r="D8" i="1"/>
  <c r="H8" i="1"/>
  <c r="L8" i="1"/>
  <c r="L23" i="1" s="1"/>
  <c r="F5" i="3"/>
  <c r="I11" i="3"/>
  <c r="J15" i="1" s="1"/>
  <c r="E8" i="1"/>
  <c r="I8" i="1"/>
  <c r="E11" i="3"/>
  <c r="F15" i="1" s="1"/>
  <c r="F4" i="3"/>
  <c r="F8" i="1"/>
  <c r="J8" i="1"/>
  <c r="E7" i="1"/>
  <c r="I7" i="1"/>
  <c r="C12" i="2"/>
  <c r="I11" i="2"/>
  <c r="J14" i="1" s="1"/>
  <c r="K11" i="2"/>
  <c r="L14" i="1" s="1"/>
  <c r="L22" i="1" s="1"/>
  <c r="E12" i="2"/>
  <c r="F7" i="1"/>
  <c r="J7" i="1"/>
  <c r="G12" i="2"/>
  <c r="C7" i="1"/>
  <c r="G7" i="1"/>
  <c r="K7" i="1"/>
  <c r="D7" i="1"/>
  <c r="H7" i="1"/>
  <c r="L7" i="1"/>
  <c r="M55" i="9"/>
  <c r="L4" i="9"/>
  <c r="E3" i="9"/>
  <c r="L51" i="9"/>
  <c r="H62" i="9" s="1"/>
  <c r="L53" i="9"/>
  <c r="L56" i="9"/>
  <c r="M57" i="9"/>
  <c r="M60" i="9"/>
  <c r="L59" i="9"/>
  <c r="M59" i="9" s="1"/>
  <c r="A12" i="9"/>
  <c r="M51" i="9"/>
  <c r="B65" i="9"/>
  <c r="B66" i="9"/>
  <c r="J3" i="9"/>
  <c r="G44" i="9"/>
  <c r="E29" i="9"/>
  <c r="N14" i="9"/>
  <c r="I29" i="9" s="1"/>
  <c r="G22" i="9"/>
  <c r="D23" i="9"/>
  <c r="C29" i="9"/>
  <c r="K29" i="9"/>
  <c r="I30" i="9"/>
  <c r="G38" i="9"/>
  <c r="D44" i="9"/>
  <c r="B45" i="9"/>
  <c r="F4" i="5"/>
  <c r="C11" i="5"/>
  <c r="D17" i="1" s="1"/>
  <c r="D25" i="1" s="1"/>
  <c r="K11" i="5"/>
  <c r="L17" i="1" s="1"/>
  <c r="L25" i="1" s="1"/>
  <c r="C12" i="5"/>
  <c r="G12" i="5"/>
  <c r="D11" i="5"/>
  <c r="E17" i="1" s="1"/>
  <c r="E25" i="1" s="1"/>
  <c r="H11" i="5"/>
  <c r="I17" i="1" s="1"/>
  <c r="I25" i="1" s="1"/>
  <c r="D12" i="5"/>
  <c r="H12" i="5"/>
  <c r="B11" i="5"/>
  <c r="C17" i="1" s="1"/>
  <c r="F11" i="5"/>
  <c r="G17" i="1" s="1"/>
  <c r="G25" i="1" s="1"/>
  <c r="J11" i="5"/>
  <c r="K17" i="1" s="1"/>
  <c r="B12" i="5"/>
  <c r="F12" i="5"/>
  <c r="J12" i="5"/>
  <c r="D11" i="4"/>
  <c r="E16" i="1" s="1"/>
  <c r="E24" i="1" s="1"/>
  <c r="D12" i="4"/>
  <c r="D3" i="4"/>
  <c r="E3" i="4" s="1"/>
  <c r="I12" i="4"/>
  <c r="H11" i="4"/>
  <c r="I16" i="1" s="1"/>
  <c r="I24" i="1" s="1"/>
  <c r="E11" i="4"/>
  <c r="F16" i="1" s="1"/>
  <c r="E12" i="4"/>
  <c r="B11" i="4"/>
  <c r="C16" i="1" s="1"/>
  <c r="F11" i="4"/>
  <c r="G16" i="1" s="1"/>
  <c r="G24" i="1" s="1"/>
  <c r="F12" i="4"/>
  <c r="D3" i="3"/>
  <c r="B11" i="3"/>
  <c r="C15" i="1" s="1"/>
  <c r="D11" i="3"/>
  <c r="E15" i="1" s="1"/>
  <c r="E23" i="1" s="1"/>
  <c r="H11" i="3"/>
  <c r="I15" i="1" s="1"/>
  <c r="D12" i="3"/>
  <c r="H12" i="3"/>
  <c r="I12" i="3"/>
  <c r="F11" i="3"/>
  <c r="G15" i="1" s="1"/>
  <c r="G23" i="1" s="1"/>
  <c r="J11" i="3"/>
  <c r="K15" i="1" s="1"/>
  <c r="K23" i="1" s="1"/>
  <c r="B12" i="3"/>
  <c r="F12" i="3"/>
  <c r="J12" i="3"/>
  <c r="C11" i="3"/>
  <c r="D15" i="1" s="1"/>
  <c r="G11" i="3"/>
  <c r="H15" i="1" s="1"/>
  <c r="C12" i="3"/>
  <c r="G12" i="3"/>
  <c r="D3" i="2"/>
  <c r="E3" i="2" s="1"/>
  <c r="E11" i="2"/>
  <c r="F14" i="1" s="1"/>
  <c r="I12" i="2"/>
  <c r="B11" i="2"/>
  <c r="C14" i="1" s="1"/>
  <c r="F11" i="2"/>
  <c r="G14" i="1" s="1"/>
  <c r="G22" i="1" s="1"/>
  <c r="J11" i="2"/>
  <c r="K14" i="1" s="1"/>
  <c r="K22" i="1" s="1"/>
  <c r="B12" i="2"/>
  <c r="F12" i="2"/>
  <c r="J12" i="2"/>
  <c r="G11" i="2"/>
  <c r="H14" i="1" s="1"/>
  <c r="D11" i="2"/>
  <c r="E14" i="1" s="1"/>
  <c r="E22" i="1" s="1"/>
  <c r="D12" i="2"/>
  <c r="C11" i="2"/>
  <c r="D14" i="1" s="1"/>
  <c r="M10" i="1"/>
  <c r="K25" i="1"/>
  <c r="F24" i="1" l="1"/>
  <c r="M65" i="8"/>
  <c r="L64" i="8"/>
  <c r="L23" i="8"/>
  <c r="D24" i="1"/>
  <c r="M52" i="8"/>
  <c r="L22" i="8"/>
  <c r="K24" i="1"/>
  <c r="M66" i="8"/>
  <c r="L23" i="7"/>
  <c r="L22" i="7"/>
  <c r="M65" i="7"/>
  <c r="L64" i="7"/>
  <c r="M66" i="7"/>
  <c r="D23" i="1"/>
  <c r="M52" i="6"/>
  <c r="L64" i="6"/>
  <c r="M65" i="6"/>
  <c r="H22" i="1"/>
  <c r="D22" i="1"/>
  <c r="I22" i="1"/>
  <c r="E45" i="9"/>
  <c r="F38" i="9"/>
  <c r="F29" i="9"/>
  <c r="F22" i="9"/>
  <c r="E38" i="9"/>
  <c r="G45" i="9"/>
  <c r="J30" i="9"/>
  <c r="I23" i="9"/>
  <c r="H45" i="9"/>
  <c r="B44" i="9"/>
  <c r="M17" i="1"/>
  <c r="C25" i="1"/>
  <c r="H44" i="9"/>
  <c r="C38" i="9"/>
  <c r="G29" i="9"/>
  <c r="K22" i="9"/>
  <c r="G30" i="9"/>
  <c r="K44" i="9"/>
  <c r="B38" i="9"/>
  <c r="K23" i="9"/>
  <c r="B22" i="9"/>
  <c r="J23" i="9"/>
  <c r="I44" i="9"/>
  <c r="F30" i="9"/>
  <c r="E23" i="9"/>
  <c r="I38" i="9"/>
  <c r="L3" i="9"/>
  <c r="M3" i="9" s="1"/>
  <c r="D30" i="9"/>
  <c r="G23" i="9"/>
  <c r="B23" i="9"/>
  <c r="E44" i="9"/>
  <c r="B30" i="9"/>
  <c r="D22" i="9"/>
  <c r="K30" i="9"/>
  <c r="J45" i="9"/>
  <c r="F45" i="9"/>
  <c r="K38" i="9"/>
  <c r="E30" i="9"/>
  <c r="H23" i="9"/>
  <c r="C22" i="9"/>
  <c r="I22" i="9"/>
  <c r="J38" i="9"/>
  <c r="J29" i="9"/>
  <c r="C23" i="9"/>
  <c r="F44" i="9"/>
  <c r="E22" i="9"/>
  <c r="K45" i="9"/>
  <c r="H38" i="9"/>
  <c r="D29" i="9"/>
  <c r="C30" i="9"/>
  <c r="J24" i="1"/>
  <c r="H24" i="1"/>
  <c r="M16" i="1"/>
  <c r="C24" i="1"/>
  <c r="E5" i="4"/>
  <c r="M9" i="1"/>
  <c r="E4" i="4"/>
  <c r="L12" i="4"/>
  <c r="J23" i="1"/>
  <c r="H23" i="1"/>
  <c r="I23" i="1"/>
  <c r="F22" i="1"/>
  <c r="J22" i="1"/>
  <c r="L12" i="2"/>
  <c r="M15" i="1"/>
  <c r="C23" i="1"/>
  <c r="F23" i="1"/>
  <c r="M8" i="1"/>
  <c r="C22" i="1"/>
  <c r="M14" i="1"/>
  <c r="E5" i="2"/>
  <c r="M7" i="1"/>
  <c r="L66" i="9"/>
  <c r="I45" i="9"/>
  <c r="C44" i="9"/>
  <c r="H30" i="9"/>
  <c r="B29" i="9"/>
  <c r="J22" i="9"/>
  <c r="D45" i="9"/>
  <c r="F23" i="9"/>
  <c r="L65" i="9"/>
  <c r="C45" i="9"/>
  <c r="D38" i="9"/>
  <c r="H29" i="9"/>
  <c r="H22" i="9"/>
  <c r="J44" i="9"/>
  <c r="M56" i="9"/>
  <c r="M4" i="9"/>
  <c r="L23" i="9"/>
  <c r="M53" i="9"/>
  <c r="L11" i="5"/>
  <c r="L12" i="5"/>
  <c r="L11" i="4"/>
  <c r="L12" i="3"/>
  <c r="L11" i="3"/>
  <c r="E3" i="3"/>
  <c r="E5" i="3"/>
  <c r="E4" i="3"/>
  <c r="L11" i="2"/>
  <c r="E4" i="2"/>
  <c r="M64" i="8" l="1"/>
  <c r="K67" i="8"/>
  <c r="I68" i="8"/>
  <c r="E67" i="8"/>
  <c r="G68" i="8"/>
  <c r="D68" i="8"/>
  <c r="F68" i="8"/>
  <c r="I67" i="8"/>
  <c r="K68" i="8"/>
  <c r="B67" i="8"/>
  <c r="H68" i="8"/>
  <c r="J68" i="8"/>
  <c r="F67" i="8"/>
  <c r="E68" i="8"/>
  <c r="B68" i="8"/>
  <c r="J67" i="8"/>
  <c r="G67" i="8"/>
  <c r="C68" i="8"/>
  <c r="D67" i="8"/>
  <c r="C67" i="8"/>
  <c r="H67" i="8"/>
  <c r="M64" i="7"/>
  <c r="F68" i="7"/>
  <c r="I67" i="7"/>
  <c r="D68" i="7"/>
  <c r="K67" i="7"/>
  <c r="J68" i="7"/>
  <c r="H68" i="7"/>
  <c r="E68" i="7"/>
  <c r="I68" i="7"/>
  <c r="E67" i="7"/>
  <c r="K68" i="7"/>
  <c r="J67" i="7"/>
  <c r="B68" i="7"/>
  <c r="F67" i="7"/>
  <c r="G67" i="7"/>
  <c r="B67" i="7"/>
  <c r="G68" i="7"/>
  <c r="C68" i="7"/>
  <c r="C67" i="7"/>
  <c r="D67" i="7"/>
  <c r="H67" i="7"/>
  <c r="M64" i="6"/>
  <c r="D67" i="6"/>
  <c r="F68" i="6"/>
  <c r="G68" i="6"/>
  <c r="F67" i="6"/>
  <c r="H67" i="6"/>
  <c r="J68" i="6"/>
  <c r="K68" i="6"/>
  <c r="J67" i="6"/>
  <c r="I67" i="6"/>
  <c r="D68" i="6"/>
  <c r="C68" i="6"/>
  <c r="H68" i="6"/>
  <c r="G67" i="6"/>
  <c r="I68" i="6"/>
  <c r="E67" i="6"/>
  <c r="B67" i="6"/>
  <c r="B68" i="6"/>
  <c r="C67" i="6"/>
  <c r="K67" i="6"/>
  <c r="E68" i="6"/>
  <c r="M52" i="9"/>
  <c r="L22" i="9"/>
  <c r="M65" i="9"/>
  <c r="L64" i="9"/>
  <c r="M66" i="9"/>
  <c r="M64" i="9" l="1"/>
  <c r="G67" i="9"/>
  <c r="C68" i="9"/>
  <c r="H68" i="9"/>
  <c r="K67" i="9"/>
  <c r="G68" i="9"/>
  <c r="F68" i="9"/>
  <c r="F67" i="9"/>
  <c r="H67" i="9"/>
  <c r="E68" i="9"/>
  <c r="E67" i="9"/>
  <c r="K68" i="9"/>
  <c r="J68" i="9"/>
  <c r="J67" i="9"/>
  <c r="C67" i="9"/>
  <c r="I68" i="9"/>
  <c r="I67" i="9"/>
  <c r="D68" i="9"/>
  <c r="D67" i="9"/>
  <c r="B68" i="9"/>
  <c r="B67" i="9"/>
</calcChain>
</file>

<file path=xl/comments1.xml><?xml version="1.0" encoding="utf-8"?>
<comments xmlns="http://schemas.openxmlformats.org/spreadsheetml/2006/main">
  <authors>
    <author>MES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comments2.xml><?xml version="1.0" encoding="utf-8"?>
<comments xmlns="http://schemas.openxmlformats.org/spreadsheetml/2006/main">
  <authors>
    <author>MES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comments3.xml><?xml version="1.0" encoding="utf-8"?>
<comments xmlns="http://schemas.openxmlformats.org/spreadsheetml/2006/main">
  <authors>
    <author>MES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comments4.xml><?xml version="1.0" encoding="utf-8"?>
<comments xmlns="http://schemas.openxmlformats.org/spreadsheetml/2006/main">
  <authors>
    <author>MES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sharedStrings.xml><?xml version="1.0" encoding="utf-8"?>
<sst xmlns="http://schemas.openxmlformats.org/spreadsheetml/2006/main" count="1234" uniqueCount="247">
  <si>
    <t>Según Resolución AN No. 8068-Elec del 20 de noviembre de 2014</t>
  </si>
  <si>
    <t>Ingreso Total Previsto por CUSPT (Seguimiento Eléctrico + Estampilla Postal)  [ kB/. ]</t>
  </si>
  <si>
    <t>Zona:</t>
  </si>
  <si>
    <t>Total</t>
  </si>
  <si>
    <t>AT1</t>
  </si>
  <si>
    <t>GEN</t>
  </si>
  <si>
    <t>AT2</t>
  </si>
  <si>
    <t>AT3</t>
  </si>
  <si>
    <t>AT4</t>
  </si>
  <si>
    <t>Capacidad Instalada de Generación (Cinst) [ MW ]</t>
  </si>
  <si>
    <t xml:space="preserve"> Cinst (G)</t>
  </si>
  <si>
    <t>CUSPT equivalentes  [ B/. / kW-mes ]</t>
  </si>
  <si>
    <t>Año Tarifario:</t>
  </si>
  <si>
    <t>2017-2018</t>
  </si>
  <si>
    <t>IP SPT P  (k B/.)</t>
  </si>
  <si>
    <t>Longitud  (km)</t>
  </si>
  <si>
    <t>CU</t>
  </si>
  <si>
    <t>Total:</t>
  </si>
  <si>
    <t>(kB/./km)</t>
  </si>
  <si>
    <t>%ASIGP (G) =</t>
  </si>
  <si>
    <t xml:space="preserve">230 kV </t>
  </si>
  <si>
    <t>%ASIGP (D) =</t>
  </si>
  <si>
    <t xml:space="preserve">115 kV </t>
  </si>
  <si>
    <r>
      <t xml:space="preserve">  </t>
    </r>
    <r>
      <rPr>
        <b/>
        <i/>
        <sz val="10"/>
        <color indexed="63"/>
        <rFont val="Times New Roman"/>
        <family val="1"/>
      </rPr>
      <t>* Energía Semestral Estimada</t>
    </r>
    <r>
      <rPr>
        <i/>
        <sz val="10"/>
        <color indexed="63"/>
        <rFont val="Times New Roman"/>
        <family val="1"/>
      </rPr>
      <t xml:space="preserve"> (indicativo de demanda) =</t>
    </r>
  </si>
  <si>
    <t>(GWh)</t>
  </si>
  <si>
    <t>IP SPT D:</t>
  </si>
  <si>
    <t>(230 kV)</t>
  </si>
  <si>
    <t>Generación =</t>
  </si>
  <si>
    <r>
      <t xml:space="preserve">Capacidad instalada de generación </t>
    </r>
    <r>
      <rPr>
        <sz val="10"/>
        <color indexed="56"/>
        <rFont val="Times New Roman"/>
        <family val="1"/>
      </rPr>
      <t xml:space="preserve">(Pinst) y </t>
    </r>
    <r>
      <rPr>
        <b/>
        <sz val="10"/>
        <color indexed="56"/>
        <rFont val="Times New Roman"/>
        <family val="1"/>
      </rPr>
      <t>Demanda máxima no coincidente</t>
    </r>
    <r>
      <rPr>
        <sz val="10"/>
        <color indexed="56"/>
        <rFont val="Times New Roman"/>
        <family val="1"/>
      </rPr>
      <t xml:space="preserve"> prevista anual (Pma) en MW por Zona</t>
    </r>
  </si>
  <si>
    <t>ZONA</t>
  </si>
  <si>
    <t>Pinst (G)</t>
  </si>
  <si>
    <t>Pma (D)</t>
  </si>
  <si>
    <t xml:space="preserve">   Capacidad Instalada  (MW)</t>
  </si>
  <si>
    <t xml:space="preserve">   Demanda Máxima No Coincidente  (MW)</t>
  </si>
  <si>
    <t>Zona</t>
  </si>
  <si>
    <t>Nodo</t>
  </si>
  <si>
    <t>Mes de Ingreso</t>
  </si>
  <si>
    <t>Baitún</t>
  </si>
  <si>
    <t>EDECHI</t>
  </si>
  <si>
    <t>Bajo de Mina</t>
  </si>
  <si>
    <t>Progreso (34-41/42)</t>
  </si>
  <si>
    <t>La Potra</t>
  </si>
  <si>
    <t>Charco Azul</t>
  </si>
  <si>
    <t>Salsipuedes</t>
  </si>
  <si>
    <t>…</t>
  </si>
  <si>
    <t>Sol de David</t>
  </si>
  <si>
    <t>Solar Caldera</t>
  </si>
  <si>
    <t>Fortuna</t>
  </si>
  <si>
    <t>Caldera 115-19</t>
  </si>
  <si>
    <t>Estí</t>
  </si>
  <si>
    <t>Gualaca</t>
  </si>
  <si>
    <t>Lorena</t>
  </si>
  <si>
    <t>Prudencia</t>
  </si>
  <si>
    <t>S/E Chiriqui</t>
  </si>
  <si>
    <t>Mata Nance 34-10/11/15 - S/E San Cristobal</t>
  </si>
  <si>
    <t>La Estrella</t>
  </si>
  <si>
    <t>Los Valles</t>
  </si>
  <si>
    <t>EDEMET</t>
  </si>
  <si>
    <t>Mendre</t>
  </si>
  <si>
    <t>Llano Sánchez - El Higo</t>
  </si>
  <si>
    <t>Cochea</t>
  </si>
  <si>
    <t>GRANDES CLIENTES</t>
  </si>
  <si>
    <t>Mendre II</t>
  </si>
  <si>
    <t>Super 99</t>
  </si>
  <si>
    <t>Los Algarrobos</t>
  </si>
  <si>
    <t>Hotel Bijao</t>
  </si>
  <si>
    <t>Varela (Fábrica de Pesé)</t>
  </si>
  <si>
    <t>Concepción</t>
  </si>
  <si>
    <t>Macano</t>
  </si>
  <si>
    <t>Paso Ancho</t>
  </si>
  <si>
    <t>Panamá Oeste</t>
  </si>
  <si>
    <t>Los Planetas</t>
  </si>
  <si>
    <t>Pedregalito</t>
  </si>
  <si>
    <t>Pedregalito II</t>
  </si>
  <si>
    <t>Cemento Interoceánico</t>
  </si>
  <si>
    <t>RP-490</t>
  </si>
  <si>
    <t>Macho de Monte</t>
  </si>
  <si>
    <t>Dolega</t>
  </si>
  <si>
    <t>ENSA</t>
  </si>
  <si>
    <t>Las Perlas Norte</t>
  </si>
  <si>
    <t>Panamá</t>
  </si>
  <si>
    <t>Las Perlas Sur</t>
  </si>
  <si>
    <t>Panamá 2</t>
  </si>
  <si>
    <t>San Lorenzo</t>
  </si>
  <si>
    <t>Monte Lirio</t>
  </si>
  <si>
    <t>Bugaba I</t>
  </si>
  <si>
    <t>Bugaba II</t>
  </si>
  <si>
    <t>El Alto</t>
  </si>
  <si>
    <t>CEMEX</t>
  </si>
  <si>
    <t>Bajo del Totumo</t>
  </si>
  <si>
    <t>Contraloría</t>
  </si>
  <si>
    <t>Los Planetas II</t>
  </si>
  <si>
    <t>Solar Chiriqui</t>
  </si>
  <si>
    <t>General Mills</t>
  </si>
  <si>
    <t xml:space="preserve">Las Cruces </t>
  </si>
  <si>
    <t>AVIPAC</t>
  </si>
  <si>
    <t>Barro Blanco</t>
  </si>
  <si>
    <t>Embajada de Estados Unidos</t>
  </si>
  <si>
    <t>Hidro Piedra</t>
  </si>
  <si>
    <t>CSS (CHAAM)</t>
  </si>
  <si>
    <t>Solar Bugaba</t>
  </si>
  <si>
    <t>Varela (Cía. Panameña de Licores)</t>
  </si>
  <si>
    <t>La Cuchilla</t>
  </si>
  <si>
    <t>El Fraile</t>
  </si>
  <si>
    <t>24 de Diciembre</t>
  </si>
  <si>
    <t>El Fraile Und 3</t>
  </si>
  <si>
    <t>La Yeguada</t>
  </si>
  <si>
    <t>Don Felix</t>
  </si>
  <si>
    <t>Don Felix Et2</t>
  </si>
  <si>
    <t>Colón</t>
  </si>
  <si>
    <t>Sarigua</t>
  </si>
  <si>
    <t>Solar Divisa</t>
  </si>
  <si>
    <t>Argos Panamá, S.A.</t>
  </si>
  <si>
    <t>Farrallon Solar</t>
  </si>
  <si>
    <t>Cocle Solar</t>
  </si>
  <si>
    <t>El Fraile Solar 1</t>
  </si>
  <si>
    <t>Solar Cocle</t>
  </si>
  <si>
    <t>Solar Paris</t>
  </si>
  <si>
    <t>PTP-Cañazas</t>
  </si>
  <si>
    <t>Solar Los Angeles</t>
  </si>
  <si>
    <t xml:space="preserve">OER (Changuinola) </t>
  </si>
  <si>
    <t>CHA 34.5</t>
  </si>
  <si>
    <t>Sol Real</t>
  </si>
  <si>
    <t>Bocas del Toro</t>
  </si>
  <si>
    <t>El Espinal</t>
  </si>
  <si>
    <t>Vista Alegre</t>
  </si>
  <si>
    <t>Milton Solar</t>
  </si>
  <si>
    <t>Nuevo Chagres</t>
  </si>
  <si>
    <t>Marañón</t>
  </si>
  <si>
    <t>Rosa de los vientos</t>
  </si>
  <si>
    <t>Nuevo Chagres 2</t>
  </si>
  <si>
    <t>Portobelo</t>
  </si>
  <si>
    <t>Antón</t>
  </si>
  <si>
    <t>La Mata</t>
  </si>
  <si>
    <t>Pocri</t>
  </si>
  <si>
    <t>Estrella Solar</t>
  </si>
  <si>
    <t>Panam</t>
  </si>
  <si>
    <t>Panam Amp</t>
  </si>
  <si>
    <t>Miraflores</t>
  </si>
  <si>
    <t>El Giral</t>
  </si>
  <si>
    <t>URBALIA Cerro Patacon</t>
  </si>
  <si>
    <t>Costa Norte</t>
  </si>
  <si>
    <t>Bayano</t>
  </si>
  <si>
    <t>BLM Ciclo Combinado</t>
  </si>
  <si>
    <t>BLM Carbón</t>
  </si>
  <si>
    <t>Cativá</t>
  </si>
  <si>
    <t>Termo-Colón Ciclo Combinado</t>
  </si>
  <si>
    <t>Pacora</t>
  </si>
  <si>
    <t>Estrella de Mar I (Barcaza)</t>
  </si>
  <si>
    <t>Jinro</t>
  </si>
  <si>
    <t>Kanam</t>
  </si>
  <si>
    <t>Changuinola</t>
  </si>
  <si>
    <t>Bonyic</t>
  </si>
  <si>
    <t xml:space="preserve"> </t>
  </si>
  <si>
    <t>2018-2019</t>
  </si>
  <si>
    <t>San Andres</t>
  </si>
  <si>
    <t>El Alto G4</t>
  </si>
  <si>
    <t>Pando</t>
  </si>
  <si>
    <t>chuspa</t>
  </si>
  <si>
    <t>colorado</t>
  </si>
  <si>
    <t>PanaSolar</t>
  </si>
  <si>
    <t>Energyst El Sanchez</t>
  </si>
  <si>
    <t>Jaguito Solar</t>
  </si>
  <si>
    <t>Toabre Et1</t>
  </si>
  <si>
    <t>Penonome III</t>
  </si>
  <si>
    <t>2019-2020</t>
  </si>
  <si>
    <t>Burica</t>
  </si>
  <si>
    <t>La huaca</t>
  </si>
  <si>
    <t>Martano</t>
  </si>
  <si>
    <t>2020-2021</t>
  </si>
  <si>
    <t>Terlfers</t>
  </si>
  <si>
    <t>IPSPEGyD  (k B/.)</t>
  </si>
  <si>
    <t>CUP</t>
  </si>
  <si>
    <t>(k B/.)</t>
  </si>
  <si>
    <t>IPSPED:</t>
  </si>
  <si>
    <t>Mes Tarifario: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</si>
  <si>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</si>
  <si>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</si>
  <si>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</si>
  <si>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</si>
  <si>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</si>
  <si>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</si>
  <si>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</si>
  <si>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</si>
  <si>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</si>
  <si>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</si>
  <si>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</si>
  <si>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</si>
  <si>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</si>
  <si>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</si>
  <si>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</si>
  <si>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</si>
  <si>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</si>
  <si>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</si>
  <si>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</si>
  <si>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</si>
  <si>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</si>
  <si>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</si>
  <si>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</si>
  <si>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</si>
  <si>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Periodo Est.:</t>
  </si>
  <si>
    <t>Lluv.</t>
  </si>
  <si>
    <t>Seco</t>
  </si>
  <si>
    <t>Te (Hs/Mes):</t>
  </si>
  <si>
    <t>Te / 8760 =</t>
  </si>
  <si>
    <t>Principales Referencias</t>
  </si>
  <si>
    <t>Progreso Baitún</t>
  </si>
  <si>
    <t>Fortuna Guasquitas</t>
  </si>
  <si>
    <t>Caldera L.Estrella</t>
  </si>
  <si>
    <t>Mata Nance Boquerón 3</t>
  </si>
  <si>
    <t>Ll.Sánchez   El Higo</t>
  </si>
  <si>
    <t>Chorrera      Pan-Am</t>
  </si>
  <si>
    <t>Panamá Pacora</t>
  </si>
  <si>
    <t>Bayano Cañitas</t>
  </si>
  <si>
    <t>T.Colón L.Minas</t>
  </si>
  <si>
    <t>Changinola Cañazas</t>
  </si>
  <si>
    <t>Capacidad instalada de generación (Cinst) y Demanda máxima no coincidente prevista anual (Pma) en MW por Zona</t>
  </si>
  <si>
    <t>Cinst (G)</t>
  </si>
  <si>
    <t>Despacho de potencia promedio anual previsto (MW)</t>
  </si>
  <si>
    <t>Pg (G)</t>
  </si>
  <si>
    <t>Pd (D)</t>
  </si>
  <si>
    <t>Despacho de energia anual previsto por zona (GWh)</t>
  </si>
  <si>
    <t>Eg (G)</t>
  </si>
  <si>
    <t>Ed (D)</t>
  </si>
  <si>
    <r>
      <rPr>
        <b/>
        <sz val="10"/>
        <rFont val="Times New Roman"/>
        <family val="1"/>
      </rPr>
      <t>CXUSOPS  (B/. / MWh)</t>
    </r>
    <r>
      <rPr>
        <sz val="10"/>
        <rFont val="Times New Roman"/>
        <family val="1"/>
      </rPr>
      <t>:  Seg. Electrico x uso red</t>
    </r>
  </si>
  <si>
    <t>DEM</t>
  </si>
  <si>
    <r>
      <rPr>
        <b/>
        <sz val="10"/>
        <rFont val="Times New Roman"/>
        <family val="1"/>
      </rPr>
      <t>CXUSOPE  (B/. / kW)</t>
    </r>
    <r>
      <rPr>
        <sz val="10"/>
        <rFont val="Times New Roman"/>
        <family val="1"/>
      </rPr>
      <t>:  Est. Postal x capacidad remanente</t>
    </r>
  </si>
  <si>
    <t>GEN =</t>
  </si>
  <si>
    <t>DEM =</t>
  </si>
  <si>
    <r>
      <rPr>
        <b/>
        <sz val="10"/>
        <rFont val="Times New Roman"/>
        <family val="1"/>
      </rPr>
      <t>CXCADIC  (B/. / kW)</t>
    </r>
    <r>
      <rPr>
        <sz val="10"/>
        <rFont val="Times New Roman"/>
        <family val="1"/>
      </rPr>
      <t>:  Est. Postal x no pago zonas 6, 7 y 9</t>
    </r>
  </si>
  <si>
    <r>
      <rPr>
        <b/>
        <sz val="10"/>
        <rFont val="Times New Roman"/>
        <family val="1"/>
      </rPr>
      <t>CXUSODS  (B/. / MWh)</t>
    </r>
    <r>
      <rPr>
        <sz val="10"/>
        <rFont val="Times New Roman"/>
        <family val="1"/>
      </rPr>
      <t>:  Seg. Electrico x uso equipamiento asociado totalmente a la demanda</t>
    </r>
  </si>
  <si>
    <r>
      <rPr>
        <b/>
        <sz val="10"/>
        <rFont val="Times New Roman"/>
        <family val="1"/>
      </rPr>
      <t>CXUSODE  (B/. / kW)</t>
    </r>
    <r>
      <rPr>
        <sz val="10"/>
        <rFont val="Times New Roman"/>
        <family val="1"/>
      </rPr>
      <t>:  Est. Postal x equipamiento asociado totalmente a la demanda</t>
    </r>
  </si>
  <si>
    <t>TOTAL  CXUSO_S  (B/. / MWh):  Seg. Electrico</t>
  </si>
  <si>
    <t>TOTAL  CXUSO_E  (B/. / kW - año):  Est. Postal</t>
  </si>
  <si>
    <t>Recaudación prevista por cargos  (kB/.)</t>
  </si>
  <si>
    <t>CXUSOPS :  Seg. Electrico x uso red</t>
  </si>
  <si>
    <t>CXUSOPE:  Est. Postal x capacidad remanente</t>
  </si>
  <si>
    <t>CXUSOD:  cargos x equipamiento asociado totalmente a la demanda</t>
  </si>
  <si>
    <t>Seg.Elec.</t>
  </si>
  <si>
    <t>Est.Post.</t>
  </si>
  <si>
    <t>CADIC:  monto anual zonas 6, 7 y 9 equivalente al cargo adicional =</t>
  </si>
  <si>
    <t>TOTAL  (kB/.)</t>
  </si>
  <si>
    <t xml:space="preserve">Los Ingresos y las capacidades de los agentes generadores del Periodo Tarifario 2017-2021 son preliminares y están a la espera que sea aprobado el Pliego Tarifario de ETESA. </t>
  </si>
  <si>
    <t>CARGOS EQUIVALENTES PRELIMINARES</t>
  </si>
  <si>
    <t xml:space="preserve">Los Cargos se consideran preliminares ya que se está a la espera de la Aprobación del Pliego tarifario de ETESA para el nuevo Periodo 2017-2021. </t>
  </si>
  <si>
    <t>PRELIMINARES ( a la espera de ser aprobado el Pliego Tarifario)</t>
  </si>
  <si>
    <t>CARGO EQUIVALENTE POR USO DEL SISTEMA DE TRANSMISIÓN PARA GENERADORES-PERIODO TARIFARIO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</si>
</sst>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0.0%"/>
    <numFmt numFmtId="167" formatCode="#,##0.0"/>
    <numFmt numFmtId="168" formatCode="0.0"/>
    <numFmt numFmtId="169" formatCode="#,##0.000"/>
    <numFmt numFmtId="170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 tint="0.34998626667073579"/>
      <name val="Times New Roman"/>
      <family val="1"/>
    </font>
    <font>
      <b/>
      <i/>
      <sz val="14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3"/>
      <name val="Times New Roman"/>
      <family val="1"/>
    </font>
    <font>
      <i/>
      <sz val="10"/>
      <color theme="1" tint="0.499984740745262"/>
      <name val="Times New Roman"/>
      <family val="1"/>
    </font>
    <font>
      <b/>
      <i/>
      <sz val="10"/>
      <color theme="4"/>
      <name val="Times New Roman"/>
      <family val="1"/>
    </font>
    <font>
      <sz val="10"/>
      <color theme="4"/>
      <name val="Times New Roman"/>
      <family val="1"/>
    </font>
    <font>
      <sz val="10"/>
      <name val="Times New Roman"/>
      <family val="1"/>
    </font>
    <font>
      <i/>
      <sz val="10"/>
      <color theme="4"/>
      <name val="Times New Roman"/>
      <family val="1"/>
    </font>
    <font>
      <i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color theme="3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9"/>
      <color theme="1" tint="0.499984740745262"/>
      <name val="Times New Roman"/>
      <family val="1"/>
    </font>
    <font>
      <sz val="9"/>
      <color theme="3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B05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i/>
      <sz val="9"/>
      <color theme="1" tint="0.499984740745262"/>
      <name val="Times New Roman"/>
      <family val="1"/>
    </font>
    <font>
      <sz val="9"/>
      <name val="Times New Roman"/>
      <family val="1"/>
    </font>
    <font>
      <i/>
      <sz val="9"/>
      <color theme="4"/>
      <name val="Times New Roman"/>
      <family val="1"/>
    </font>
    <font>
      <b/>
      <i/>
      <sz val="10"/>
      <name val="Times New Roman"/>
      <family val="1"/>
    </font>
    <font>
      <b/>
      <i/>
      <sz val="11"/>
      <color theme="3"/>
      <name val="Times New Roman"/>
      <family val="1"/>
    </font>
    <font>
      <b/>
      <i/>
      <sz val="11"/>
      <name val="Times New Roman"/>
      <family val="1"/>
    </font>
    <font>
      <i/>
      <sz val="11"/>
      <color theme="4"/>
      <name val="Times New Roman"/>
      <family val="1"/>
    </font>
    <font>
      <sz val="11"/>
      <name val="Times New Roman"/>
      <family val="1"/>
    </font>
    <font>
      <b/>
      <i/>
      <sz val="9"/>
      <color theme="7" tint="-0.249977111117893"/>
      <name val="Times New Roman"/>
      <family val="1"/>
    </font>
    <font>
      <b/>
      <sz val="9"/>
      <color theme="7" tint="-0.249977111117893"/>
      <name val="Times New Roman"/>
      <family val="1"/>
    </font>
    <font>
      <b/>
      <i/>
      <sz val="11"/>
      <color theme="4" tint="-0.499984740745262"/>
      <name val="Times New Roman"/>
      <family val="1"/>
    </font>
    <font>
      <i/>
      <sz val="10"/>
      <color theme="4" tint="-0.499984740745262"/>
      <name val="Times New Roman"/>
      <family val="1"/>
    </font>
    <font>
      <b/>
      <i/>
      <sz val="9"/>
      <color theme="4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0"/>
      <color theme="4"/>
      <name val="Times New Roman"/>
      <family val="1"/>
    </font>
    <font>
      <b/>
      <i/>
      <sz val="10"/>
      <color theme="4" tint="-0.499984740745262"/>
      <name val="Times New Roman"/>
      <family val="1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3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0" tint="-0.149967955565050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</cellStyleXfs>
  <cellXfs count="33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43" fontId="3" fillId="3" borderId="2" xfId="1" applyNumberFormat="1" applyFont="1" applyFill="1" applyBorder="1"/>
    <xf numFmtId="17" fontId="7" fillId="4" borderId="2" xfId="0" applyNumberFormat="1" applyFont="1" applyFill="1" applyBorder="1" applyAlignment="1">
      <alignment horizontal="center" vertical="center"/>
    </xf>
    <xf numFmtId="43" fontId="8" fillId="4" borderId="2" xfId="1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4" fontId="9" fillId="0" borderId="0" xfId="0" applyNumberFormat="1" applyFont="1" applyAlignment="1">
      <alignment horizontal="center" vertical="center"/>
    </xf>
    <xf numFmtId="4" fontId="9" fillId="0" borderId="0" xfId="1" applyNumberFormat="1" applyFont="1" applyAlignment="1">
      <alignment horizontal="right" vertical="center"/>
    </xf>
    <xf numFmtId="43" fontId="3" fillId="0" borderId="0" xfId="0" applyNumberFormat="1" applyFont="1" applyFill="1"/>
    <xf numFmtId="0" fontId="3" fillId="0" borderId="0" xfId="0" applyFont="1" applyBorder="1"/>
    <xf numFmtId="43" fontId="3" fillId="0" borderId="0" xfId="1" applyFont="1" applyBorder="1" applyAlignment="1">
      <alignment horizontal="right"/>
    </xf>
    <xf numFmtId="0" fontId="3" fillId="0" borderId="0" xfId="0" applyFont="1" applyFill="1" applyBorder="1"/>
    <xf numFmtId="43" fontId="9" fillId="0" borderId="0" xfId="1" applyFont="1" applyAlignment="1">
      <alignment horizontal="right" vertical="center"/>
    </xf>
    <xf numFmtId="164" fontId="3" fillId="0" borderId="0" xfId="1" applyNumberFormat="1" applyFont="1" applyFill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right" vertical="center" indent="1"/>
    </xf>
    <xf numFmtId="164" fontId="3" fillId="3" borderId="2" xfId="1" applyNumberFormat="1" applyFont="1" applyFill="1" applyBorder="1"/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Alignment="1">
      <alignment horizontal="right" vertical="center"/>
    </xf>
    <xf numFmtId="164" fontId="8" fillId="4" borderId="2" xfId="1" applyNumberFormat="1" applyFont="1" applyFill="1" applyBorder="1"/>
    <xf numFmtId="43" fontId="3" fillId="0" borderId="0" xfId="1" applyFont="1" applyAlignment="1">
      <alignment horizontal="right" vertical="center"/>
    </xf>
    <xf numFmtId="43" fontId="3" fillId="0" borderId="0" xfId="1" applyFont="1" applyAlignment="1">
      <alignment horizontal="right"/>
    </xf>
    <xf numFmtId="43" fontId="3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5" borderId="6" xfId="0" applyFont="1" applyFill="1" applyBorder="1" applyAlignment="1">
      <alignment horizontal="centerContinuous" vertical="center"/>
    </xf>
    <xf numFmtId="0" fontId="13" fillId="5" borderId="9" xfId="0" applyFont="1" applyFill="1" applyBorder="1" applyAlignment="1">
      <alignment horizontal="centerContinuous" vertical="center"/>
    </xf>
    <xf numFmtId="0" fontId="13" fillId="7" borderId="6" xfId="0" applyFont="1" applyFill="1" applyBorder="1" applyAlignment="1">
      <alignment horizontal="centerContinuous" vertical="center"/>
    </xf>
    <xf numFmtId="0" fontId="13" fillId="7" borderId="9" xfId="0" applyFont="1" applyFill="1" applyBorder="1" applyAlignment="1">
      <alignment horizontal="centerContinuous" vertical="center"/>
    </xf>
    <xf numFmtId="0" fontId="13" fillId="7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6" borderId="10" xfId="0" applyNumberFormat="1" applyFont="1" applyFill="1" applyBorder="1" applyAlignment="1">
      <alignment horizontal="right" vertical="center"/>
    </xf>
    <xf numFmtId="166" fontId="14" fillId="0" borderId="11" xfId="2" applyNumberFormat="1" applyFont="1" applyBorder="1" applyAlignment="1">
      <alignment horizontal="center" vertical="center"/>
    </xf>
    <xf numFmtId="4" fontId="15" fillId="7" borderId="10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9" fontId="11" fillId="0" borderId="0" xfId="2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7" fillId="5" borderId="7" xfId="0" applyNumberFormat="1" applyFont="1" applyFill="1" applyBorder="1" applyAlignment="1">
      <alignment horizontal="right" vertical="center"/>
    </xf>
    <xf numFmtId="166" fontId="14" fillId="8" borderId="12" xfId="2" applyNumberFormat="1" applyFont="1" applyFill="1" applyBorder="1" applyAlignment="1">
      <alignment horizontal="center" vertical="center"/>
    </xf>
    <xf numFmtId="4" fontId="18" fillId="7" borderId="7" xfId="0" applyNumberFormat="1" applyFont="1" applyFill="1" applyBorder="1" applyAlignment="1">
      <alignment horizontal="center" vertical="center"/>
    </xf>
    <xf numFmtId="166" fontId="14" fillId="0" borderId="12" xfId="2" applyNumberFormat="1" applyFont="1" applyBorder="1" applyAlignment="1">
      <alignment horizontal="center" vertical="center"/>
    </xf>
    <xf numFmtId="2" fontId="18" fillId="7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7" fillId="5" borderId="13" xfId="0" applyNumberFormat="1" applyFont="1" applyFill="1" applyBorder="1" applyAlignment="1">
      <alignment horizontal="right" vertical="center"/>
    </xf>
    <xf numFmtId="166" fontId="14" fillId="8" borderId="8" xfId="2" applyNumberFormat="1" applyFont="1" applyFill="1" applyBorder="1" applyAlignment="1">
      <alignment horizontal="center" vertical="center"/>
    </xf>
    <xf numFmtId="4" fontId="18" fillId="7" borderId="13" xfId="0" applyNumberFormat="1" applyFont="1" applyFill="1" applyBorder="1" applyAlignment="1">
      <alignment horizontal="center" vertical="center"/>
    </xf>
    <xf numFmtId="166" fontId="14" fillId="0" borderId="8" xfId="2" applyNumberFormat="1" applyFont="1" applyBorder="1" applyAlignment="1">
      <alignment horizontal="center" vertical="center"/>
    </xf>
    <xf numFmtId="2" fontId="18" fillId="7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17" fillId="8" borderId="0" xfId="0" applyNumberFormat="1" applyFont="1" applyFill="1" applyBorder="1" applyAlignment="1">
      <alignment horizontal="center" vertical="center"/>
    </xf>
    <xf numFmtId="0" fontId="11" fillId="8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7" fontId="15" fillId="7" borderId="10" xfId="0" applyNumberFormat="1" applyFont="1" applyFill="1" applyBorder="1" applyAlignment="1">
      <alignment horizontal="center" vertical="center"/>
    </xf>
    <xf numFmtId="168" fontId="18" fillId="7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6" fillId="8" borderId="0" xfId="0" applyNumberFormat="1" applyFont="1" applyFill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69" fontId="26" fillId="0" borderId="0" xfId="0" applyNumberFormat="1" applyFont="1" applyAlignment="1">
      <alignment horizontal="left" vertical="center" indent="1"/>
    </xf>
    <xf numFmtId="0" fontId="13" fillId="0" borderId="21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indent="1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8" fillId="7" borderId="7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2" fontId="29" fillId="7" borderId="12" xfId="0" applyNumberFormat="1" applyFont="1" applyFill="1" applyBorder="1" applyAlignment="1">
      <alignment horizontal="center" vertical="center"/>
    </xf>
    <xf numFmtId="1" fontId="29" fillId="7" borderId="12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2"/>
    </xf>
    <xf numFmtId="0" fontId="11" fillId="0" borderId="2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3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indent="2"/>
    </xf>
    <xf numFmtId="0" fontId="28" fillId="7" borderId="6" xfId="0" applyFont="1" applyFill="1" applyBorder="1" applyAlignment="1">
      <alignment horizontal="left" vertical="center"/>
    </xf>
    <xf numFmtId="0" fontId="28" fillId="7" borderId="20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2" fontId="29" fillId="7" borderId="9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29" fillId="7" borderId="9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indent="3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left" vertical="center" indent="2"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22" xfId="0" quotePrefix="1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horizontal="center" vertical="center"/>
    </xf>
    <xf numFmtId="0" fontId="17" fillId="0" borderId="22" xfId="0" quotePrefix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 indent="2"/>
    </xf>
    <xf numFmtId="2" fontId="11" fillId="0" borderId="2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2"/>
    </xf>
    <xf numFmtId="0" fontId="11" fillId="11" borderId="7" xfId="0" applyFont="1" applyFill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165" fontId="31" fillId="0" borderId="0" xfId="3" applyNumberFormat="1"/>
    <xf numFmtId="0" fontId="32" fillId="0" borderId="7" xfId="0" applyFont="1" applyFill="1" applyBorder="1" applyAlignment="1">
      <alignment horizontal="left" vertical="center" indent="2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 indent="2"/>
    </xf>
    <xf numFmtId="0" fontId="17" fillId="12" borderId="7" xfId="0" applyFont="1" applyFill="1" applyBorder="1" applyAlignment="1">
      <alignment horizontal="left" vertical="center" indent="2"/>
    </xf>
    <xf numFmtId="0" fontId="17" fillId="10" borderId="0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 indent="2"/>
    </xf>
    <xf numFmtId="0" fontId="11" fillId="12" borderId="7" xfId="0" applyFont="1" applyFill="1" applyBorder="1" applyAlignment="1">
      <alignment horizontal="left" vertical="center" indent="2"/>
    </xf>
    <xf numFmtId="0" fontId="34" fillId="0" borderId="7" xfId="0" applyFont="1" applyFill="1" applyBorder="1" applyAlignment="1">
      <alignment horizontal="left" vertical="center" indent="2"/>
    </xf>
    <xf numFmtId="0" fontId="34" fillId="0" borderId="7" xfId="0" applyFont="1" applyBorder="1" applyAlignment="1">
      <alignment horizontal="left" vertical="center" indent="2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2" fillId="13" borderId="6" xfId="0" applyFont="1" applyFill="1" applyBorder="1" applyAlignment="1">
      <alignment horizontal="centerContinuous" vertical="center"/>
    </xf>
    <xf numFmtId="0" fontId="17" fillId="13" borderId="9" xfId="0" applyFont="1" applyFill="1" applyBorder="1" applyAlignment="1">
      <alignment horizontal="centerContinuous" vertical="center"/>
    </xf>
    <xf numFmtId="0" fontId="12" fillId="13" borderId="9" xfId="0" applyFont="1" applyFill="1" applyBorder="1" applyAlignment="1">
      <alignment horizontal="centerContinuous" vertical="center"/>
    </xf>
    <xf numFmtId="0" fontId="12" fillId="13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right" vertical="center"/>
    </xf>
    <xf numFmtId="9" fontId="35" fillId="0" borderId="11" xfId="2" applyFont="1" applyFill="1" applyBorder="1" applyAlignment="1">
      <alignment horizontal="center" vertical="center"/>
    </xf>
    <xf numFmtId="167" fontId="3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9" fontId="36" fillId="0" borderId="0" xfId="2" applyFont="1" applyFill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4" fontId="37" fillId="0" borderId="0" xfId="0" applyNumberFormat="1" applyFont="1" applyFill="1" applyBorder="1" applyAlignment="1">
      <alignment horizontal="right" vertical="center"/>
    </xf>
    <xf numFmtId="166" fontId="37" fillId="0" borderId="0" xfId="2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right" vertical="center"/>
    </xf>
    <xf numFmtId="166" fontId="35" fillId="0" borderId="12" xfId="2" applyNumberFormat="1" applyFont="1" applyFill="1" applyBorder="1" applyAlignment="1">
      <alignment horizontal="center" vertical="center"/>
    </xf>
    <xf numFmtId="167" fontId="32" fillId="0" borderId="7" xfId="0" applyNumberFormat="1" applyFont="1" applyFill="1" applyBorder="1" applyAlignment="1">
      <alignment horizontal="center" vertical="center"/>
    </xf>
    <xf numFmtId="168" fontId="32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right" vertical="center"/>
    </xf>
    <xf numFmtId="166" fontId="35" fillId="0" borderId="8" xfId="2" applyNumberFormat="1" applyFont="1" applyFill="1" applyBorder="1" applyAlignment="1">
      <alignment horizontal="center" vertical="center"/>
    </xf>
    <xf numFmtId="167" fontId="32" fillId="0" borderId="13" xfId="0" applyNumberFormat="1" applyFont="1" applyFill="1" applyBorder="1" applyAlignment="1">
      <alignment horizontal="center" vertical="center"/>
    </xf>
    <xf numFmtId="168" fontId="32" fillId="0" borderId="8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168" fontId="32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7" fontId="17" fillId="0" borderId="13" xfId="0" applyNumberFormat="1" applyFont="1" applyFill="1" applyBorder="1" applyAlignment="1">
      <alignment horizontal="center" vertical="center"/>
    </xf>
    <xf numFmtId="17" fontId="17" fillId="0" borderId="14" xfId="0" applyNumberFormat="1" applyFont="1" applyFill="1" applyBorder="1" applyAlignment="1">
      <alignment horizontal="center" vertical="center"/>
    </xf>
    <xf numFmtId="17" fontId="17" fillId="0" borderId="8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70" fontId="17" fillId="0" borderId="13" xfId="0" applyNumberFormat="1" applyFont="1" applyFill="1" applyBorder="1" applyAlignment="1">
      <alignment horizontal="center" vertical="center"/>
    </xf>
    <xf numFmtId="170" fontId="17" fillId="0" borderId="14" xfId="0" applyNumberFormat="1" applyFont="1" applyFill="1" applyBorder="1" applyAlignment="1">
      <alignment horizontal="center" vertical="center"/>
    </xf>
    <xf numFmtId="170" fontId="17" fillId="0" borderId="8" xfId="0" applyNumberFormat="1" applyFont="1" applyFill="1" applyBorder="1" applyAlignment="1">
      <alignment horizontal="center" vertical="center"/>
    </xf>
    <xf numFmtId="165" fontId="32" fillId="0" borderId="2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167" fontId="17" fillId="0" borderId="6" xfId="0" applyNumberFormat="1" applyFont="1" applyFill="1" applyBorder="1" applyAlignment="1">
      <alignment horizontal="center" vertical="center"/>
    </xf>
    <xf numFmtId="167" fontId="17" fillId="0" borderId="20" xfId="0" applyNumberFormat="1" applyFont="1" applyFill="1" applyBorder="1" applyAlignment="1">
      <alignment horizontal="center" vertical="center"/>
    </xf>
    <xf numFmtId="167" fontId="17" fillId="0" borderId="9" xfId="0" applyNumberFormat="1" applyFont="1" applyFill="1" applyBorder="1" applyAlignment="1">
      <alignment horizontal="center" vertical="center"/>
    </xf>
    <xf numFmtId="167" fontId="18" fillId="0" borderId="9" xfId="0" applyNumberFormat="1" applyFont="1" applyFill="1" applyBorder="1" applyAlignment="1">
      <alignment horizontal="center" vertical="center"/>
    </xf>
    <xf numFmtId="167" fontId="17" fillId="0" borderId="13" xfId="0" applyNumberFormat="1" applyFont="1" applyFill="1" applyBorder="1" applyAlignment="1">
      <alignment horizontal="center" vertical="center"/>
    </xf>
    <xf numFmtId="167" fontId="17" fillId="0" borderId="14" xfId="0" applyNumberFormat="1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169" fontId="17" fillId="15" borderId="6" xfId="0" applyNumberFormat="1" applyFont="1" applyFill="1" applyBorder="1" applyAlignment="1">
      <alignment horizontal="center" vertical="center"/>
    </xf>
    <xf numFmtId="169" fontId="17" fillId="15" borderId="20" xfId="0" applyNumberFormat="1" applyFont="1" applyFill="1" applyBorder="1" applyAlignment="1">
      <alignment horizontal="center" vertical="center"/>
    </xf>
    <xf numFmtId="169" fontId="17" fillId="15" borderId="9" xfId="0" applyNumberFormat="1" applyFont="1" applyFill="1" applyBorder="1" applyAlignment="1">
      <alignment horizontal="center" vertical="center"/>
    </xf>
    <xf numFmtId="0" fontId="17" fillId="14" borderId="21" xfId="0" applyFont="1" applyFill="1" applyBorder="1" applyAlignment="1">
      <alignment horizontal="center" vertical="center"/>
    </xf>
    <xf numFmtId="169" fontId="17" fillId="14" borderId="13" xfId="0" applyNumberFormat="1" applyFont="1" applyFill="1" applyBorder="1" applyAlignment="1">
      <alignment horizontal="center" vertical="center"/>
    </xf>
    <xf numFmtId="169" fontId="17" fillId="14" borderId="14" xfId="0" applyNumberFormat="1" applyFont="1" applyFill="1" applyBorder="1" applyAlignment="1">
      <alignment horizontal="center" vertical="center"/>
    </xf>
    <xf numFmtId="169" fontId="17" fillId="14" borderId="8" xfId="0" applyNumberFormat="1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165" fontId="17" fillId="15" borderId="0" xfId="0" applyNumberFormat="1" applyFont="1" applyFill="1" applyAlignment="1">
      <alignment horizontal="center" vertical="center"/>
    </xf>
    <xf numFmtId="0" fontId="17" fillId="14" borderId="0" xfId="0" applyFont="1" applyFill="1" applyAlignment="1">
      <alignment horizontal="center" vertical="center"/>
    </xf>
    <xf numFmtId="165" fontId="17" fillId="14" borderId="0" xfId="0" applyNumberFormat="1" applyFont="1" applyFill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169" fontId="17" fillId="14" borderId="10" xfId="0" applyNumberFormat="1" applyFont="1" applyFill="1" applyBorder="1" applyAlignment="1">
      <alignment horizontal="center" vertical="center"/>
    </xf>
    <xf numFmtId="169" fontId="17" fillId="14" borderId="17" xfId="0" applyNumberFormat="1" applyFont="1" applyFill="1" applyBorder="1" applyAlignment="1">
      <alignment horizontal="center" vertical="center"/>
    </xf>
    <xf numFmtId="169" fontId="17" fillId="14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9" fillId="16" borderId="23" xfId="0" applyFont="1" applyFill="1" applyBorder="1" applyAlignment="1">
      <alignment horizontal="left" vertical="center" indent="1"/>
    </xf>
    <xf numFmtId="0" fontId="40" fillId="16" borderId="24" xfId="0" applyFont="1" applyFill="1" applyBorder="1" applyAlignment="1">
      <alignment horizontal="center" vertical="center"/>
    </xf>
    <xf numFmtId="0" fontId="40" fillId="16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15" borderId="26" xfId="0" applyFont="1" applyFill="1" applyBorder="1" applyAlignment="1">
      <alignment horizontal="center" vertical="center"/>
    </xf>
    <xf numFmtId="169" fontId="40" fillId="15" borderId="6" xfId="0" applyNumberFormat="1" applyFont="1" applyFill="1" applyBorder="1" applyAlignment="1">
      <alignment horizontal="center" vertical="center"/>
    </xf>
    <xf numFmtId="169" fontId="40" fillId="15" borderId="20" xfId="0" applyNumberFormat="1" applyFont="1" applyFill="1" applyBorder="1" applyAlignment="1">
      <alignment horizontal="center" vertical="center"/>
    </xf>
    <xf numFmtId="169" fontId="40" fillId="15" borderId="27" xfId="0" applyNumberFormat="1" applyFont="1" applyFill="1" applyBorder="1" applyAlignment="1">
      <alignment horizontal="center" vertical="center"/>
    </xf>
    <xf numFmtId="0" fontId="40" fillId="14" borderId="28" xfId="0" applyFont="1" applyFill="1" applyBorder="1" applyAlignment="1">
      <alignment horizontal="center" vertical="center"/>
    </xf>
    <xf numFmtId="169" fontId="40" fillId="14" borderId="14" xfId="0" applyNumberFormat="1" applyFont="1" applyFill="1" applyBorder="1" applyAlignment="1">
      <alignment horizontal="center" vertical="center"/>
    </xf>
    <xf numFmtId="169" fontId="40" fillId="14" borderId="29" xfId="0" applyNumberFormat="1" applyFont="1" applyFill="1" applyBorder="1" applyAlignment="1">
      <alignment horizontal="center" vertical="center"/>
    </xf>
    <xf numFmtId="0" fontId="39" fillId="16" borderId="30" xfId="0" applyFont="1" applyFill="1" applyBorder="1" applyAlignment="1">
      <alignment horizontal="left" vertical="center" indent="1"/>
    </xf>
    <xf numFmtId="0" fontId="40" fillId="16" borderId="0" xfId="0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 vertical="center"/>
    </xf>
    <xf numFmtId="0" fontId="42" fillId="16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0" fillId="15" borderId="32" xfId="0" applyFont="1" applyFill="1" applyBorder="1" applyAlignment="1">
      <alignment horizontal="center" vertical="center"/>
    </xf>
    <xf numFmtId="165" fontId="40" fillId="15" borderId="11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/>
    </xf>
    <xf numFmtId="169" fontId="44" fillId="0" borderId="0" xfId="0" applyNumberFormat="1" applyFont="1" applyFill="1" applyAlignment="1">
      <alignment horizontal="center" vertical="center"/>
    </xf>
    <xf numFmtId="0" fontId="40" fillId="14" borderId="32" xfId="0" applyFont="1" applyFill="1" applyBorder="1" applyAlignment="1">
      <alignment horizontal="center" vertical="center"/>
    </xf>
    <xf numFmtId="165" fontId="40" fillId="14" borderId="11" xfId="0" applyNumberFormat="1" applyFont="1" applyFill="1" applyBorder="1" applyAlignment="1">
      <alignment horizontal="center" vertical="center"/>
    </xf>
    <xf numFmtId="0" fontId="42" fillId="16" borderId="33" xfId="0" applyFont="1" applyFill="1" applyBorder="1" applyAlignment="1">
      <alignment horizontal="center" vertical="center"/>
    </xf>
    <xf numFmtId="165" fontId="42" fillId="16" borderId="34" xfId="0" applyNumberFormat="1" applyFont="1" applyFill="1" applyBorder="1" applyAlignment="1">
      <alignment horizontal="center" vertical="center"/>
    </xf>
    <xf numFmtId="0" fontId="42" fillId="16" borderId="34" xfId="0" applyFont="1" applyFill="1" applyBorder="1" applyAlignment="1">
      <alignment horizontal="center" vertical="center"/>
    </xf>
    <xf numFmtId="0" fontId="42" fillId="16" borderId="35" xfId="0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indent="1"/>
    </xf>
    <xf numFmtId="167" fontId="18" fillId="0" borderId="0" xfId="0" applyNumberFormat="1" applyFont="1" applyFill="1" applyAlignment="1">
      <alignment horizontal="center" vertical="center"/>
    </xf>
    <xf numFmtId="166" fontId="47" fillId="7" borderId="1" xfId="2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36" fillId="0" borderId="0" xfId="0" applyNumberFormat="1" applyFont="1" applyFill="1" applyAlignment="1">
      <alignment horizontal="right" vertical="center"/>
    </xf>
    <xf numFmtId="0" fontId="46" fillId="0" borderId="4" xfId="0" applyFont="1" applyFill="1" applyBorder="1" applyAlignment="1">
      <alignment horizontal="center" vertical="center"/>
    </xf>
    <xf numFmtId="167" fontId="46" fillId="15" borderId="6" xfId="0" applyNumberFormat="1" applyFont="1" applyFill="1" applyBorder="1" applyAlignment="1">
      <alignment horizontal="center" vertical="center"/>
    </xf>
    <xf numFmtId="167" fontId="46" fillId="15" borderId="20" xfId="0" applyNumberFormat="1" applyFont="1" applyFill="1" applyBorder="1" applyAlignment="1">
      <alignment horizontal="center" vertical="center"/>
    </xf>
    <xf numFmtId="167" fontId="46" fillId="15" borderId="9" xfId="0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166" fontId="37" fillId="0" borderId="22" xfId="2" applyNumberFormat="1" applyFont="1" applyFill="1" applyBorder="1" applyAlignment="1">
      <alignment horizontal="right" vertical="center"/>
    </xf>
    <xf numFmtId="166" fontId="36" fillId="0" borderId="0" xfId="2" applyNumberFormat="1" applyFont="1" applyFill="1" applyAlignment="1">
      <alignment horizontal="right" vertical="center"/>
    </xf>
    <xf numFmtId="0" fontId="46" fillId="0" borderId="21" xfId="0" applyFont="1" applyFill="1" applyBorder="1" applyAlignment="1">
      <alignment horizontal="center" vertical="center"/>
    </xf>
    <xf numFmtId="167" fontId="46" fillId="15" borderId="13" xfId="0" applyNumberFormat="1" applyFont="1" applyFill="1" applyBorder="1" applyAlignment="1">
      <alignment horizontal="center" vertical="center"/>
    </xf>
    <xf numFmtId="167" fontId="46" fillId="15" borderId="14" xfId="0" applyNumberFormat="1" applyFont="1" applyFill="1" applyBorder="1" applyAlignment="1">
      <alignment horizontal="center" vertical="center"/>
    </xf>
    <xf numFmtId="167" fontId="46" fillId="15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166" fontId="37" fillId="0" borderId="21" xfId="2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167" fontId="46" fillId="0" borderId="0" xfId="0" applyNumberFormat="1" applyFont="1" applyFill="1" applyAlignment="1">
      <alignment horizontal="left" vertical="center" indent="1"/>
    </xf>
    <xf numFmtId="166" fontId="37" fillId="0" borderId="0" xfId="2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center" vertical="center"/>
    </xf>
    <xf numFmtId="166" fontId="37" fillId="7" borderId="1" xfId="2" applyNumberFormat="1" applyFont="1" applyFill="1" applyBorder="1" applyAlignment="1">
      <alignment horizontal="center" vertical="center"/>
    </xf>
    <xf numFmtId="168" fontId="26" fillId="0" borderId="0" xfId="0" applyNumberFormat="1" applyFont="1" applyFill="1" applyAlignment="1">
      <alignment horizontal="right" vertical="center"/>
    </xf>
    <xf numFmtId="0" fontId="50" fillId="0" borderId="4" xfId="0" applyFont="1" applyFill="1" applyBorder="1" applyAlignment="1">
      <alignment horizontal="center" vertical="center"/>
    </xf>
    <xf numFmtId="167" fontId="50" fillId="15" borderId="6" xfId="0" applyNumberFormat="1" applyFont="1" applyFill="1" applyBorder="1" applyAlignment="1">
      <alignment horizontal="center" vertical="center"/>
    </xf>
    <xf numFmtId="167" fontId="50" fillId="15" borderId="20" xfId="0" applyNumberFormat="1" applyFont="1" applyFill="1" applyBorder="1" applyAlignment="1">
      <alignment horizontal="center" vertical="center"/>
    </xf>
    <xf numFmtId="167" fontId="50" fillId="15" borderId="9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67" fontId="50" fillId="15" borderId="13" xfId="0" applyNumberFormat="1" applyFont="1" applyFill="1" applyBorder="1" applyAlignment="1">
      <alignment horizontal="center" vertical="center"/>
    </xf>
    <xf numFmtId="167" fontId="50" fillId="15" borderId="14" xfId="0" applyNumberFormat="1" applyFont="1" applyFill="1" applyBorder="1" applyAlignment="1">
      <alignment horizontal="center" vertical="center"/>
    </xf>
    <xf numFmtId="167" fontId="50" fillId="15" borderId="8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2" fontId="35" fillId="0" borderId="0" xfId="2" applyNumberFormat="1" applyFont="1" applyFill="1" applyAlignment="1">
      <alignment horizontal="center" vertical="center"/>
    </xf>
    <xf numFmtId="166" fontId="35" fillId="0" borderId="0" xfId="2" applyNumberFormat="1" applyFont="1" applyFill="1" applyAlignment="1">
      <alignment horizontal="center" vertical="center"/>
    </xf>
    <xf numFmtId="3" fontId="35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3" fillId="0" borderId="36" xfId="0" applyFont="1" applyBorder="1" applyAlignment="1">
      <alignment horizontal="left"/>
    </xf>
  </cellXfs>
  <cellStyles count="4">
    <cellStyle name="Millares" xfId="1" builtinId="3"/>
    <cellStyle name="Normal" xfId="0" builtinId="0"/>
    <cellStyle name="Normal 43" xfId="3"/>
    <cellStyle name="Porcentaje" xfId="2" builtinId="5"/>
  </cellStyles>
  <dxfs count="151">
    <dxf>
      <numFmt numFmtId="1" formatCode="0"/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%20rev2\CUSPTi_AT3\1.%20DatosFij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%20rev2\CUSPTi_AT3\CUSPT_Total_li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\AT%20Para%20Pliego%20Tarifario%20Pre_2017-2021\CUSPTi_AT4\CUSPT_Total_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\AT%20Para%20Pliego%20Tarifario%20Pre_2017-2021\CUSPTi_AT2\1.%20DatosFij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\AT%20Para%20Pliego%20Tarifario%20Pre_2017-2021\CUSPTi_AT1\1.%20DatosFij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\AT%20Para%20Pliego%20Tarifario%20Pre_2017-2021\CUSPTi_AT3\1.%20DatosFij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\AT%20Para%20Pliego%20Tarifario%20Pre_2017-2021\CUSPTi_AT4\1.%20DatosFij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%20rev2\CUSPTi_AT1\1.%20DatosFij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%20rev2\CUSPTi_AT1\CUSPT_Total_li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%20rev2\CUSPTi_AT2\1.%20DatosFij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Revision%20Tarifaria%202017%20-2021\PLIEGO%20TARIFARIO%20A&#209;O%201-2-3-4\CUSPT%20rev2\CUSPTi_AT2\CUSPT_Total_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3</v>
          </cell>
          <cell r="C1" t="str">
            <v>2019-2020</v>
          </cell>
        </row>
        <row r="3">
          <cell r="B3">
            <v>51220.151770625169</v>
          </cell>
          <cell r="D3">
            <v>2765.1699999999996</v>
          </cell>
        </row>
        <row r="4">
          <cell r="B4">
            <v>43806.034477544112</v>
          </cell>
          <cell r="D4">
            <v>2494.9699999999998</v>
          </cell>
          <cell r="F4">
            <v>17.557739963824861</v>
          </cell>
        </row>
        <row r="5">
          <cell r="B5">
            <v>7414.117293081059</v>
          </cell>
          <cell r="D5">
            <v>270.2</v>
          </cell>
          <cell r="F5">
            <v>27.439368220137155</v>
          </cell>
        </row>
        <row r="7">
          <cell r="B7">
            <v>55642.054105485877</v>
          </cell>
          <cell r="C7">
            <v>1</v>
          </cell>
          <cell r="D7">
            <v>605.28</v>
          </cell>
          <cell r="E7">
            <v>1</v>
          </cell>
          <cell r="F7">
            <v>91.927792270496099</v>
          </cell>
          <cell r="G7" t="str">
            <v>(230 kV)</v>
          </cell>
        </row>
        <row r="11">
          <cell r="B11">
            <v>294.5</v>
          </cell>
          <cell r="C11">
            <v>537.79999999999995</v>
          </cell>
          <cell r="D11">
            <v>155.26999999999998</v>
          </cell>
          <cell r="E11">
            <v>375.70699999999999</v>
          </cell>
          <cell r="F11">
            <v>606.81000000000006</v>
          </cell>
          <cell r="G11">
            <v>147</v>
          </cell>
          <cell r="H11">
            <v>195.98</v>
          </cell>
          <cell r="I11">
            <v>260</v>
          </cell>
          <cell r="J11">
            <v>792.53</v>
          </cell>
          <cell r="K11">
            <v>252.17</v>
          </cell>
        </row>
        <row r="12">
          <cell r="B12">
            <v>38.67</v>
          </cell>
          <cell r="C12">
            <v>0</v>
          </cell>
          <cell r="D12">
            <v>0.11</v>
          </cell>
          <cell r="E12">
            <v>110.14999999999999</v>
          </cell>
          <cell r="F12">
            <v>232.27983529537579</v>
          </cell>
          <cell r="G12">
            <v>165.64199929453994</v>
          </cell>
          <cell r="H12">
            <v>1072.8601093489131</v>
          </cell>
          <cell r="I12">
            <v>0</v>
          </cell>
          <cell r="J12">
            <v>136.93050338355616</v>
          </cell>
          <cell r="K12">
            <v>90.39</v>
          </cell>
        </row>
      </sheetData>
      <sheetData sheetId="1"/>
      <sheetData sheetId="2"/>
      <sheetData sheetId="3"/>
      <sheetData sheetId="4">
        <row r="3">
          <cell r="E3" t="str">
            <v xml:space="preserve"> 2.- Día Semihábil (sábado):</v>
          </cell>
        </row>
      </sheetData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 refreshError="1"/>
      <sheetData sheetId="1">
        <row r="13">
          <cell r="H13">
            <v>744</v>
          </cell>
          <cell r="I13">
            <v>8.4931506849315067E-2</v>
          </cell>
        </row>
        <row r="21">
          <cell r="B21">
            <v>158.46525537634409</v>
          </cell>
          <cell r="C21">
            <v>225.90000000000003</v>
          </cell>
          <cell r="D21">
            <v>145.9</v>
          </cell>
          <cell r="E21">
            <v>332.33481182795691</v>
          </cell>
          <cell r="F21">
            <v>110.99327956989248</v>
          </cell>
          <cell r="G21">
            <v>0</v>
          </cell>
          <cell r="H21">
            <v>5.950940860215054</v>
          </cell>
          <cell r="I21">
            <v>97.82069892473119</v>
          </cell>
          <cell r="J21">
            <v>99.796841397849448</v>
          </cell>
          <cell r="K21">
            <v>195.43030913978492</v>
          </cell>
        </row>
        <row r="22">
          <cell r="B22">
            <v>9.4532930107526898</v>
          </cell>
          <cell r="C22">
            <v>0</v>
          </cell>
          <cell r="D22">
            <v>0.15551075268817205</v>
          </cell>
          <cell r="E22">
            <v>40.735349462365591</v>
          </cell>
          <cell r="F22">
            <v>185.97204301075271</v>
          </cell>
          <cell r="G22">
            <v>77.825806451612891</v>
          </cell>
          <cell r="H22">
            <v>873.9112903225805</v>
          </cell>
          <cell r="I22">
            <v>0</v>
          </cell>
          <cell r="J22">
            <v>171.20436827956991</v>
          </cell>
          <cell r="K22">
            <v>13.188911290322583</v>
          </cell>
        </row>
        <row r="24">
          <cell r="B24">
            <v>117.89815000000002</v>
          </cell>
          <cell r="C24">
            <v>168.06960000000004</v>
          </cell>
          <cell r="D24">
            <v>108.54960000000001</v>
          </cell>
          <cell r="E24">
            <v>247.25709999999995</v>
          </cell>
          <cell r="F24">
            <v>82.578999999999994</v>
          </cell>
          <cell r="G24">
            <v>0</v>
          </cell>
          <cell r="H24">
            <v>4.4275000000000002</v>
          </cell>
          <cell r="I24">
            <v>72.778600000000012</v>
          </cell>
          <cell r="J24">
            <v>74.24884999999999</v>
          </cell>
          <cell r="K24">
            <v>145.40015</v>
          </cell>
        </row>
        <row r="25">
          <cell r="B25">
            <v>7.0332500000000007</v>
          </cell>
          <cell r="C25">
            <v>0</v>
          </cell>
          <cell r="D25">
            <v>0.1157</v>
          </cell>
          <cell r="E25">
            <v>30.307099999999998</v>
          </cell>
          <cell r="F25">
            <v>138.36320000000001</v>
          </cell>
          <cell r="G25">
            <v>57.902399999999993</v>
          </cell>
          <cell r="H25">
            <v>650.18999999999983</v>
          </cell>
          <cell r="I25">
            <v>0</v>
          </cell>
          <cell r="J25">
            <v>127.37605000000002</v>
          </cell>
          <cell r="K25">
            <v>9.8125500000000017</v>
          </cell>
        </row>
        <row r="27">
          <cell r="B27">
            <v>1.7505119857338427</v>
          </cell>
          <cell r="C27">
            <v>1.638148019901948</v>
          </cell>
          <cell r="D27">
            <v>2.089901186524568</v>
          </cell>
          <cell r="E27">
            <v>1.3001634607213435</v>
          </cell>
          <cell r="F27">
            <v>0.62069337001154146</v>
          </cell>
          <cell r="G27">
            <v>0</v>
          </cell>
          <cell r="H27">
            <v>1.16135157381278E-2</v>
          </cell>
          <cell r="I27">
            <v>0.39978451664464754</v>
          </cell>
          <cell r="J27">
            <v>6.9463134943672511E-2</v>
          </cell>
          <cell r="K27">
            <v>2.2802837611307551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0.12845433588067098</v>
          </cell>
          <cell r="F28">
            <v>0.4801969528713988</v>
          </cell>
          <cell r="G28">
            <v>0.62376683833887825</v>
          </cell>
          <cell r="H28">
            <v>0.71386242607170836</v>
          </cell>
          <cell r="I28">
            <v>0</v>
          </cell>
          <cell r="J28">
            <v>0.51959429482306163</v>
          </cell>
          <cell r="K28">
            <v>3.1319879767973041E-2</v>
          </cell>
        </row>
        <row r="30">
          <cell r="B30">
            <v>0.5392039344422942</v>
          </cell>
        </row>
        <row r="31">
          <cell r="B31">
            <v>0.37153334328802723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0.6888676599230914</v>
          </cell>
          <cell r="G33">
            <v>2.6650923219380145</v>
          </cell>
          <cell r="H33">
            <v>1.9240681468421648</v>
          </cell>
          <cell r="I33">
            <v>0</v>
          </cell>
          <cell r="J33">
            <v>0.46822360728015711</v>
          </cell>
          <cell r="K33">
            <v>0</v>
          </cell>
        </row>
        <row r="34">
          <cell r="I34">
            <v>1.7384653420968683</v>
          </cell>
        </row>
        <row r="38">
          <cell r="B38">
            <v>202.91088077018267</v>
          </cell>
          <cell r="C38">
            <v>275.32288244571248</v>
          </cell>
          <cell r="D38">
            <v>226.85793783676721</v>
          </cell>
          <cell r="E38">
            <v>319.35263891805727</v>
          </cell>
          <cell r="F38">
            <v>46.768521831891746</v>
          </cell>
          <cell r="G38">
            <v>0</v>
          </cell>
          <cell r="H38">
            <v>0.30241594982084791</v>
          </cell>
          <cell r="I38">
            <v>49.628721362648498</v>
          </cell>
          <cell r="J38">
            <v>5.0746896096498055</v>
          </cell>
          <cell r="K38">
            <v>317.71158685744604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3.8836995204529923</v>
          </cell>
          <cell r="F39">
            <v>65.520502541687023</v>
          </cell>
          <cell r="G39">
            <v>35.538540306675223</v>
          </cell>
          <cell r="H39">
            <v>453.22583049832002</v>
          </cell>
          <cell r="I39">
            <v>0</v>
          </cell>
          <cell r="J39">
            <v>60.363819289125807</v>
          </cell>
          <cell r="K39">
            <v>0.29486880752872036</v>
          </cell>
        </row>
        <row r="41">
          <cell r="B41">
            <v>114.95827882309715</v>
          </cell>
          <cell r="C41">
            <v>289.98387594306581</v>
          </cell>
          <cell r="D41">
            <v>83.72219490085503</v>
          </cell>
          <cell r="E41">
            <v>190.72020603978058</v>
          </cell>
          <cell r="F41">
            <v>33.392899660011281</v>
          </cell>
          <cell r="G41">
            <v>79.262978363017254</v>
          </cell>
          <cell r="H41">
            <v>105.67318707200081</v>
          </cell>
          <cell r="I41">
            <v>140.19302295499648</v>
          </cell>
          <cell r="J41">
            <v>427.3352941635514</v>
          </cell>
          <cell r="K41">
            <v>135.97105614831332</v>
          </cell>
        </row>
        <row r="42">
          <cell r="B42">
            <v>14.367194384948013</v>
          </cell>
          <cell r="C42">
            <v>0</v>
          </cell>
          <cell r="D42">
            <v>4.0868667761682992E-2</v>
          </cell>
          <cell r="E42">
            <v>40.924397763176188</v>
          </cell>
          <cell r="F42">
            <v>86.299703785683278</v>
          </cell>
          <cell r="G42">
            <v>61.541525786813459</v>
          </cell>
          <cell r="H42">
            <v>398.60330330676015</v>
          </cell>
          <cell r="I42">
            <v>0</v>
          </cell>
          <cell r="J42">
            <v>50.874247720205126</v>
          </cell>
          <cell r="K42">
            <v>33.582898899804775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93.850396226181431</v>
          </cell>
          <cell r="G44">
            <v>151.71513424556167</v>
          </cell>
          <cell r="H44">
            <v>1211.71744088072</v>
          </cell>
          <cell r="I44">
            <v>0</v>
          </cell>
          <cell r="J44">
            <v>57.478632619243825</v>
          </cell>
          <cell r="K44">
            <v>0</v>
          </cell>
        </row>
        <row r="45">
          <cell r="B45">
            <v>67.226454778885881</v>
          </cell>
          <cell r="C45">
            <v>0</v>
          </cell>
          <cell r="D45">
            <v>0.19123118763065552</v>
          </cell>
          <cell r="E45">
            <v>191.49195743197001</v>
          </cell>
          <cell r="F45">
            <v>403.81044332897977</v>
          </cell>
          <cell r="G45">
            <v>287.9628749691916</v>
          </cell>
          <cell r="H45">
            <v>1865.1301170213414</v>
          </cell>
          <cell r="I45">
            <v>0</v>
          </cell>
          <cell r="J45">
            <v>238.04893440819032</v>
          </cell>
          <cell r="K45">
            <v>157.13988227213594</v>
          </cell>
        </row>
        <row r="46">
          <cell r="G46">
            <v>0</v>
          </cell>
        </row>
      </sheetData>
      <sheetData sheetId="2">
        <row r="13">
          <cell r="H13">
            <v>744</v>
          </cell>
          <cell r="I13">
            <v>8.4931506849315053E-2</v>
          </cell>
        </row>
        <row r="21">
          <cell r="B21">
            <v>158.12157258064516</v>
          </cell>
          <cell r="C21">
            <v>225.89999999999998</v>
          </cell>
          <cell r="D21">
            <v>145.9</v>
          </cell>
          <cell r="E21">
            <v>332.37540322580645</v>
          </cell>
          <cell r="F21">
            <v>110.39596774193551</v>
          </cell>
          <cell r="G21">
            <v>0</v>
          </cell>
          <cell r="H21">
            <v>5.433467741935484</v>
          </cell>
          <cell r="I21">
            <v>91.674999999999997</v>
          </cell>
          <cell r="J21">
            <v>99.253830645161273</v>
          </cell>
          <cell r="K21">
            <v>194.28783602150537</v>
          </cell>
        </row>
        <row r="22">
          <cell r="B22">
            <v>9.3649865591397869</v>
          </cell>
          <cell r="C22">
            <v>0</v>
          </cell>
          <cell r="D22">
            <v>0.15241935483870969</v>
          </cell>
          <cell r="E22">
            <v>40.477284946236558</v>
          </cell>
          <cell r="F22">
            <v>184.61424731182797</v>
          </cell>
          <cell r="G22">
            <v>77.329032258064501</v>
          </cell>
          <cell r="H22">
            <v>868.19072580645161</v>
          </cell>
          <cell r="I22">
            <v>0</v>
          </cell>
          <cell r="J22">
            <v>169.95826612903224</v>
          </cell>
          <cell r="K22">
            <v>13.100604838709678</v>
          </cell>
        </row>
        <row r="24">
          <cell r="B24">
            <v>117.64245</v>
          </cell>
          <cell r="C24">
            <v>168.06959999999998</v>
          </cell>
          <cell r="D24">
            <v>108.54960000000001</v>
          </cell>
          <cell r="E24">
            <v>247.28729999999999</v>
          </cell>
          <cell r="F24">
            <v>82.13460000000002</v>
          </cell>
          <cell r="G24">
            <v>0</v>
          </cell>
          <cell r="H24">
            <v>4.0425000000000004</v>
          </cell>
          <cell r="I24">
            <v>68.206199999999995</v>
          </cell>
          <cell r="J24">
            <v>73.844849999999994</v>
          </cell>
          <cell r="K24">
            <v>144.55015</v>
          </cell>
        </row>
        <row r="25">
          <cell r="B25">
            <v>6.967550000000001</v>
          </cell>
          <cell r="C25">
            <v>0</v>
          </cell>
          <cell r="D25">
            <v>0.1134</v>
          </cell>
          <cell r="E25">
            <v>30.115099999999998</v>
          </cell>
          <cell r="F25">
            <v>137.35300000000001</v>
          </cell>
          <cell r="G25">
            <v>57.532799999999988</v>
          </cell>
          <cell r="H25">
            <v>645.93389999999999</v>
          </cell>
          <cell r="I25">
            <v>0</v>
          </cell>
          <cell r="J25">
            <v>126.44894999999998</v>
          </cell>
          <cell r="K25">
            <v>9.7468500000000002</v>
          </cell>
        </row>
        <row r="27">
          <cell r="B27">
            <v>1.7562124953078246</v>
          </cell>
          <cell r="C27">
            <v>1.6433132710962077</v>
          </cell>
          <cell r="D27">
            <v>2.0954858665367202</v>
          </cell>
          <cell r="E27">
            <v>1.3053070937850744</v>
          </cell>
          <cell r="F27">
            <v>0.62538373933582292</v>
          </cell>
          <cell r="G27">
            <v>0</v>
          </cell>
          <cell r="H27">
            <v>1.0603644804377558E-2</v>
          </cell>
          <cell r="I27">
            <v>0.37999232672750399</v>
          </cell>
          <cell r="J27">
            <v>6.9837317269417276E-2</v>
          </cell>
          <cell r="K27">
            <v>2.2894860228557237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0.12847170816594444</v>
          </cell>
          <cell r="F28">
            <v>0.48020593368243775</v>
          </cell>
          <cell r="G28">
            <v>0.62462196395089209</v>
          </cell>
          <cell r="H28">
            <v>0.71641908046882707</v>
          </cell>
          <cell r="I28">
            <v>0</v>
          </cell>
          <cell r="J28">
            <v>0.53496396658359568</v>
          </cell>
          <cell r="K28">
            <v>3.1456143187149385E-2</v>
          </cell>
        </row>
        <row r="30">
          <cell r="B30">
            <v>0.5392039344422942</v>
          </cell>
        </row>
        <row r="31">
          <cell r="B31">
            <v>0.37153334328802723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0.6885824282722155</v>
          </cell>
          <cell r="G33">
            <v>2.6675749928236074</v>
          </cell>
          <cell r="H33">
            <v>1.9359429342890953</v>
          </cell>
          <cell r="I33">
            <v>0</v>
          </cell>
          <cell r="J33">
            <v>0.47634171826641242</v>
          </cell>
          <cell r="K33">
            <v>0</v>
          </cell>
        </row>
        <row r="34">
          <cell r="I34">
            <v>1.7384653420968688</v>
          </cell>
        </row>
        <row r="38">
          <cell r="B38">
            <v>203.25694042427898</v>
          </cell>
          <cell r="C38">
            <v>276.19100414783117</v>
          </cell>
          <cell r="D38">
            <v>227.4641526182144</v>
          </cell>
          <cell r="E38">
            <v>320.71962923867073</v>
          </cell>
          <cell r="F38">
            <v>46.904278834331429</v>
          </cell>
          <cell r="G38">
            <v>0</v>
          </cell>
          <cell r="H38">
            <v>0.27611891070599165</v>
          </cell>
          <cell r="I38">
            <v>46.828074954552548</v>
          </cell>
          <cell r="J38">
            <v>5.0794848992280253</v>
          </cell>
          <cell r="K38">
            <v>317.21059155436319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3.8598454450178465</v>
          </cell>
          <cell r="F39">
            <v>65.086921489334614</v>
          </cell>
          <cell r="G39">
            <v>35.376211801223725</v>
          </cell>
          <cell r="H39">
            <v>452.24605840607347</v>
          </cell>
          <cell r="I39">
            <v>0</v>
          </cell>
          <cell r="J39">
            <v>61.963843064809112</v>
          </cell>
          <cell r="K39">
            <v>0.29438075733114494</v>
          </cell>
        </row>
        <row r="41">
          <cell r="B41">
            <v>114.95827882309716</v>
          </cell>
          <cell r="C41">
            <v>289.98387594306581</v>
          </cell>
          <cell r="D41">
            <v>83.72219490085503</v>
          </cell>
          <cell r="E41">
            <v>190.72020603978061</v>
          </cell>
          <cell r="F41">
            <v>33.392899660011281</v>
          </cell>
          <cell r="G41">
            <v>79.262978363017254</v>
          </cell>
          <cell r="H41">
            <v>105.67318707200083</v>
          </cell>
          <cell r="I41">
            <v>140.19302295499651</v>
          </cell>
          <cell r="J41">
            <v>427.33529416355151</v>
          </cell>
          <cell r="K41">
            <v>135.97105614831332</v>
          </cell>
        </row>
        <row r="42">
          <cell r="B42">
            <v>14.367194384948013</v>
          </cell>
          <cell r="C42">
            <v>0</v>
          </cell>
          <cell r="D42">
            <v>4.0868667761682992E-2</v>
          </cell>
          <cell r="E42">
            <v>40.924397763176188</v>
          </cell>
          <cell r="F42">
            <v>86.299703785683278</v>
          </cell>
          <cell r="G42">
            <v>61.541525786813466</v>
          </cell>
          <cell r="H42">
            <v>398.60330330676015</v>
          </cell>
          <cell r="I42">
            <v>0</v>
          </cell>
          <cell r="J42">
            <v>50.874247720205133</v>
          </cell>
          <cell r="K42">
            <v>33.582898899804775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93.199007706740758</v>
          </cell>
          <cell r="G44">
            <v>150.95601416258236</v>
          </cell>
          <cell r="H44">
            <v>1212.4695667876806</v>
          </cell>
          <cell r="I44">
            <v>0</v>
          </cell>
          <cell r="J44">
            <v>58.137015314703106</v>
          </cell>
          <cell r="K44">
            <v>0</v>
          </cell>
        </row>
        <row r="45">
          <cell r="B45">
            <v>67.226454778885895</v>
          </cell>
          <cell r="C45">
            <v>0</v>
          </cell>
          <cell r="D45">
            <v>0.19123118763065552</v>
          </cell>
          <cell r="E45">
            <v>191.49195743197006</v>
          </cell>
          <cell r="F45">
            <v>403.81044332897983</v>
          </cell>
          <cell r="G45">
            <v>287.96287496919166</v>
          </cell>
          <cell r="H45">
            <v>1865.1301170213419</v>
          </cell>
          <cell r="I45">
            <v>0</v>
          </cell>
          <cell r="J45">
            <v>238.04893440819035</v>
          </cell>
          <cell r="K45">
            <v>157.13988227213596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8.2191780821917831E-2</v>
          </cell>
        </row>
        <row r="21">
          <cell r="B21">
            <v>156.07513888888892</v>
          </cell>
          <cell r="C21">
            <v>225.9</v>
          </cell>
          <cell r="D21">
            <v>145.9</v>
          </cell>
          <cell r="E21">
            <v>331.05645833333335</v>
          </cell>
          <cell r="F21">
            <v>110.69715277777779</v>
          </cell>
          <cell r="G21">
            <v>0</v>
          </cell>
          <cell r="H21">
            <v>5.614583333333333</v>
          </cell>
          <cell r="I21">
            <v>92.653055555555554</v>
          </cell>
          <cell r="J21">
            <v>99.396527777777777</v>
          </cell>
          <cell r="K21">
            <v>192.38784722222223</v>
          </cell>
        </row>
        <row r="22">
          <cell r="B22">
            <v>9.3813888888888908</v>
          </cell>
          <cell r="C22">
            <v>0</v>
          </cell>
          <cell r="D22">
            <v>0.15263888888888891</v>
          </cell>
          <cell r="E22">
            <v>40.37222222222222</v>
          </cell>
          <cell r="F22">
            <v>184.0477083333333</v>
          </cell>
          <cell r="G22">
            <v>77.127499999999998</v>
          </cell>
          <cell r="H22">
            <v>865.79416666666668</v>
          </cell>
          <cell r="I22">
            <v>0</v>
          </cell>
          <cell r="J22">
            <v>169.58479166666666</v>
          </cell>
          <cell r="K22">
            <v>13.070277777777781</v>
          </cell>
        </row>
        <row r="24">
          <cell r="B24">
            <v>112.37410000000003</v>
          </cell>
          <cell r="C24">
            <v>162.648</v>
          </cell>
          <cell r="D24">
            <v>105.048</v>
          </cell>
          <cell r="E24">
            <v>238.36064999999999</v>
          </cell>
          <cell r="F24">
            <v>79.701950000000011</v>
          </cell>
          <cell r="G24">
            <v>0</v>
          </cell>
          <cell r="H24">
            <v>4.0425000000000004</v>
          </cell>
          <cell r="I24">
            <v>66.7102</v>
          </cell>
          <cell r="J24">
            <v>71.5655</v>
          </cell>
          <cell r="K24">
            <v>138.51925</v>
          </cell>
        </row>
        <row r="25">
          <cell r="B25">
            <v>6.7546000000000017</v>
          </cell>
          <cell r="C25">
            <v>0</v>
          </cell>
          <cell r="D25">
            <v>0.10990000000000001</v>
          </cell>
          <cell r="E25">
            <v>29.068000000000001</v>
          </cell>
          <cell r="F25">
            <v>132.51434999999998</v>
          </cell>
          <cell r="G25">
            <v>55.531799999999997</v>
          </cell>
          <cell r="H25">
            <v>623.37180000000001</v>
          </cell>
          <cell r="I25">
            <v>0</v>
          </cell>
          <cell r="J25">
            <v>122.10104999999999</v>
          </cell>
          <cell r="K25">
            <v>9.4106000000000023</v>
          </cell>
        </row>
        <row r="27">
          <cell r="B27">
            <v>1.7647264056117851</v>
          </cell>
          <cell r="C27">
            <v>1.6520855130026104</v>
          </cell>
          <cell r="D27">
            <v>2.1043550114977649</v>
          </cell>
          <cell r="E27">
            <v>1.3132456186371428</v>
          </cell>
          <cell r="F27">
            <v>0.62893472926784533</v>
          </cell>
          <cell r="G27">
            <v>0</v>
          </cell>
          <cell r="H27">
            <v>1.0957099631190145E-2</v>
          </cell>
          <cell r="I27">
            <v>0.37947996154305685</v>
          </cell>
          <cell r="J27">
            <v>6.9954863261264072E-2</v>
          </cell>
          <cell r="K27">
            <v>2.3070185575370443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0.12863193547272822</v>
          </cell>
          <cell r="F28">
            <v>0.48226096265035828</v>
          </cell>
          <cell r="G28">
            <v>0.62800847210178279</v>
          </cell>
          <cell r="H28">
            <v>0.71964251528278744</v>
          </cell>
          <cell r="I28">
            <v>0</v>
          </cell>
          <cell r="J28">
            <v>0.53524650774787297</v>
          </cell>
          <cell r="K28">
            <v>3.1918309305800467E-2</v>
          </cell>
        </row>
        <row r="30">
          <cell r="B30">
            <v>0.52181025913770407</v>
          </cell>
        </row>
        <row r="31">
          <cell r="B31">
            <v>0.35954839673034888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0.69119344587925702</v>
          </cell>
          <cell r="G33">
            <v>2.6816215593578976</v>
          </cell>
          <cell r="H33">
            <v>1.9445965515009476</v>
          </cell>
          <cell r="I33">
            <v>0</v>
          </cell>
          <cell r="J33">
            <v>0.47338836102154552</v>
          </cell>
          <cell r="K33">
            <v>0</v>
          </cell>
        </row>
        <row r="34">
          <cell r="I34">
            <v>1.6823858149324533</v>
          </cell>
        </row>
        <row r="38">
          <cell r="B38">
            <v>194.63226740112646</v>
          </cell>
          <cell r="C38">
            <v>268.70840451884862</v>
          </cell>
          <cell r="D38">
            <v>221.05828524781728</v>
          </cell>
          <cell r="E38">
            <v>310.78655371127968</v>
          </cell>
          <cell r="F38">
            <v>45.814771286486149</v>
          </cell>
          <cell r="G38">
            <v>0</v>
          </cell>
          <cell r="H38">
            <v>0.27611891070599165</v>
          </cell>
          <cell r="I38">
            <v>45.537609201252906</v>
          </cell>
          <cell r="J38">
            <v>4.9281735374287408</v>
          </cell>
          <cell r="K38">
            <v>305.60969578070882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3.7294642022743307</v>
          </cell>
          <cell r="F39">
            <v>63.015789442096036</v>
          </cell>
          <cell r="G39">
            <v>34.295669619343244</v>
          </cell>
          <cell r="H39">
            <v>437.85978201959267</v>
          </cell>
          <cell r="I39">
            <v>0</v>
          </cell>
          <cell r="J39">
            <v>59.676460843256969</v>
          </cell>
          <cell r="K39">
            <v>0.28792512871731124</v>
          </cell>
        </row>
        <row r="41">
          <cell r="B41">
            <v>111.24994724815855</v>
          </cell>
          <cell r="C41">
            <v>280.62955736425727</v>
          </cell>
          <cell r="D41">
            <v>81.021478936311325</v>
          </cell>
          <cell r="E41">
            <v>184.56794132881996</v>
          </cell>
          <cell r="F41">
            <v>32.315709348398009</v>
          </cell>
          <cell r="G41">
            <v>76.706108093242506</v>
          </cell>
          <cell r="H41">
            <v>102.26437458580726</v>
          </cell>
          <cell r="I41">
            <v>135.67066737580308</v>
          </cell>
          <cell r="J41">
            <v>413.55028467440462</v>
          </cell>
          <cell r="K41">
            <v>131.58489304675484</v>
          </cell>
        </row>
        <row r="42">
          <cell r="B42">
            <v>13.903736501562593</v>
          </cell>
          <cell r="C42">
            <v>0</v>
          </cell>
          <cell r="D42">
            <v>3.9550323640338378E-2</v>
          </cell>
          <cell r="E42">
            <v>39.604255899847914</v>
          </cell>
          <cell r="F42">
            <v>83.515842373241867</v>
          </cell>
          <cell r="G42">
            <v>59.556315277561417</v>
          </cell>
          <cell r="H42">
            <v>385.74513223234857</v>
          </cell>
          <cell r="I42">
            <v>0</v>
          </cell>
          <cell r="J42">
            <v>49.233142955037223</v>
          </cell>
          <cell r="K42">
            <v>32.499579580456235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90.206125574255438</v>
          </cell>
          <cell r="G44">
            <v>146.33300441103563</v>
          </cell>
          <cell r="H44">
            <v>1173.6252389006424</v>
          </cell>
          <cell r="I44">
            <v>0</v>
          </cell>
          <cell r="J44">
            <v>55.733957538298846</v>
          </cell>
          <cell r="K44">
            <v>0</v>
          </cell>
        </row>
        <row r="45">
          <cell r="B45">
            <v>65.057859463437964</v>
          </cell>
          <cell r="C45">
            <v>0</v>
          </cell>
          <cell r="D45">
            <v>0.18506243964256985</v>
          </cell>
          <cell r="E45">
            <v>185.31479751480973</v>
          </cell>
          <cell r="F45">
            <v>390.78429999578691</v>
          </cell>
          <cell r="G45">
            <v>278.67374997018538</v>
          </cell>
          <cell r="H45">
            <v>1804.9646293754922</v>
          </cell>
          <cell r="I45">
            <v>0</v>
          </cell>
          <cell r="J45">
            <v>230.36993652405513</v>
          </cell>
          <cell r="K45">
            <v>152.07085381174446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8.4931506849315067E-2</v>
          </cell>
        </row>
        <row r="21">
          <cell r="B21">
            <v>158.46525537634409</v>
          </cell>
          <cell r="C21">
            <v>225.90000000000003</v>
          </cell>
          <cell r="D21">
            <v>145.9</v>
          </cell>
          <cell r="E21">
            <v>332.33481182795691</v>
          </cell>
          <cell r="F21">
            <v>110.99327956989248</v>
          </cell>
          <cell r="G21">
            <v>0</v>
          </cell>
          <cell r="H21">
            <v>5.950940860215054</v>
          </cell>
          <cell r="I21">
            <v>97.82069892473119</v>
          </cell>
          <cell r="J21">
            <v>99.796841397849448</v>
          </cell>
          <cell r="K21">
            <v>195.43030913978492</v>
          </cell>
        </row>
        <row r="22">
          <cell r="B22">
            <v>9.4532930107526898</v>
          </cell>
          <cell r="C22">
            <v>0</v>
          </cell>
          <cell r="D22">
            <v>0.15551075268817205</v>
          </cell>
          <cell r="E22">
            <v>40.735349462365591</v>
          </cell>
          <cell r="F22">
            <v>185.97204301075271</v>
          </cell>
          <cell r="G22">
            <v>77.825806451612891</v>
          </cell>
          <cell r="H22">
            <v>873.9112903225805</v>
          </cell>
          <cell r="I22">
            <v>0</v>
          </cell>
          <cell r="J22">
            <v>171.20436827956991</v>
          </cell>
          <cell r="K22">
            <v>13.188911290322583</v>
          </cell>
        </row>
        <row r="24">
          <cell r="B24">
            <v>117.89815000000002</v>
          </cell>
          <cell r="C24">
            <v>168.06960000000004</v>
          </cell>
          <cell r="D24">
            <v>108.54960000000001</v>
          </cell>
          <cell r="E24">
            <v>247.25709999999995</v>
          </cell>
          <cell r="F24">
            <v>82.578999999999994</v>
          </cell>
          <cell r="G24">
            <v>0</v>
          </cell>
          <cell r="H24">
            <v>4.4275000000000002</v>
          </cell>
          <cell r="I24">
            <v>72.778600000000012</v>
          </cell>
          <cell r="J24">
            <v>74.24884999999999</v>
          </cell>
          <cell r="K24">
            <v>145.40015</v>
          </cell>
        </row>
        <row r="25">
          <cell r="B25">
            <v>7.0332500000000007</v>
          </cell>
          <cell r="C25">
            <v>0</v>
          </cell>
          <cell r="D25">
            <v>0.1157</v>
          </cell>
          <cell r="E25">
            <v>30.307099999999998</v>
          </cell>
          <cell r="F25">
            <v>138.36320000000001</v>
          </cell>
          <cell r="G25">
            <v>57.902399999999993</v>
          </cell>
          <cell r="H25">
            <v>650.18999999999983</v>
          </cell>
          <cell r="I25">
            <v>0</v>
          </cell>
          <cell r="J25">
            <v>127.37605000000002</v>
          </cell>
          <cell r="K25">
            <v>9.8125500000000017</v>
          </cell>
        </row>
        <row r="27">
          <cell r="B27">
            <v>1.7505119857338427</v>
          </cell>
          <cell r="C27">
            <v>1.638148019901948</v>
          </cell>
          <cell r="D27">
            <v>2.089901186524568</v>
          </cell>
          <cell r="E27">
            <v>1.3001634607213435</v>
          </cell>
          <cell r="F27">
            <v>0.62069337001154146</v>
          </cell>
          <cell r="G27">
            <v>0</v>
          </cell>
          <cell r="H27">
            <v>1.16135157381278E-2</v>
          </cell>
          <cell r="I27">
            <v>0.39978451664464754</v>
          </cell>
          <cell r="J27">
            <v>6.9463134943672511E-2</v>
          </cell>
          <cell r="K27">
            <v>2.2802837611307551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0.12845433588067098</v>
          </cell>
          <cell r="F28">
            <v>0.4801969528713988</v>
          </cell>
          <cell r="G28">
            <v>0.62376683833887825</v>
          </cell>
          <cell r="H28">
            <v>0.71386242607170836</v>
          </cell>
          <cell r="I28">
            <v>0</v>
          </cell>
          <cell r="J28">
            <v>0.51959429482306163</v>
          </cell>
          <cell r="K28">
            <v>3.1319879767973041E-2</v>
          </cell>
        </row>
        <row r="30">
          <cell r="B30">
            <v>0.5392039344422942</v>
          </cell>
        </row>
        <row r="31">
          <cell r="B31">
            <v>0.37153334328802723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0.6888676599230914</v>
          </cell>
          <cell r="G33">
            <v>2.6650923219380145</v>
          </cell>
          <cell r="H33">
            <v>1.9240681468421648</v>
          </cell>
          <cell r="I33">
            <v>0</v>
          </cell>
          <cell r="J33">
            <v>0.46822360728015711</v>
          </cell>
          <cell r="K33">
            <v>0</v>
          </cell>
        </row>
        <row r="34">
          <cell r="I34">
            <v>1.7384653420968683</v>
          </cell>
        </row>
        <row r="38">
          <cell r="B38">
            <v>202.91088077018267</v>
          </cell>
          <cell r="C38">
            <v>275.32288244571248</v>
          </cell>
          <cell r="D38">
            <v>226.85793783676721</v>
          </cell>
          <cell r="E38">
            <v>319.35263891805727</v>
          </cell>
          <cell r="F38">
            <v>46.768521831891746</v>
          </cell>
          <cell r="G38">
            <v>0</v>
          </cell>
          <cell r="H38">
            <v>0.30241594982084791</v>
          </cell>
          <cell r="I38">
            <v>49.628721362648498</v>
          </cell>
          <cell r="J38">
            <v>5.0746896096498055</v>
          </cell>
          <cell r="K38">
            <v>317.71158685744604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3.8836995204529923</v>
          </cell>
          <cell r="F39">
            <v>65.520502541687023</v>
          </cell>
          <cell r="G39">
            <v>35.538540306675223</v>
          </cell>
          <cell r="H39">
            <v>453.22583049832002</v>
          </cell>
          <cell r="I39">
            <v>0</v>
          </cell>
          <cell r="J39">
            <v>60.363819289125807</v>
          </cell>
          <cell r="K39">
            <v>0.29486880752872036</v>
          </cell>
        </row>
        <row r="41">
          <cell r="B41">
            <v>114.95827882309715</v>
          </cell>
          <cell r="C41">
            <v>289.98387594306581</v>
          </cell>
          <cell r="D41">
            <v>83.72219490085503</v>
          </cell>
          <cell r="E41">
            <v>190.72020603978058</v>
          </cell>
          <cell r="F41">
            <v>33.392899660011281</v>
          </cell>
          <cell r="G41">
            <v>79.262978363017254</v>
          </cell>
          <cell r="H41">
            <v>105.67318707200081</v>
          </cell>
          <cell r="I41">
            <v>140.19302295499648</v>
          </cell>
          <cell r="J41">
            <v>427.3352941635514</v>
          </cell>
          <cell r="K41">
            <v>135.97105614831332</v>
          </cell>
        </row>
        <row r="42">
          <cell r="B42">
            <v>14.367194384948013</v>
          </cell>
          <cell r="C42">
            <v>0</v>
          </cell>
          <cell r="D42">
            <v>4.0868667761682992E-2</v>
          </cell>
          <cell r="E42">
            <v>40.924397763176188</v>
          </cell>
          <cell r="F42">
            <v>86.299703785683278</v>
          </cell>
          <cell r="G42">
            <v>61.541525786813459</v>
          </cell>
          <cell r="H42">
            <v>398.60330330676015</v>
          </cell>
          <cell r="I42">
            <v>0</v>
          </cell>
          <cell r="J42">
            <v>50.874247720205126</v>
          </cell>
          <cell r="K42">
            <v>33.582898899804775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93.850396226181431</v>
          </cell>
          <cell r="G44">
            <v>151.71513424556167</v>
          </cell>
          <cell r="H44">
            <v>1211.71744088072</v>
          </cell>
          <cell r="I44">
            <v>0</v>
          </cell>
          <cell r="J44">
            <v>57.478632619243825</v>
          </cell>
          <cell r="K44">
            <v>0</v>
          </cell>
        </row>
        <row r="45">
          <cell r="B45">
            <v>67.226454778885881</v>
          </cell>
          <cell r="C45">
            <v>0</v>
          </cell>
          <cell r="D45">
            <v>0.19123118763065552</v>
          </cell>
          <cell r="E45">
            <v>191.49195743197001</v>
          </cell>
          <cell r="F45">
            <v>403.81044332897977</v>
          </cell>
          <cell r="G45">
            <v>287.9628749691916</v>
          </cell>
          <cell r="H45">
            <v>1865.1301170213414</v>
          </cell>
          <cell r="I45">
            <v>0</v>
          </cell>
          <cell r="J45">
            <v>238.04893440819032</v>
          </cell>
          <cell r="K45">
            <v>157.13988227213594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8.2191780821917804E-2</v>
          </cell>
        </row>
        <row r="21">
          <cell r="B21">
            <v>153.62333333333333</v>
          </cell>
          <cell r="C21">
            <v>225.9</v>
          </cell>
          <cell r="D21">
            <v>145.90000000000003</v>
          </cell>
          <cell r="E21">
            <v>329.96375</v>
          </cell>
          <cell r="F21">
            <v>109.85291666666667</v>
          </cell>
          <cell r="G21">
            <v>0</v>
          </cell>
          <cell r="H21">
            <v>4.8125</v>
          </cell>
          <cell r="I21">
            <v>82.088333333333338</v>
          </cell>
          <cell r="J21">
            <v>98.512916666666669</v>
          </cell>
          <cell r="K21">
            <v>188.58</v>
          </cell>
        </row>
        <row r="22">
          <cell r="B22">
            <v>9.2316666666666674</v>
          </cell>
          <cell r="C22">
            <v>0</v>
          </cell>
          <cell r="D22">
            <v>0.14708333333333334</v>
          </cell>
          <cell r="E22">
            <v>39.799166666666672</v>
          </cell>
          <cell r="F22">
            <v>181.02041666666668</v>
          </cell>
          <cell r="G22">
            <v>76.024999999999991</v>
          </cell>
          <cell r="H22">
            <v>853.03125</v>
          </cell>
          <cell r="I22">
            <v>0</v>
          </cell>
          <cell r="J22">
            <v>166.93625</v>
          </cell>
          <cell r="K22">
            <v>12.879166666666665</v>
          </cell>
        </row>
        <row r="24">
          <cell r="B24">
            <v>110.6088</v>
          </cell>
          <cell r="C24">
            <v>162.648</v>
          </cell>
          <cell r="D24">
            <v>105.04800000000002</v>
          </cell>
          <cell r="E24">
            <v>237.57389999999998</v>
          </cell>
          <cell r="F24">
            <v>79.094100000000012</v>
          </cell>
          <cell r="G24">
            <v>0</v>
          </cell>
          <cell r="H24">
            <v>3.4649999999999999</v>
          </cell>
          <cell r="I24">
            <v>59.1036</v>
          </cell>
          <cell r="J24">
            <v>70.929299999999998</v>
          </cell>
          <cell r="K24">
            <v>135.77760000000001</v>
          </cell>
        </row>
        <row r="25">
          <cell r="B25">
            <v>6.6467999999999998</v>
          </cell>
          <cell r="C25">
            <v>0</v>
          </cell>
          <cell r="D25">
            <v>0.10590000000000001</v>
          </cell>
          <cell r="E25">
            <v>28.6554</v>
          </cell>
          <cell r="F25">
            <v>130.3347</v>
          </cell>
          <cell r="G25">
            <v>54.737999999999992</v>
          </cell>
          <cell r="H25">
            <v>614.1825</v>
          </cell>
          <cell r="I25">
            <v>0</v>
          </cell>
          <cell r="J25">
            <v>120.19410000000001</v>
          </cell>
          <cell r="K25">
            <v>9.2729999999999979</v>
          </cell>
        </row>
        <row r="27">
          <cell r="B27">
            <v>1.7828702454028988</v>
          </cell>
          <cell r="C27">
            <v>1.6694625801981755</v>
          </cell>
          <cell r="D27">
            <v>2.1225980447144375</v>
          </cell>
          <cell r="E27">
            <v>1.3298440410046577</v>
          </cell>
          <cell r="F27">
            <v>0.64080397872222827</v>
          </cell>
          <cell r="G27">
            <v>0</v>
          </cell>
          <cell r="H27">
            <v>9.3917996838772666E-3</v>
          </cell>
          <cell r="I27">
            <v>0.34221267913380249</v>
          </cell>
          <cell r="J27">
            <v>7.0754954551356525E-2</v>
          </cell>
          <cell r="K27">
            <v>2.3396635807775121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0.12880616353791674</v>
          </cell>
          <cell r="F28">
            <v>0.48409783547333485</v>
          </cell>
          <cell r="G28">
            <v>0.63259848438806032</v>
          </cell>
          <cell r="H28">
            <v>0.72725293472522179</v>
          </cell>
          <cell r="I28">
            <v>0</v>
          </cell>
          <cell r="J28">
            <v>0.56408434796796902</v>
          </cell>
          <cell r="K28">
            <v>3.2581106399130852E-2</v>
          </cell>
        </row>
        <row r="30">
          <cell r="B30">
            <v>0.52181025913770429</v>
          </cell>
        </row>
        <row r="31">
          <cell r="B31">
            <v>0.35954839673034894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0.69297553060343586</v>
          </cell>
          <cell r="G33">
            <v>2.6986805718497582</v>
          </cell>
          <cell r="H33">
            <v>1.9743482885398789</v>
          </cell>
          <cell r="I33">
            <v>0</v>
          </cell>
          <cell r="J33">
            <v>0.48587221675338382</v>
          </cell>
          <cell r="K33">
            <v>0</v>
          </cell>
        </row>
        <row r="34">
          <cell r="I34">
            <v>1.6823858149324538</v>
          </cell>
        </row>
        <row r="38">
          <cell r="B38">
            <v>193.42351982725853</v>
          </cell>
          <cell r="C38">
            <v>271.53474974407288</v>
          </cell>
          <cell r="D38">
            <v>222.97467940116226</v>
          </cell>
          <cell r="E38">
            <v>313.61268737094252</v>
          </cell>
          <cell r="F38">
            <v>46.434263743766948</v>
          </cell>
          <cell r="G38">
            <v>0</v>
          </cell>
          <cell r="H38">
            <v>0.23667335203370712</v>
          </cell>
          <cell r="I38">
            <v>40.691406712459177</v>
          </cell>
          <cell r="J38">
            <v>4.9479145639109703</v>
          </cell>
          <cell r="K38">
            <v>303.49598488004767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3.6813276356330369</v>
          </cell>
          <cell r="F39">
            <v>62.260538634288551</v>
          </cell>
          <cell r="G39">
            <v>34.057175571328528</v>
          </cell>
          <cell r="H39">
            <v>436.27537769426777</v>
          </cell>
          <cell r="I39">
            <v>0</v>
          </cell>
          <cell r="J39">
            <v>62.300932045106705</v>
          </cell>
          <cell r="K39">
            <v>0.28973967465602707</v>
          </cell>
        </row>
        <row r="41">
          <cell r="B41">
            <v>111.24994724815855</v>
          </cell>
          <cell r="C41">
            <v>280.62955736425732</v>
          </cell>
          <cell r="D41">
            <v>81.021478936311325</v>
          </cell>
          <cell r="E41">
            <v>184.56794132881996</v>
          </cell>
          <cell r="F41">
            <v>32.315709348398016</v>
          </cell>
          <cell r="G41">
            <v>76.70610809324252</v>
          </cell>
          <cell r="H41">
            <v>102.26437458580726</v>
          </cell>
          <cell r="I41">
            <v>135.67066737580311</v>
          </cell>
          <cell r="J41">
            <v>413.55028467440468</v>
          </cell>
          <cell r="K41">
            <v>131.58489304675484</v>
          </cell>
        </row>
        <row r="42">
          <cell r="B42">
            <v>13.903736501562594</v>
          </cell>
          <cell r="C42">
            <v>0</v>
          </cell>
          <cell r="D42">
            <v>3.9550323640338385E-2</v>
          </cell>
          <cell r="E42">
            <v>39.604255899847935</v>
          </cell>
          <cell r="F42">
            <v>83.515842373241881</v>
          </cell>
          <cell r="G42">
            <v>59.556315277561431</v>
          </cell>
          <cell r="H42">
            <v>385.74513223234857</v>
          </cell>
          <cell r="I42">
            <v>0</v>
          </cell>
          <cell r="J42">
            <v>49.233142955037238</v>
          </cell>
          <cell r="K42">
            <v>32.499579580456242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89.045616570682043</v>
          </cell>
          <cell r="G44">
            <v>145.18495145780534</v>
          </cell>
          <cell r="H44">
            <v>1175.2160770271576</v>
          </cell>
          <cell r="I44">
            <v>0</v>
          </cell>
          <cell r="J44">
            <v>56.451681368587593</v>
          </cell>
          <cell r="K44">
            <v>0</v>
          </cell>
        </row>
        <row r="45">
          <cell r="B45">
            <v>65.057859463437978</v>
          </cell>
          <cell r="C45">
            <v>0</v>
          </cell>
          <cell r="D45">
            <v>0.18506243964256985</v>
          </cell>
          <cell r="E45">
            <v>185.31479751480973</v>
          </cell>
          <cell r="F45">
            <v>390.7842999957868</v>
          </cell>
          <cell r="G45">
            <v>278.67374997018544</v>
          </cell>
          <cell r="H45">
            <v>1804.9646293754922</v>
          </cell>
          <cell r="I45">
            <v>0</v>
          </cell>
          <cell r="J45">
            <v>230.36993652405522</v>
          </cell>
          <cell r="K45">
            <v>152.07085381174448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8.4931506849315067E-2</v>
          </cell>
        </row>
        <row r="21">
          <cell r="B21">
            <v>154.40719086021508</v>
          </cell>
          <cell r="C21">
            <v>225.9</v>
          </cell>
          <cell r="D21">
            <v>145.9</v>
          </cell>
          <cell r="E21">
            <v>330.13870967741934</v>
          </cell>
          <cell r="F21">
            <v>110.55389784946237</v>
          </cell>
          <cell r="G21">
            <v>0</v>
          </cell>
          <cell r="H21">
            <v>5.433467741935484</v>
          </cell>
          <cell r="I21">
            <v>89.66424731182795</v>
          </cell>
          <cell r="J21">
            <v>99.172647849462379</v>
          </cell>
          <cell r="K21">
            <v>190.34522849462365</v>
          </cell>
        </row>
        <row r="22">
          <cell r="B22">
            <v>9.340120967741937</v>
          </cell>
          <cell r="C22">
            <v>0</v>
          </cell>
          <cell r="D22">
            <v>0.15094086021505379</v>
          </cell>
          <cell r="E22">
            <v>40.142338709677418</v>
          </cell>
          <cell r="F22">
            <v>182.82836021505375</v>
          </cell>
          <cell r="G22">
            <v>76.68548387096773</v>
          </cell>
          <cell r="H22">
            <v>860.65000000000009</v>
          </cell>
          <cell r="I22">
            <v>0</v>
          </cell>
          <cell r="J22">
            <v>168.57036290322583</v>
          </cell>
          <cell r="K22">
            <v>12.995631720430108</v>
          </cell>
        </row>
        <row r="24">
          <cell r="B24">
            <v>114.87895000000003</v>
          </cell>
          <cell r="C24">
            <v>168.06960000000001</v>
          </cell>
          <cell r="D24">
            <v>108.54960000000001</v>
          </cell>
          <cell r="E24">
            <v>245.62320000000003</v>
          </cell>
          <cell r="F24">
            <v>82.252100000000013</v>
          </cell>
          <cell r="G24">
            <v>0</v>
          </cell>
          <cell r="H24">
            <v>4.0425000000000004</v>
          </cell>
          <cell r="I24">
            <v>66.7102</v>
          </cell>
          <cell r="J24">
            <v>73.784450000000007</v>
          </cell>
          <cell r="K24">
            <v>141.61685</v>
          </cell>
        </row>
        <row r="25">
          <cell r="B25">
            <v>6.9490500000000015</v>
          </cell>
          <cell r="C25">
            <v>0</v>
          </cell>
          <cell r="D25">
            <v>0.11230000000000001</v>
          </cell>
          <cell r="E25">
            <v>29.8659</v>
          </cell>
          <cell r="F25">
            <v>136.02429999999998</v>
          </cell>
          <cell r="G25">
            <v>57.053999999999995</v>
          </cell>
          <cell r="H25">
            <v>640.32360000000006</v>
          </cell>
          <cell r="I25">
            <v>0</v>
          </cell>
          <cell r="J25">
            <v>125.41635000000001</v>
          </cell>
          <cell r="K25">
            <v>9.6687499999999993</v>
          </cell>
        </row>
        <row r="27">
          <cell r="B27">
            <v>1.774228075859003</v>
          </cell>
          <cell r="C27">
            <v>1.6614505507951685</v>
          </cell>
          <cell r="D27">
            <v>2.1140409230486599</v>
          </cell>
          <cell r="E27">
            <v>1.322002173369716</v>
          </cell>
          <cell r="F27">
            <v>0.63428537224242998</v>
          </cell>
          <cell r="G27">
            <v>0</v>
          </cell>
          <cell r="H27">
            <v>1.0603644804377558E-2</v>
          </cell>
          <cell r="I27">
            <v>0.36723867246102276</v>
          </cell>
          <cell r="J27">
            <v>7.0263334079458645E-2</v>
          </cell>
          <cell r="K27">
            <v>2.3250631536301118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0.12875680692016639</v>
          </cell>
          <cell r="F28">
            <v>0.48373422897121071</v>
          </cell>
          <cell r="G28">
            <v>0.63094048186248441</v>
          </cell>
          <cell r="H28">
            <v>0.72347896135960166</v>
          </cell>
          <cell r="I28">
            <v>0</v>
          </cell>
          <cell r="J28">
            <v>0.5446701259215343</v>
          </cell>
          <cell r="K28">
            <v>3.2330186013485619E-2</v>
          </cell>
        </row>
        <row r="30">
          <cell r="B30">
            <v>0.53920393444229431</v>
          </cell>
        </row>
        <row r="31">
          <cell r="B31">
            <v>0.37153334328802723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0.69288731946518967</v>
          </cell>
          <cell r="G33">
            <v>2.6931444236994611</v>
          </cell>
          <cell r="H33">
            <v>1.957902579120429</v>
          </cell>
          <cell r="I33">
            <v>0</v>
          </cell>
          <cell r="J33">
            <v>0.47614968672410796</v>
          </cell>
          <cell r="K33">
            <v>0</v>
          </cell>
        </row>
        <row r="34">
          <cell r="I34">
            <v>1.7384653420968688</v>
          </cell>
        </row>
        <row r="38">
          <cell r="B38">
            <v>199.80126631425401</v>
          </cell>
          <cell r="C38">
            <v>279.23932949192368</v>
          </cell>
          <cell r="D38">
            <v>229.4782965805629</v>
          </cell>
          <cell r="E38">
            <v>322.27092559615591</v>
          </cell>
          <cell r="F38">
            <v>47.73599274157398</v>
          </cell>
          <cell r="G38">
            <v>0</v>
          </cell>
          <cell r="H38">
            <v>0.27611891070599165</v>
          </cell>
          <cell r="I38">
            <v>45.537609201252906</v>
          </cell>
          <cell r="J38">
            <v>5.1045810834578251</v>
          </cell>
          <cell r="K38">
            <v>314.48615566228932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3.8351345380406938</v>
          </cell>
          <cell r="F39">
            <v>64.877163030776813</v>
          </cell>
          <cell r="G39">
            <v>35.386209221548768</v>
          </cell>
          <cell r="H39">
            <v>452.01656603216367</v>
          </cell>
          <cell r="I39">
            <v>0</v>
          </cell>
          <cell r="J39">
            <v>62.412714141458686</v>
          </cell>
          <cell r="K39">
            <v>0.29947399980130268</v>
          </cell>
        </row>
        <row r="41">
          <cell r="B41">
            <v>114.95827882309715</v>
          </cell>
          <cell r="C41">
            <v>289.98387594306587</v>
          </cell>
          <cell r="D41">
            <v>83.722194900855044</v>
          </cell>
          <cell r="E41">
            <v>190.72020603978061</v>
          </cell>
          <cell r="F41">
            <v>33.392899660011281</v>
          </cell>
          <cell r="G41">
            <v>79.262978363017254</v>
          </cell>
          <cell r="H41">
            <v>105.67318707200083</v>
          </cell>
          <cell r="I41">
            <v>140.19302295499651</v>
          </cell>
          <cell r="J41">
            <v>427.33529416355145</v>
          </cell>
          <cell r="K41">
            <v>135.97105614831335</v>
          </cell>
        </row>
        <row r="42">
          <cell r="B42">
            <v>14.367194384948014</v>
          </cell>
          <cell r="C42">
            <v>0</v>
          </cell>
          <cell r="D42">
            <v>4.0868667761682992E-2</v>
          </cell>
          <cell r="E42">
            <v>40.924397763176188</v>
          </cell>
          <cell r="F42">
            <v>86.299703785683278</v>
          </cell>
          <cell r="G42">
            <v>61.541525786813466</v>
          </cell>
          <cell r="H42">
            <v>398.60330330676015</v>
          </cell>
          <cell r="I42">
            <v>0</v>
          </cell>
          <cell r="J42">
            <v>50.87424772020514</v>
          </cell>
          <cell r="K42">
            <v>33.582898899804782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92.832155257916085</v>
          </cell>
          <cell r="G44">
            <v>150.93726850505959</v>
          </cell>
          <cell r="H44">
            <v>1213.3948653198286</v>
          </cell>
          <cell r="I44">
            <v>0</v>
          </cell>
          <cell r="J44">
            <v>57.597314888902744</v>
          </cell>
          <cell r="K44">
            <v>0</v>
          </cell>
        </row>
        <row r="45">
          <cell r="B45">
            <v>67.226454778885895</v>
          </cell>
          <cell r="C45">
            <v>0</v>
          </cell>
          <cell r="D45">
            <v>0.19123118763065552</v>
          </cell>
          <cell r="E45">
            <v>191.49195743197004</v>
          </cell>
          <cell r="F45">
            <v>403.81044332897977</v>
          </cell>
          <cell r="G45">
            <v>287.9628749691916</v>
          </cell>
          <cell r="H45">
            <v>1865.1301170213419</v>
          </cell>
          <cell r="I45">
            <v>0</v>
          </cell>
          <cell r="J45">
            <v>238.04893440819035</v>
          </cell>
          <cell r="K45">
            <v>157.13988227213596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88.383803763440881</v>
          </cell>
          <cell r="C21">
            <v>98</v>
          </cell>
          <cell r="D21">
            <v>66.5</v>
          </cell>
          <cell r="E21">
            <v>201.12862903225809</v>
          </cell>
          <cell r="F21">
            <v>316.02143817204296</v>
          </cell>
          <cell r="G21">
            <v>0</v>
          </cell>
          <cell r="H21">
            <v>188.81377688172046</v>
          </cell>
          <cell r="I21">
            <v>203.55047043010754</v>
          </cell>
          <cell r="J21">
            <v>113.14280913978493</v>
          </cell>
          <cell r="K21">
            <v>167.95725806451617</v>
          </cell>
        </row>
        <row r="22">
          <cell r="B22">
            <v>8.1449596774193544</v>
          </cell>
          <cell r="C22">
            <v>0</v>
          </cell>
          <cell r="D22">
            <v>0.15094086021505379</v>
          </cell>
          <cell r="E22">
            <v>45.841263440860217</v>
          </cell>
          <cell r="F22">
            <v>188.35430107526878</v>
          </cell>
          <cell r="G22">
            <v>80.434274193548404</v>
          </cell>
          <cell r="H22">
            <v>927.82177419354809</v>
          </cell>
          <cell r="I22">
            <v>0</v>
          </cell>
          <cell r="J22">
            <v>178.66169354838709</v>
          </cell>
          <cell r="K22">
            <v>13.768951612903226</v>
          </cell>
        </row>
        <row r="24">
          <cell r="B24">
            <v>65.757550000000023</v>
          </cell>
          <cell r="C24">
            <v>72.912000000000006</v>
          </cell>
          <cell r="D24">
            <v>49.475999999999999</v>
          </cell>
          <cell r="E24">
            <v>149.6397</v>
          </cell>
          <cell r="F24">
            <v>235.11994999999999</v>
          </cell>
          <cell r="G24">
            <v>0</v>
          </cell>
          <cell r="H24">
            <v>140.47745</v>
          </cell>
          <cell r="I24">
            <v>151.44155000000001</v>
          </cell>
          <cell r="J24">
            <v>84.178249999999991</v>
          </cell>
          <cell r="K24">
            <v>124.96020000000003</v>
          </cell>
        </row>
        <row r="25">
          <cell r="B25">
            <v>6.05985</v>
          </cell>
          <cell r="C25">
            <v>0</v>
          </cell>
          <cell r="D25">
            <v>0.11230000000000001</v>
          </cell>
          <cell r="E25">
            <v>34.105899999999998</v>
          </cell>
          <cell r="F25">
            <v>140.13559999999998</v>
          </cell>
          <cell r="G25">
            <v>59.843100000000014</v>
          </cell>
          <cell r="H25">
            <v>690.29939999999976</v>
          </cell>
          <cell r="I25">
            <v>0</v>
          </cell>
          <cell r="J25">
            <v>132.92429999999999</v>
          </cell>
          <cell r="K25">
            <v>10.2441</v>
          </cell>
        </row>
        <row r="27">
          <cell r="B27">
            <v>2.7108996677485537</v>
          </cell>
          <cell r="C27">
            <v>2.4256931942381397</v>
          </cell>
          <cell r="D27">
            <v>3.0746184701139057</v>
          </cell>
          <cell r="E27">
            <v>2.1087776771498872</v>
          </cell>
          <cell r="F27">
            <v>0.65492063058271421</v>
          </cell>
          <cell r="G27">
            <v>0</v>
          </cell>
          <cell r="H27">
            <v>0.11486900466413721</v>
          </cell>
          <cell r="I27">
            <v>0.65220874374128168</v>
          </cell>
          <cell r="J27">
            <v>6.4826323280364126E-2</v>
          </cell>
          <cell r="K27">
            <v>3.0829864101975573</v>
          </cell>
        </row>
        <row r="28">
          <cell r="B28">
            <v>6.2884544670690117E-3</v>
          </cell>
          <cell r="C28">
            <v>0</v>
          </cell>
          <cell r="D28">
            <v>0</v>
          </cell>
          <cell r="E28">
            <v>0.30120476652872835</v>
          </cell>
          <cell r="F28">
            <v>0.64966443936173901</v>
          </cell>
          <cell r="G28">
            <v>0.9532667910809911</v>
          </cell>
          <cell r="H28">
            <v>0.65831503202882879</v>
          </cell>
          <cell r="I28">
            <v>0</v>
          </cell>
          <cell r="J28">
            <v>0.24229184568073611</v>
          </cell>
          <cell r="K28">
            <v>4.6599653793752638E-2</v>
          </cell>
        </row>
        <row r="30">
          <cell r="B30">
            <v>0.53117646481671377</v>
          </cell>
        </row>
        <row r="31">
          <cell r="B31">
            <v>0.36600209168241737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0.92532757039562963</v>
          </cell>
          <cell r="G33">
            <v>3.8908136928344947</v>
          </cell>
          <cell r="H33">
            <v>1.8556171568291817</v>
          </cell>
          <cell r="I33">
            <v>0</v>
          </cell>
          <cell r="J33">
            <v>0.30647397438468355</v>
          </cell>
          <cell r="K33">
            <v>0</v>
          </cell>
        </row>
        <row r="34">
          <cell r="I34">
            <v>1.6706710654949488</v>
          </cell>
        </row>
        <row r="38">
          <cell r="B38">
            <v>178.23847337564197</v>
          </cell>
          <cell r="C38">
            <v>176.86214217829124</v>
          </cell>
          <cell r="D38">
            <v>152.11982342735561</v>
          </cell>
          <cell r="E38">
            <v>315.59582448612213</v>
          </cell>
          <cell r="F38">
            <v>150.58850635264758</v>
          </cell>
          <cell r="G38">
            <v>0</v>
          </cell>
          <cell r="H38">
            <v>12.840775023891783</v>
          </cell>
          <cell r="I38">
            <v>91.121286258246997</v>
          </cell>
          <cell r="J38">
            <v>5.3062186581324049</v>
          </cell>
          <cell r="K38">
            <v>385.09549526486569</v>
          </cell>
        </row>
        <row r="39">
          <cell r="B39">
            <v>3.809610236830787E-2</v>
          </cell>
          <cell r="C39">
            <v>0</v>
          </cell>
          <cell r="D39">
            <v>0</v>
          </cell>
          <cell r="E39">
            <v>10.324366237494706</v>
          </cell>
          <cell r="F39">
            <v>90.71696937248926</v>
          </cell>
          <cell r="G39">
            <v>56.682658399961404</v>
          </cell>
          <cell r="H39">
            <v>439.51739940256255</v>
          </cell>
          <cell r="I39">
            <v>0</v>
          </cell>
          <cell r="J39">
            <v>31.274981400723657</v>
          </cell>
          <cell r="K39">
            <v>0.48919123805527814</v>
          </cell>
        </row>
        <row r="41">
          <cell r="B41">
            <v>113.24682229892338</v>
          </cell>
          <cell r="C41">
            <v>285.66670277842854</v>
          </cell>
          <cell r="D41">
            <v>82.475769692091106</v>
          </cell>
          <cell r="E41">
            <v>187.88083384092533</v>
          </cell>
          <cell r="F41">
            <v>32.895758466099075</v>
          </cell>
          <cell r="G41">
            <v>78.082940328056935</v>
          </cell>
          <cell r="H41">
            <v>104.09996357477955</v>
          </cell>
          <cell r="I41">
            <v>138.10588085234556</v>
          </cell>
          <cell r="J41">
            <v>420.97328366119012</v>
          </cell>
          <cell r="K41">
            <v>133.9467691328307</v>
          </cell>
        </row>
        <row r="42">
          <cell r="B42">
            <v>14.153300885359084</v>
          </cell>
          <cell r="C42">
            <v>0</v>
          </cell>
          <cell r="D42">
            <v>4.0260230085065928E-2</v>
          </cell>
          <cell r="E42">
            <v>40.315130398818283</v>
          </cell>
          <cell r="F42">
            <v>85.014905573754959</v>
          </cell>
          <cell r="G42">
            <v>60.625318212259138</v>
          </cell>
          <cell r="H42">
            <v>392.66904410432926</v>
          </cell>
          <cell r="I42">
            <v>0</v>
          </cell>
          <cell r="J42">
            <v>50.116850653507889</v>
          </cell>
          <cell r="K42">
            <v>33.082929067173716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129.23274752452951</v>
          </cell>
          <cell r="G44">
            <v>231.46332646641955</v>
          </cell>
          <cell r="H44">
            <v>1238.9355872554102</v>
          </cell>
          <cell r="I44">
            <v>0</v>
          </cell>
          <cell r="J44">
            <v>40.348171351841749</v>
          </cell>
          <cell r="K44">
            <v>0</v>
          </cell>
        </row>
        <row r="45">
          <cell r="B45">
            <v>64.604850102689682</v>
          </cell>
          <cell r="C45">
            <v>0</v>
          </cell>
          <cell r="D45">
            <v>0.18377381720444441</v>
          </cell>
          <cell r="E45">
            <v>184.02441786426863</v>
          </cell>
          <cell r="F45">
            <v>388.06319992591671</v>
          </cell>
          <cell r="G45">
            <v>276.7332954521226</v>
          </cell>
          <cell r="H45">
            <v>1792.396342012976</v>
          </cell>
          <cell r="I45">
            <v>0</v>
          </cell>
          <cell r="J45">
            <v>228.76582998656545</v>
          </cell>
          <cell r="K45">
            <v>151.01195761008844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7.6712328767123292E-2</v>
          </cell>
        </row>
        <row r="21">
          <cell r="B21">
            <v>88.836830357142858</v>
          </cell>
          <cell r="C21">
            <v>98</v>
          </cell>
          <cell r="D21">
            <v>66.5</v>
          </cell>
          <cell r="E21">
            <v>201.13883928571431</v>
          </cell>
          <cell r="F21">
            <v>317.76406250000002</v>
          </cell>
          <cell r="G21">
            <v>0</v>
          </cell>
          <cell r="H21">
            <v>177.6465029761905</v>
          </cell>
          <cell r="I21">
            <v>210.65438988095238</v>
          </cell>
          <cell r="J21">
            <v>114.32745535714287</v>
          </cell>
          <cell r="K21">
            <v>168.73586309523807</v>
          </cell>
        </row>
        <row r="22">
          <cell r="B22">
            <v>8.1354166666666661</v>
          </cell>
          <cell r="C22">
            <v>0</v>
          </cell>
          <cell r="D22">
            <v>0.14873511904761905</v>
          </cell>
          <cell r="E22">
            <v>45.74568452380953</v>
          </cell>
          <cell r="F22">
            <v>188.24107142857142</v>
          </cell>
          <cell r="G22">
            <v>80.407142857142858</v>
          </cell>
          <cell r="H22">
            <v>927.77581845238092</v>
          </cell>
          <cell r="I22">
            <v>0</v>
          </cell>
          <cell r="J22">
            <v>179.06138392857139</v>
          </cell>
          <cell r="K22">
            <v>13.756994047619049</v>
          </cell>
        </row>
        <row r="24">
          <cell r="B24">
            <v>59.698349999999998</v>
          </cell>
          <cell r="C24">
            <v>65.855999999999995</v>
          </cell>
          <cell r="D24">
            <v>44.688000000000002</v>
          </cell>
          <cell r="E24">
            <v>135.16530000000003</v>
          </cell>
          <cell r="F24">
            <v>213.53745000000001</v>
          </cell>
          <cell r="G24">
            <v>0</v>
          </cell>
          <cell r="H24">
            <v>119.37845000000003</v>
          </cell>
          <cell r="I24">
            <v>141.55975000000001</v>
          </cell>
          <cell r="J24">
            <v>76.828050000000005</v>
          </cell>
          <cell r="K24">
            <v>113.39049999999999</v>
          </cell>
        </row>
        <row r="25">
          <cell r="B25">
            <v>5.4669999999999987</v>
          </cell>
          <cell r="C25">
            <v>0</v>
          </cell>
          <cell r="D25">
            <v>9.9949999999999997E-2</v>
          </cell>
          <cell r="E25">
            <v>30.741100000000003</v>
          </cell>
          <cell r="F25">
            <v>126.49799999999999</v>
          </cell>
          <cell r="G25">
            <v>54.0336</v>
          </cell>
          <cell r="H25">
            <v>623.46534999999994</v>
          </cell>
          <cell r="I25">
            <v>0</v>
          </cell>
          <cell r="J25">
            <v>120.32924999999997</v>
          </cell>
          <cell r="K25">
            <v>9.2446999999999999</v>
          </cell>
        </row>
        <row r="27">
          <cell r="B27">
            <v>2.7031571548077884</v>
          </cell>
          <cell r="C27">
            <v>2.4183101760482555</v>
          </cell>
          <cell r="D27">
            <v>3.0719107495661562</v>
          </cell>
          <cell r="E27">
            <v>2.1023268971743581</v>
          </cell>
          <cell r="F27">
            <v>0.65465198340421005</v>
          </cell>
          <cell r="G27">
            <v>0</v>
          </cell>
          <cell r="H27">
            <v>0.1171854828187687</v>
          </cell>
          <cell r="I27">
            <v>0.63129771934508849</v>
          </cell>
          <cell r="J27">
            <v>6.4291814633687813E-2</v>
          </cell>
          <cell r="K27">
            <v>3.0732717657607673</v>
          </cell>
        </row>
        <row r="28">
          <cell r="B28">
            <v>6.271973564992088E-3</v>
          </cell>
          <cell r="C28">
            <v>0</v>
          </cell>
          <cell r="D28">
            <v>0</v>
          </cell>
          <cell r="E28">
            <v>0.30119558549587755</v>
          </cell>
          <cell r="F28">
            <v>0.64781667386151631</v>
          </cell>
          <cell r="G28">
            <v>0.94925329451160678</v>
          </cell>
          <cell r="H28">
            <v>0.65798597941292369</v>
          </cell>
          <cell r="I28">
            <v>0</v>
          </cell>
          <cell r="J28">
            <v>0.23721206195412498</v>
          </cell>
          <cell r="K28">
            <v>4.642036667492648E-2</v>
          </cell>
        </row>
        <row r="30">
          <cell r="B30">
            <v>0.47977229080219302</v>
          </cell>
        </row>
        <row r="31">
          <cell r="B31">
            <v>0.3305825344228287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0.91960891265910738</v>
          </cell>
          <cell r="G33">
            <v>3.8629685653987686</v>
          </cell>
          <cell r="H33">
            <v>1.8475174126998426</v>
          </cell>
          <cell r="I33">
            <v>0</v>
          </cell>
          <cell r="J33">
            <v>0.30028958437264891</v>
          </cell>
          <cell r="K33">
            <v>0</v>
          </cell>
        </row>
        <row r="34">
          <cell r="I34">
            <v>1.5111489629181323</v>
          </cell>
        </row>
        <row r="38">
          <cell r="B38">
            <v>161.34531913708523</v>
          </cell>
          <cell r="C38">
            <v>159.2602349538339</v>
          </cell>
          <cell r="D38">
            <v>137.27754757661239</v>
          </cell>
          <cell r="E38">
            <v>284.18362193598608</v>
          </cell>
          <cell r="F38">
            <v>136.64887255264813</v>
          </cell>
          <cell r="G38">
            <v>0</v>
          </cell>
          <cell r="H38">
            <v>10.977497572381468</v>
          </cell>
          <cell r="I38">
            <v>82.89262586575596</v>
          </cell>
          <cell r="J38">
            <v>4.810073954783566</v>
          </cell>
          <cell r="K38">
            <v>348.33063421560593</v>
          </cell>
        </row>
        <row r="39">
          <cell r="B39">
            <v>3.4316466849263774E-2</v>
          </cell>
          <cell r="C39">
            <v>0</v>
          </cell>
          <cell r="D39">
            <v>0</v>
          </cell>
          <cell r="E39">
            <v>9.2952234756021532</v>
          </cell>
          <cell r="F39">
            <v>81.638456752206437</v>
          </cell>
          <cell r="G39">
            <v>50.98352093480068</v>
          </cell>
          <cell r="H39">
            <v>397.97775907832187</v>
          </cell>
          <cell r="I39">
            <v>0</v>
          </cell>
          <cell r="J39">
            <v>27.800057652048039</v>
          </cell>
          <cell r="K39">
            <v>0.43913468218261276</v>
          </cell>
        </row>
        <row r="41">
          <cell r="B41">
            <v>102.28745239902757</v>
          </cell>
          <cell r="C41">
            <v>258.02153799341943</v>
          </cell>
          <cell r="D41">
            <v>74.494243592856506</v>
          </cell>
          <cell r="E41">
            <v>169.69881766277129</v>
          </cell>
          <cell r="F41">
            <v>29.712297969379811</v>
          </cell>
          <cell r="G41">
            <v>70.526526747922375</v>
          </cell>
          <cell r="H41">
            <v>94.025773551413792</v>
          </cell>
          <cell r="I41">
            <v>124.7407956085702</v>
          </cell>
          <cell r="J41">
            <v>380.23393362946206</v>
          </cell>
          <cell r="K41">
            <v>120.98417857158901</v>
          </cell>
        </row>
        <row r="42">
          <cell r="B42">
            <v>12.783626606130785</v>
          </cell>
          <cell r="C42">
            <v>0</v>
          </cell>
          <cell r="D42">
            <v>3.6364078786511156E-2</v>
          </cell>
          <cell r="E42">
            <v>36.413666166674581</v>
          </cell>
          <cell r="F42">
            <v>76.787656647262551</v>
          </cell>
          <cell r="G42">
            <v>54.758351933653415</v>
          </cell>
          <cell r="H42">
            <v>354.66881402971683</v>
          </cell>
          <cell r="I42">
            <v>0</v>
          </cell>
          <cell r="J42">
            <v>45.266832848329713</v>
          </cell>
          <cell r="K42">
            <v>29.881355286479483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115.89620532144939</v>
          </cell>
          <cell r="G44">
            <v>207.60293548741456</v>
          </cell>
          <cell r="H44">
            <v>1117.9595762581603</v>
          </cell>
          <cell r="I44">
            <v>0</v>
          </cell>
          <cell r="J44">
            <v>35.831663503708349</v>
          </cell>
          <cell r="K44">
            <v>0</v>
          </cell>
        </row>
        <row r="45">
          <cell r="B45">
            <v>58.436130396044177</v>
          </cell>
          <cell r="C45">
            <v>0</v>
          </cell>
          <cell r="D45">
            <v>0.16622638592099453</v>
          </cell>
          <cell r="E45">
            <v>166.45305826543228</v>
          </cell>
          <cell r="F45">
            <v>351.00943221340168</v>
          </cell>
          <cell r="G45">
            <v>250.30973544963001</v>
          </cell>
          <cell r="H45">
            <v>1621.2514415988439</v>
          </cell>
          <cell r="I45">
            <v>0</v>
          </cell>
          <cell r="J45">
            <v>206.9223881799187</v>
          </cell>
          <cell r="K45">
            <v>136.59275475816997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8.493150684931508E-2</v>
          </cell>
        </row>
        <row r="21">
          <cell r="B21">
            <v>88.419825268817206</v>
          </cell>
          <cell r="C21">
            <v>98</v>
          </cell>
          <cell r="D21">
            <v>66.5</v>
          </cell>
          <cell r="E21">
            <v>200.98084677419354</v>
          </cell>
          <cell r="F21">
            <v>316.97594086021508</v>
          </cell>
          <cell r="G21">
            <v>0</v>
          </cell>
          <cell r="H21">
            <v>196.5690188172043</v>
          </cell>
          <cell r="I21">
            <v>205.37862903225809</v>
          </cell>
          <cell r="J21">
            <v>113.96162634408601</v>
          </cell>
          <cell r="K21">
            <v>167.99502688172043</v>
          </cell>
        </row>
        <row r="22">
          <cell r="B22">
            <v>8.2569220430107517</v>
          </cell>
          <cell r="C22">
            <v>0</v>
          </cell>
          <cell r="D22">
            <v>0.15322580645161293</v>
          </cell>
          <cell r="E22">
            <v>46.193884408602152</v>
          </cell>
          <cell r="F22">
            <v>190.02069892473114</v>
          </cell>
          <cell r="G22">
            <v>81.036693548387106</v>
          </cell>
          <cell r="H22">
            <v>934.73655913978484</v>
          </cell>
          <cell r="I22">
            <v>0</v>
          </cell>
          <cell r="J22">
            <v>180.18508064516126</v>
          </cell>
          <cell r="K22">
            <v>13.873924731182795</v>
          </cell>
        </row>
        <row r="24">
          <cell r="B24">
            <v>65.784350000000003</v>
          </cell>
          <cell r="C24">
            <v>72.912000000000006</v>
          </cell>
          <cell r="D24">
            <v>49.475999999999999</v>
          </cell>
          <cell r="E24">
            <v>149.52975000000001</v>
          </cell>
          <cell r="F24">
            <v>235.83010000000002</v>
          </cell>
          <cell r="G24">
            <v>0</v>
          </cell>
          <cell r="H24">
            <v>146.24735000000001</v>
          </cell>
          <cell r="I24">
            <v>152.80170000000001</v>
          </cell>
          <cell r="J24">
            <v>84.787449999999993</v>
          </cell>
          <cell r="K24">
            <v>124.98830000000001</v>
          </cell>
        </row>
        <row r="25">
          <cell r="B25">
            <v>6.1431499999999994</v>
          </cell>
          <cell r="C25">
            <v>0</v>
          </cell>
          <cell r="D25">
            <v>0.11400000000000002</v>
          </cell>
          <cell r="E25">
            <v>34.368250000000003</v>
          </cell>
          <cell r="F25">
            <v>141.37539999999996</v>
          </cell>
          <cell r="G25">
            <v>60.2913</v>
          </cell>
          <cell r="H25">
            <v>695.44399999999985</v>
          </cell>
          <cell r="I25">
            <v>0</v>
          </cell>
          <cell r="J25">
            <v>134.05769999999998</v>
          </cell>
          <cell r="K25">
            <v>10.322199999999999</v>
          </cell>
        </row>
        <row r="27">
          <cell r="B27">
            <v>2.7083542476250697</v>
          </cell>
          <cell r="C27">
            <v>2.4250003760123602</v>
          </cell>
          <cell r="D27">
            <v>3.0640649044997268</v>
          </cell>
          <cell r="E27">
            <v>2.1068121969724802</v>
          </cell>
          <cell r="F27">
            <v>0.6555760488700848</v>
          </cell>
          <cell r="G27">
            <v>0</v>
          </cell>
          <cell r="H27">
            <v>0.11210512003421741</v>
          </cell>
          <cell r="I27">
            <v>0.64934410752202398</v>
          </cell>
          <cell r="J27">
            <v>6.4290532368289369E-2</v>
          </cell>
          <cell r="K27">
            <v>3.0809829796257779</v>
          </cell>
        </row>
        <row r="28">
          <cell r="B28">
            <v>6.2826610899897641E-3</v>
          </cell>
          <cell r="C28">
            <v>0</v>
          </cell>
          <cell r="D28">
            <v>0</v>
          </cell>
          <cell r="E28">
            <v>0.3024878569135076</v>
          </cell>
          <cell r="F28">
            <v>0.65155963494456492</v>
          </cell>
          <cell r="G28">
            <v>0.95251390711044148</v>
          </cell>
          <cell r="H28">
            <v>0.65078632540862447</v>
          </cell>
          <cell r="I28">
            <v>0</v>
          </cell>
          <cell r="J28">
            <v>0.24080125991661275</v>
          </cell>
          <cell r="K28">
            <v>4.6920414783883119E-2</v>
          </cell>
        </row>
        <row r="30">
          <cell r="B30">
            <v>0.53117646481671366</v>
          </cell>
        </row>
        <row r="31">
          <cell r="B31">
            <v>0.36600209168241737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0.92918866061054062</v>
          </cell>
          <cell r="G33">
            <v>3.8934468624438381</v>
          </cell>
          <cell r="H33">
            <v>1.8357079073988798</v>
          </cell>
          <cell r="I33">
            <v>0</v>
          </cell>
          <cell r="J33">
            <v>0.30537538688176619</v>
          </cell>
          <cell r="K33">
            <v>0</v>
          </cell>
        </row>
        <row r="34">
          <cell r="I34">
            <v>1.670671065494949</v>
          </cell>
        </row>
        <row r="38">
          <cell r="B38">
            <v>178.14637980995943</v>
          </cell>
          <cell r="C38">
            <v>176.81162741581321</v>
          </cell>
          <cell r="D38">
            <v>151.5976752150284</v>
          </cell>
          <cell r="E38">
            <v>315.06714570877688</v>
          </cell>
          <cell r="F38">
            <v>151.17059709766158</v>
          </cell>
          <cell r="G38">
            <v>0</v>
          </cell>
          <cell r="H38">
            <v>13.311352857657974</v>
          </cell>
          <cell r="I38">
            <v>91.429486519314196</v>
          </cell>
          <cell r="J38">
            <v>5.3023565417771374</v>
          </cell>
          <cell r="K38">
            <v>384.93192385920639</v>
          </cell>
        </row>
        <row r="39">
          <cell r="B39">
            <v>3.8597706769722177E-2</v>
          </cell>
          <cell r="C39">
            <v>0</v>
          </cell>
          <cell r="D39">
            <v>0</v>
          </cell>
          <cell r="E39">
            <v>10.443073822314858</v>
          </cell>
          <cell r="F39">
            <v>91.68516450565177</v>
          </cell>
          <cell r="G39">
            <v>57.060512572609944</v>
          </cell>
          <cell r="H39">
            <v>437.97019980275559</v>
          </cell>
          <cell r="I39">
            <v>0</v>
          </cell>
          <cell r="J39">
            <v>31.350102508774743</v>
          </cell>
          <cell r="K39">
            <v>0.49601123477855047</v>
          </cell>
        </row>
        <row r="41">
          <cell r="B41">
            <v>113.24682229892335</v>
          </cell>
          <cell r="C41">
            <v>285.6667027784286</v>
          </cell>
          <cell r="D41">
            <v>82.47576969209112</v>
          </cell>
          <cell r="E41">
            <v>187.88083384092533</v>
          </cell>
          <cell r="F41">
            <v>32.895758466099075</v>
          </cell>
          <cell r="G41">
            <v>78.082940328056907</v>
          </cell>
          <cell r="H41">
            <v>104.09996357477955</v>
          </cell>
          <cell r="I41">
            <v>138.10588085234559</v>
          </cell>
          <cell r="J41">
            <v>420.97328366119001</v>
          </cell>
          <cell r="K41">
            <v>133.9467691328307</v>
          </cell>
        </row>
        <row r="42">
          <cell r="B42">
            <v>14.153300885359082</v>
          </cell>
          <cell r="C42">
            <v>0</v>
          </cell>
          <cell r="D42">
            <v>4.0260230085065914E-2</v>
          </cell>
          <cell r="E42">
            <v>40.315130398818269</v>
          </cell>
          <cell r="F42">
            <v>85.014905573754945</v>
          </cell>
          <cell r="G42">
            <v>60.625318212259124</v>
          </cell>
          <cell r="H42">
            <v>392.66904410432926</v>
          </cell>
          <cell r="I42">
            <v>0</v>
          </cell>
          <cell r="J42">
            <v>50.116850653507882</v>
          </cell>
          <cell r="K42">
            <v>33.082929067173708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130.73041006618917</v>
          </cell>
          <cell r="G44">
            <v>233.3121046245312</v>
          </cell>
          <cell r="H44">
            <v>1235.3900070730426</v>
          </cell>
          <cell r="I44">
            <v>0</v>
          </cell>
          <cell r="J44">
            <v>40.547310834437951</v>
          </cell>
          <cell r="K44">
            <v>0</v>
          </cell>
        </row>
        <row r="45">
          <cell r="B45">
            <v>64.604850102689667</v>
          </cell>
          <cell r="C45">
            <v>0</v>
          </cell>
          <cell r="D45">
            <v>0.18377381720444436</v>
          </cell>
          <cell r="E45">
            <v>184.02441786426863</v>
          </cell>
          <cell r="F45">
            <v>388.06319992591671</v>
          </cell>
          <cell r="G45">
            <v>276.7332954521226</v>
          </cell>
          <cell r="H45">
            <v>1792.396342012976</v>
          </cell>
          <cell r="I45">
            <v>0</v>
          </cell>
          <cell r="J45">
            <v>228.76582998656542</v>
          </cell>
          <cell r="K45">
            <v>151.01195761008842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88.537152777777791</v>
          </cell>
          <cell r="C21">
            <v>98</v>
          </cell>
          <cell r="D21">
            <v>66.5</v>
          </cell>
          <cell r="E21">
            <v>201.08090277777777</v>
          </cell>
          <cell r="F21">
            <v>316.89236111111109</v>
          </cell>
          <cell r="G21">
            <v>0</v>
          </cell>
          <cell r="H21">
            <v>188.0107638888889</v>
          </cell>
          <cell r="I21">
            <v>206.39027777777778</v>
          </cell>
          <cell r="J21">
            <v>113.79340277777777</v>
          </cell>
          <cell r="K21">
            <v>168.21250000000001</v>
          </cell>
        </row>
        <row r="22">
          <cell r="B22">
            <v>8.1805555555555554</v>
          </cell>
          <cell r="C22">
            <v>0</v>
          </cell>
          <cell r="D22">
            <v>0.15104166666666666</v>
          </cell>
          <cell r="E22">
            <v>45.932986111111113</v>
          </cell>
          <cell r="F22">
            <v>188.89305555555555</v>
          </cell>
          <cell r="G22">
            <v>80.63333333333334</v>
          </cell>
          <cell r="H22">
            <v>930.18923611111109</v>
          </cell>
          <cell r="I22">
            <v>0</v>
          </cell>
          <cell r="J22">
            <v>179.31076388888889</v>
          </cell>
          <cell r="K22">
            <v>13.801388888888889</v>
          </cell>
        </row>
        <row r="24">
          <cell r="B24">
            <v>63.746750000000006</v>
          </cell>
          <cell r="C24">
            <v>70.56</v>
          </cell>
          <cell r="D24">
            <v>47.88</v>
          </cell>
          <cell r="E24">
            <v>144.77825000000001</v>
          </cell>
          <cell r="F24">
            <v>228.16249999999999</v>
          </cell>
          <cell r="G24">
            <v>0</v>
          </cell>
          <cell r="H24">
            <v>135.36775</v>
          </cell>
          <cell r="I24">
            <v>148.601</v>
          </cell>
          <cell r="J24">
            <v>81.931250000000006</v>
          </cell>
          <cell r="K24">
            <v>121.113</v>
          </cell>
        </row>
        <row r="25">
          <cell r="B25">
            <v>5.89</v>
          </cell>
          <cell r="C25">
            <v>0</v>
          </cell>
          <cell r="D25">
            <v>0.10875</v>
          </cell>
          <cell r="E25">
            <v>33.071750000000002</v>
          </cell>
          <cell r="F25">
            <v>136.00299999999999</v>
          </cell>
          <cell r="G25">
            <v>58.055999999999997</v>
          </cell>
          <cell r="H25">
            <v>669.73625000000004</v>
          </cell>
          <cell r="I25">
            <v>0</v>
          </cell>
          <cell r="J25">
            <v>129.10374999999999</v>
          </cell>
          <cell r="K25">
            <v>9.9369999999999994</v>
          </cell>
        </row>
        <row r="27">
          <cell r="B27">
            <v>2.7076141301244485</v>
          </cell>
          <cell r="C27">
            <v>2.4231576178568517</v>
          </cell>
          <cell r="D27">
            <v>3.0701409511208326</v>
          </cell>
          <cell r="E27">
            <v>2.1060937690963928</v>
          </cell>
          <cell r="F27">
            <v>0.65506280664838501</v>
          </cell>
          <cell r="G27">
            <v>0</v>
          </cell>
          <cell r="H27">
            <v>0.11463768205082794</v>
          </cell>
          <cell r="I27">
            <v>0.64471638367583262</v>
          </cell>
          <cell r="J27">
            <v>6.4475481498350182E-2</v>
          </cell>
          <cell r="K27">
            <v>3.0792740058424979</v>
          </cell>
        </row>
        <row r="28">
          <cell r="B28">
            <v>6.2813315787622268E-3</v>
          </cell>
          <cell r="C28">
            <v>0</v>
          </cell>
          <cell r="D28">
            <v>0</v>
          </cell>
          <cell r="E28">
            <v>0.30164386356215428</v>
          </cell>
          <cell r="F28">
            <v>0.64974236857353196</v>
          </cell>
          <cell r="G28">
            <v>0.95175882100288223</v>
          </cell>
          <cell r="H28">
            <v>0.65561943893469887</v>
          </cell>
          <cell r="I28">
            <v>0</v>
          </cell>
          <cell r="J28">
            <v>0.24019804453592566</v>
          </cell>
          <cell r="K28">
            <v>4.6654359920051659E-2</v>
          </cell>
        </row>
        <row r="30">
          <cell r="B30">
            <v>0.51404174014520676</v>
          </cell>
        </row>
        <row r="31">
          <cell r="B31">
            <v>0.35419557259588785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0.92487836350718089</v>
          </cell>
          <cell r="G33">
            <v>3.8830577449421551</v>
          </cell>
          <cell r="H33">
            <v>1.8462396060740607</v>
          </cell>
          <cell r="I33">
            <v>0</v>
          </cell>
          <cell r="J33">
            <v>0.30417153957437904</v>
          </cell>
          <cell r="K33">
            <v>0</v>
          </cell>
        </row>
        <row r="34">
          <cell r="I34">
            <v>1.6174970313026771</v>
          </cell>
        </row>
        <row r="38">
          <cell r="B38">
            <v>172.5767241075622</v>
          </cell>
          <cell r="C38">
            <v>170.97800151597943</v>
          </cell>
          <cell r="D38">
            <v>146.99834873966546</v>
          </cell>
          <cell r="E38">
            <v>304.94886404362836</v>
          </cell>
          <cell r="F38">
            <v>146.13599200098574</v>
          </cell>
          <cell r="G38">
            <v>0</v>
          </cell>
          <cell r="H38">
            <v>12.376541817977076</v>
          </cell>
          <cell r="I38">
            <v>88.481132881105708</v>
          </cell>
          <cell r="J38">
            <v>5.1395497182310352</v>
          </cell>
          <cell r="K38">
            <v>372.78601777989263</v>
          </cell>
        </row>
        <row r="39">
          <cell r="B39">
            <v>3.7003425329097929E-2</v>
          </cell>
          <cell r="C39">
            <v>0</v>
          </cell>
          <cell r="D39">
            <v>0</v>
          </cell>
          <cell r="E39">
            <v>10.02088784513724</v>
          </cell>
          <cell r="F39">
            <v>88.013530210115803</v>
          </cell>
          <cell r="G39">
            <v>54.908897302457326</v>
          </cell>
          <cell r="H39">
            <v>425.15511942787998</v>
          </cell>
          <cell r="I39">
            <v>0</v>
          </cell>
          <cell r="J39">
            <v>30.14171385384881</v>
          </cell>
          <cell r="K39">
            <v>0.47477905167214712</v>
          </cell>
        </row>
        <row r="41">
          <cell r="B41">
            <v>109.59369899895806</v>
          </cell>
          <cell r="C41">
            <v>276.45164785009217</v>
          </cell>
          <cell r="D41">
            <v>79.815260992346225</v>
          </cell>
          <cell r="E41">
            <v>181.82016178154066</v>
          </cell>
          <cell r="F41">
            <v>31.834604967192654</v>
          </cell>
          <cell r="G41">
            <v>75.564135801345401</v>
          </cell>
          <cell r="H41">
            <v>100.74190023365762</v>
          </cell>
          <cell r="I41">
            <v>133.65085243775377</v>
          </cell>
          <cell r="J41">
            <v>407.39350031728065</v>
          </cell>
          <cell r="K41">
            <v>129.62590561241677</v>
          </cell>
        </row>
        <row r="42">
          <cell r="B42">
            <v>13.696742792282983</v>
          </cell>
          <cell r="C42">
            <v>0</v>
          </cell>
          <cell r="D42">
            <v>3.8961512985547668E-2</v>
          </cell>
          <cell r="E42">
            <v>39.014642321437037</v>
          </cell>
          <cell r="F42">
            <v>82.272489264924133</v>
          </cell>
          <cell r="G42">
            <v>58.669662786057224</v>
          </cell>
          <cell r="H42">
            <v>380.002300746125</v>
          </cell>
          <cell r="I42">
            <v>0</v>
          </cell>
          <cell r="J42">
            <v>48.500178051781823</v>
          </cell>
          <cell r="K42">
            <v>32.015737806942298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125.28645430405601</v>
          </cell>
          <cell r="G44">
            <v>224.12612219278839</v>
          </cell>
          <cell r="H44">
            <v>1197.4283901955378</v>
          </cell>
          <cell r="I44">
            <v>0</v>
          </cell>
          <cell r="J44">
            <v>38.909048563329343</v>
          </cell>
          <cell r="K44">
            <v>0</v>
          </cell>
        </row>
        <row r="45">
          <cell r="B45">
            <v>62.548610200474506</v>
          </cell>
          <cell r="C45">
            <v>0</v>
          </cell>
          <cell r="D45">
            <v>0.17792467344329441</v>
          </cell>
          <cell r="E45">
            <v>178.16729799798981</v>
          </cell>
          <cell r="F45">
            <v>375.71194402174507</v>
          </cell>
          <cell r="G45">
            <v>267.92544211795843</v>
          </cell>
          <cell r="H45">
            <v>1735.3480418749318</v>
          </cell>
          <cell r="I45">
            <v>0</v>
          </cell>
          <cell r="J45">
            <v>221.48468271768317</v>
          </cell>
          <cell r="K45">
            <v>146.20555665944894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8.4931506849315053E-2</v>
          </cell>
        </row>
        <row r="21">
          <cell r="B21">
            <v>88.489516129032268</v>
          </cell>
          <cell r="C21">
            <v>98</v>
          </cell>
          <cell r="D21">
            <v>66.5</v>
          </cell>
          <cell r="E21">
            <v>201.1932795698925</v>
          </cell>
          <cell r="F21">
            <v>316.08615591397847</v>
          </cell>
          <cell r="G21">
            <v>0</v>
          </cell>
          <cell r="H21">
            <v>182.58602150537635</v>
          </cell>
          <cell r="I21">
            <v>204.67876344086022</v>
          </cell>
          <cell r="J21">
            <v>113.11559139784946</v>
          </cell>
          <cell r="K21">
            <v>168.14905913978495</v>
          </cell>
        </row>
        <row r="22">
          <cell r="B22">
            <v>8.0954973118279572</v>
          </cell>
          <cell r="C22">
            <v>0</v>
          </cell>
          <cell r="D22">
            <v>0.1493951612903226</v>
          </cell>
          <cell r="E22">
            <v>45.668010752688176</v>
          </cell>
          <cell r="F22">
            <v>187.6258064516129</v>
          </cell>
          <cell r="G22">
            <v>80.174596774193546</v>
          </cell>
          <cell r="H22">
            <v>924.9118951612902</v>
          </cell>
          <cell r="I22">
            <v>0</v>
          </cell>
          <cell r="J22">
            <v>178.12990591397849</v>
          </cell>
          <cell r="K22">
            <v>13.721774193548388</v>
          </cell>
        </row>
        <row r="24">
          <cell r="B24">
            <v>65.836200000000005</v>
          </cell>
          <cell r="C24">
            <v>72.912000000000006</v>
          </cell>
          <cell r="D24">
            <v>49.475999999999999</v>
          </cell>
          <cell r="E24">
            <v>149.68780000000001</v>
          </cell>
          <cell r="F24">
            <v>235.16809999999998</v>
          </cell>
          <cell r="G24">
            <v>0</v>
          </cell>
          <cell r="H24">
            <v>135.84399999999999</v>
          </cell>
          <cell r="I24">
            <v>152.28100000000001</v>
          </cell>
          <cell r="J24">
            <v>84.158000000000001</v>
          </cell>
          <cell r="K24">
            <v>125.10290000000001</v>
          </cell>
        </row>
        <row r="25">
          <cell r="B25">
            <v>6.0230500000000005</v>
          </cell>
          <cell r="C25">
            <v>0</v>
          </cell>
          <cell r="D25">
            <v>0.11115</v>
          </cell>
          <cell r="E25">
            <v>33.976999999999997</v>
          </cell>
          <cell r="F25">
            <v>139.59360000000001</v>
          </cell>
          <cell r="G25">
            <v>59.649900000000002</v>
          </cell>
          <cell r="H25">
            <v>688.1344499999999</v>
          </cell>
          <cell r="I25">
            <v>0</v>
          </cell>
          <cell r="J25">
            <v>132.52865</v>
          </cell>
          <cell r="K25">
            <v>10.209</v>
          </cell>
        </row>
        <row r="27">
          <cell r="B27">
            <v>2.7099016498732378</v>
          </cell>
          <cell r="C27">
            <v>2.424014713215449</v>
          </cell>
          <cell r="D27">
            <v>3.0783188578442569</v>
          </cell>
          <cell r="E27">
            <v>2.1078810989450396</v>
          </cell>
          <cell r="F27">
            <v>0.65457433986231017</v>
          </cell>
          <cell r="G27">
            <v>0</v>
          </cell>
          <cell r="H27">
            <v>0.11664493144552912</v>
          </cell>
          <cell r="I27">
            <v>0.64783288955608087</v>
          </cell>
          <cell r="J27">
            <v>6.4908309547262705E-2</v>
          </cell>
          <cell r="K27">
            <v>3.0812353711587774</v>
          </cell>
        </row>
        <row r="28">
          <cell r="B28">
            <v>6.2864872607198028E-3</v>
          </cell>
          <cell r="C28">
            <v>0</v>
          </cell>
          <cell r="D28">
            <v>0</v>
          </cell>
          <cell r="E28">
            <v>0.30066464228253686</v>
          </cell>
          <cell r="F28">
            <v>0.64837752469840015</v>
          </cell>
          <cell r="G28">
            <v>0.9525120195644331</v>
          </cell>
          <cell r="H28">
            <v>0.66138217124829202</v>
          </cell>
          <cell r="I28">
            <v>0</v>
          </cell>
          <cell r="J28">
            <v>0.24156186310241526</v>
          </cell>
          <cell r="K28">
            <v>4.641742976620146E-2</v>
          </cell>
        </row>
        <row r="30">
          <cell r="B30">
            <v>0.53117646481671366</v>
          </cell>
        </row>
        <row r="31">
          <cell r="B31">
            <v>0.36600209168241737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0.92218461433773724</v>
          </cell>
          <cell r="G33">
            <v>3.8822849020629584</v>
          </cell>
          <cell r="H33">
            <v>1.8618001486321509</v>
          </cell>
          <cell r="I33">
            <v>0</v>
          </cell>
          <cell r="J33">
            <v>0.30528516419222063</v>
          </cell>
          <cell r="K33">
            <v>0</v>
          </cell>
        </row>
        <row r="34">
          <cell r="I34">
            <v>1.6713075227959349</v>
          </cell>
        </row>
        <row r="38">
          <cell r="B38">
            <v>178.38209009584861</v>
          </cell>
          <cell r="C38">
            <v>176.73976076996482</v>
          </cell>
          <cell r="D38">
            <v>152.30290381070247</v>
          </cell>
          <cell r="E38">
            <v>315.5603107776206</v>
          </cell>
          <cell r="F38">
            <v>150.53160043338411</v>
          </cell>
          <cell r="G38">
            <v>0</v>
          </cell>
          <cell r="H38">
            <v>12.460349303788387</v>
          </cell>
          <cell r="I38">
            <v>91.166186973680922</v>
          </cell>
          <cell r="J38">
            <v>5.3129624989915945</v>
          </cell>
          <cell r="K38">
            <v>385.31238036121374</v>
          </cell>
        </row>
        <row r="39">
          <cell r="B39">
            <v>3.7858473914520498E-2</v>
          </cell>
          <cell r="C39">
            <v>0</v>
          </cell>
          <cell r="D39">
            <v>0</v>
          </cell>
          <cell r="E39">
            <v>10.265761850463546</v>
          </cell>
          <cell r="F39">
            <v>90.222840144199225</v>
          </cell>
          <cell r="G39">
            <v>56.461221544564879</v>
          </cell>
          <cell r="H39">
            <v>440.45930540777908</v>
          </cell>
          <cell r="I39">
            <v>0</v>
          </cell>
          <cell r="J39">
            <v>31.111143107761549</v>
          </cell>
          <cell r="K39">
            <v>0.48553162497231833</v>
          </cell>
        </row>
        <row r="41">
          <cell r="B41">
            <v>113.24682229892336</v>
          </cell>
          <cell r="C41">
            <v>285.66670277842854</v>
          </cell>
          <cell r="D41">
            <v>82.475769692091106</v>
          </cell>
          <cell r="E41">
            <v>187.88083384092533</v>
          </cell>
          <cell r="F41">
            <v>32.895758466099075</v>
          </cell>
          <cell r="G41">
            <v>78.082940328056921</v>
          </cell>
          <cell r="H41">
            <v>104.09996357477954</v>
          </cell>
          <cell r="I41">
            <v>138.10588085234556</v>
          </cell>
          <cell r="J41">
            <v>420.97328366119007</v>
          </cell>
          <cell r="K41">
            <v>133.94676913283067</v>
          </cell>
        </row>
        <row r="42">
          <cell r="B42">
            <v>14.153300885359082</v>
          </cell>
          <cell r="C42">
            <v>0</v>
          </cell>
          <cell r="D42">
            <v>4.0260230085065921E-2</v>
          </cell>
          <cell r="E42">
            <v>40.315130398818276</v>
          </cell>
          <cell r="F42">
            <v>85.014905573754945</v>
          </cell>
          <cell r="G42">
            <v>60.625318212259124</v>
          </cell>
          <cell r="H42">
            <v>392.6690441043292</v>
          </cell>
          <cell r="I42">
            <v>0</v>
          </cell>
          <cell r="J42">
            <v>50.116850653507889</v>
          </cell>
          <cell r="K42">
            <v>33.082929067173701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128.36006450019693</v>
          </cell>
          <cell r="G44">
            <v>230.25734189587845</v>
          </cell>
          <cell r="H44">
            <v>1240.1027867685116</v>
          </cell>
          <cell r="I44">
            <v>0</v>
          </cell>
          <cell r="J44">
            <v>40.084082147357528</v>
          </cell>
          <cell r="K44">
            <v>0</v>
          </cell>
        </row>
        <row r="45">
          <cell r="B45">
            <v>64.629461906518799</v>
          </cell>
          <cell r="C45">
            <v>0</v>
          </cell>
          <cell r="D45">
            <v>0.18384382750755279</v>
          </cell>
          <cell r="E45">
            <v>184.09452363597219</v>
          </cell>
          <cell r="F45">
            <v>388.21103612296224</v>
          </cell>
          <cell r="G45">
            <v>276.8387195119235</v>
          </cell>
          <cell r="H45">
            <v>1793.0791716625076</v>
          </cell>
          <cell r="I45">
            <v>0</v>
          </cell>
          <cell r="J45">
            <v>228.85298040517156</v>
          </cell>
          <cell r="K45">
            <v>151.06948698552455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158.17180555555558</v>
          </cell>
          <cell r="C21">
            <v>225.90000000000003</v>
          </cell>
          <cell r="D21">
            <v>145.9</v>
          </cell>
          <cell r="E21">
            <v>332.19111111111107</v>
          </cell>
          <cell r="F21">
            <v>110.92416666666666</v>
          </cell>
          <cell r="G21">
            <v>0</v>
          </cell>
          <cell r="H21">
            <v>5.8819444444444446</v>
          </cell>
          <cell r="I21">
            <v>96.867222222222239</v>
          </cell>
          <cell r="J21">
            <v>99.719027777777768</v>
          </cell>
          <cell r="K21">
            <v>195.01513888888888</v>
          </cell>
        </row>
        <row r="22">
          <cell r="B22">
            <v>9.4398611111111119</v>
          </cell>
          <cell r="C22">
            <v>0</v>
          </cell>
          <cell r="D22">
            <v>0.155</v>
          </cell>
          <cell r="E22">
            <v>40.67861111111111</v>
          </cell>
          <cell r="F22">
            <v>185.67194444444448</v>
          </cell>
          <cell r="G22">
            <v>77.716666666666654</v>
          </cell>
          <cell r="H22">
            <v>872.64583333333314</v>
          </cell>
          <cell r="I22">
            <v>0</v>
          </cell>
          <cell r="J22">
            <v>170.94569444444446</v>
          </cell>
          <cell r="K22">
            <v>13.170138888888891</v>
          </cell>
        </row>
        <row r="24">
          <cell r="B24">
            <v>113.8837</v>
          </cell>
          <cell r="C24">
            <v>162.64800000000002</v>
          </cell>
          <cell r="D24">
            <v>105.048</v>
          </cell>
          <cell r="E24">
            <v>239.17759999999998</v>
          </cell>
          <cell r="F24">
            <v>79.865399999999994</v>
          </cell>
          <cell r="G24">
            <v>0</v>
          </cell>
          <cell r="H24">
            <v>4.2350000000000003</v>
          </cell>
          <cell r="I24">
            <v>69.744400000000013</v>
          </cell>
          <cell r="J24">
            <v>71.797699999999992</v>
          </cell>
          <cell r="K24">
            <v>140.4109</v>
          </cell>
        </row>
        <row r="25">
          <cell r="B25">
            <v>6.7967000000000004</v>
          </cell>
          <cell r="C25">
            <v>0</v>
          </cell>
          <cell r="D25">
            <v>0.1116</v>
          </cell>
          <cell r="E25">
            <v>29.288599999999999</v>
          </cell>
          <cell r="F25">
            <v>133.68380000000002</v>
          </cell>
          <cell r="G25">
            <v>55.955999999999996</v>
          </cell>
          <cell r="H25">
            <v>628.30499999999984</v>
          </cell>
          <cell r="I25">
            <v>0</v>
          </cell>
          <cell r="J25">
            <v>123.08090000000001</v>
          </cell>
          <cell r="K25">
            <v>9.4825000000000017</v>
          </cell>
        </row>
        <row r="27">
          <cell r="B27">
            <v>1.7524730923804523</v>
          </cell>
          <cell r="C27">
            <v>1.6400458720411135</v>
          </cell>
          <cell r="D27">
            <v>2.0918828142936507</v>
          </cell>
          <cell r="E27">
            <v>1.3019622837688172</v>
          </cell>
          <cell r="F27">
            <v>0.6219121947818862</v>
          </cell>
          <cell r="G27">
            <v>0</v>
          </cell>
          <cell r="H27">
            <v>1.1478866280294434E-2</v>
          </cell>
          <cell r="I27">
            <v>0.39629531437126303</v>
          </cell>
          <cell r="J27">
            <v>6.9541427041107884E-2</v>
          </cell>
          <cell r="K27">
            <v>2.2838825380790433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0.12847565876898892</v>
          </cell>
          <cell r="F28">
            <v>0.48043336999878883</v>
          </cell>
          <cell r="G28">
            <v>0.62430208961458622</v>
          </cell>
          <cell r="H28">
            <v>0.71467397205070904</v>
          </cell>
          <cell r="I28">
            <v>0</v>
          </cell>
          <cell r="J28">
            <v>0.52229066168032878</v>
          </cell>
          <cell r="K28">
            <v>3.1396317745618969E-2</v>
          </cell>
        </row>
        <row r="30">
          <cell r="B30">
            <v>0.52181025913770407</v>
          </cell>
        </row>
        <row r="31">
          <cell r="B31">
            <v>0.35954839673034888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0.68911662178250621</v>
          </cell>
          <cell r="G33">
            <v>2.6671279734478168</v>
          </cell>
          <cell r="H33">
            <v>1.9271154281571774</v>
          </cell>
          <cell r="I33">
            <v>0</v>
          </cell>
          <cell r="J33">
            <v>0.46929321997550416</v>
          </cell>
          <cell r="K33">
            <v>0</v>
          </cell>
        </row>
        <row r="34">
          <cell r="I34">
            <v>1.6823858149324533</v>
          </cell>
        </row>
        <row r="38">
          <cell r="B38">
            <v>196.18707462909083</v>
          </cell>
          <cell r="C38">
            <v>266.75018099574299</v>
          </cell>
          <cell r="D38">
            <v>219.74810587591944</v>
          </cell>
          <cell r="E38">
            <v>309.32741037223036</v>
          </cell>
          <cell r="F38">
            <v>45.331035831645039</v>
          </cell>
          <cell r="G38">
            <v>0</v>
          </cell>
          <cell r="H38">
            <v>0.28926743026341972</v>
          </cell>
          <cell r="I38">
            <v>47.583165281950713</v>
          </cell>
          <cell r="J38">
            <v>4.913227800524731</v>
          </cell>
          <cell r="K38">
            <v>307.22241137828718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3.7537466934804797</v>
          </cell>
          <cell r="F39">
            <v>63.337459197551134</v>
          </cell>
          <cell r="G39">
            <v>34.371835161906482</v>
          </cell>
          <cell r="H39">
            <v>438.46441425267085</v>
          </cell>
          <cell r="I39">
            <v>0</v>
          </cell>
          <cell r="J39">
            <v>58.652013417090537</v>
          </cell>
          <cell r="K39">
            <v>0.28562253258102016</v>
          </cell>
        </row>
        <row r="41">
          <cell r="B41">
            <v>111.24994724815852</v>
          </cell>
          <cell r="C41">
            <v>280.62955736425721</v>
          </cell>
          <cell r="D41">
            <v>81.021478936311311</v>
          </cell>
          <cell r="E41">
            <v>184.5679413288199</v>
          </cell>
          <cell r="F41">
            <v>32.315709348398016</v>
          </cell>
          <cell r="G41">
            <v>76.706108093242491</v>
          </cell>
          <cell r="H41">
            <v>102.26437458580725</v>
          </cell>
          <cell r="I41">
            <v>135.67066737580305</v>
          </cell>
          <cell r="J41">
            <v>413.55028467440462</v>
          </cell>
          <cell r="K41">
            <v>131.58489304675481</v>
          </cell>
        </row>
        <row r="42">
          <cell r="B42">
            <v>13.903736501562591</v>
          </cell>
          <cell r="C42">
            <v>0</v>
          </cell>
          <cell r="D42">
            <v>3.9550323640338378E-2</v>
          </cell>
          <cell r="E42">
            <v>39.604255899847928</v>
          </cell>
          <cell r="F42">
            <v>83.515842373241881</v>
          </cell>
          <cell r="G42">
            <v>59.55631527756141</v>
          </cell>
          <cell r="H42">
            <v>385.74513223234851</v>
          </cell>
          <cell r="I42">
            <v>0</v>
          </cell>
          <cell r="J42">
            <v>49.233142955037216</v>
          </cell>
          <cell r="K42">
            <v>32.499579580456242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90.715246058388104</v>
          </cell>
          <cell r="G44">
            <v>146.72193728128667</v>
          </cell>
          <cell r="H44">
            <v>1172.7865266810882</v>
          </cell>
          <cell r="I44">
            <v>0</v>
          </cell>
          <cell r="J44">
            <v>55.674616403469379</v>
          </cell>
          <cell r="K44">
            <v>0</v>
          </cell>
        </row>
        <row r="45">
          <cell r="B45">
            <v>65.057859463437978</v>
          </cell>
          <cell r="C45">
            <v>0</v>
          </cell>
          <cell r="D45">
            <v>0.18506243964256988</v>
          </cell>
          <cell r="E45">
            <v>185.31479751480973</v>
          </cell>
          <cell r="F45">
            <v>390.78429999578691</v>
          </cell>
          <cell r="G45">
            <v>278.67374997018544</v>
          </cell>
          <cell r="H45">
            <v>1804.9646293754922</v>
          </cell>
          <cell r="I45">
            <v>0</v>
          </cell>
          <cell r="J45">
            <v>230.36993652405516</v>
          </cell>
          <cell r="K45">
            <v>152.07085381174446</v>
          </cell>
        </row>
        <row r="46">
          <cell r="G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>
        <row r="29">
          <cell r="B29">
            <v>2.1673682924553672</v>
          </cell>
        </row>
      </sheetData>
      <sheetData sheetId="1">
        <row r="13">
          <cell r="H13">
            <v>744</v>
          </cell>
          <cell r="I13">
            <v>8.4931506849315067E-2</v>
          </cell>
        </row>
        <row r="21">
          <cell r="B21">
            <v>129.36471774193552</v>
          </cell>
          <cell r="C21">
            <v>263.30591397849463</v>
          </cell>
          <cell r="D21">
            <v>145.9</v>
          </cell>
          <cell r="E21">
            <v>438.22923387096768</v>
          </cell>
          <cell r="F21">
            <v>107.81485215053763</v>
          </cell>
          <cell r="G21">
            <v>0</v>
          </cell>
          <cell r="H21">
            <v>28.011424731182792</v>
          </cell>
          <cell r="I21">
            <v>138.30745967741936</v>
          </cell>
          <cell r="J21">
            <v>9.9754704301075279</v>
          </cell>
          <cell r="K21">
            <v>215.79623655913977</v>
          </cell>
        </row>
        <row r="22">
          <cell r="B22">
            <v>10.340927419354838</v>
          </cell>
          <cell r="C22">
            <v>0</v>
          </cell>
          <cell r="D22">
            <v>0.15551075268817205</v>
          </cell>
          <cell r="E22">
            <v>48.228427419354844</v>
          </cell>
          <cell r="F22">
            <v>383.814314516129</v>
          </cell>
          <cell r="G22">
            <v>193.71350806451613</v>
          </cell>
          <cell r="H22">
            <v>656.98118279569894</v>
          </cell>
          <cell r="I22">
            <v>0</v>
          </cell>
          <cell r="J22">
            <v>169.38763440860211</v>
          </cell>
          <cell r="K22">
            <v>13.926344086021503</v>
          </cell>
        </row>
        <row r="24">
          <cell r="B24">
            <v>96.247350000000026</v>
          </cell>
          <cell r="C24">
            <v>195.89959999999999</v>
          </cell>
          <cell r="D24">
            <v>108.54960000000001</v>
          </cell>
          <cell r="E24">
            <v>326.04254999999995</v>
          </cell>
          <cell r="F24">
            <v>80.214250000000007</v>
          </cell>
          <cell r="G24">
            <v>0</v>
          </cell>
          <cell r="H24">
            <v>20.840499999999995</v>
          </cell>
          <cell r="I24">
            <v>102.90075</v>
          </cell>
          <cell r="J24">
            <v>7.4217500000000012</v>
          </cell>
          <cell r="K24">
            <v>160.55240000000001</v>
          </cell>
        </row>
        <row r="25">
          <cell r="B25">
            <v>7.6936499999999999</v>
          </cell>
          <cell r="C25">
            <v>0</v>
          </cell>
          <cell r="D25">
            <v>0.1157</v>
          </cell>
          <cell r="E25">
            <v>35.881950000000003</v>
          </cell>
          <cell r="F25">
            <v>285.55784999999997</v>
          </cell>
          <cell r="G25">
            <v>144.12285</v>
          </cell>
          <cell r="H25">
            <v>488.79399999999998</v>
          </cell>
          <cell r="I25">
            <v>0</v>
          </cell>
          <cell r="J25">
            <v>126.02439999999999</v>
          </cell>
          <cell r="K25">
            <v>10.361199999999998</v>
          </cell>
        </row>
        <row r="27">
          <cell r="B27">
            <v>2.0186270795214551</v>
          </cell>
          <cell r="C27">
            <v>1.8636710560501049</v>
          </cell>
          <cell r="D27">
            <v>2.3007971010083308</v>
          </cell>
          <cell r="E27">
            <v>1.809066576308642</v>
          </cell>
          <cell r="F27">
            <v>0.48781355071414301</v>
          </cell>
          <cell r="G27">
            <v>0</v>
          </cell>
          <cell r="H27">
            <v>0.36430680034871216</v>
          </cell>
          <cell r="I27">
            <v>0.2840138952318973</v>
          </cell>
          <cell r="J27">
            <v>0</v>
          </cell>
          <cell r="K27">
            <v>2.4149974625167046</v>
          </cell>
        </row>
        <row r="28">
          <cell r="B28">
            <v>9.8757623336466326E-3</v>
          </cell>
          <cell r="C28">
            <v>0</v>
          </cell>
          <cell r="D28">
            <v>0</v>
          </cell>
          <cell r="E28">
            <v>0.11944565586166006</v>
          </cell>
          <cell r="F28">
            <v>0.68289338707621439</v>
          </cell>
          <cell r="G28">
            <v>0.7918960959290462</v>
          </cell>
          <cell r="H28">
            <v>0.77169614898678141</v>
          </cell>
          <cell r="I28">
            <v>0</v>
          </cell>
          <cell r="J28">
            <v>0.98242463486945564</v>
          </cell>
          <cell r="K28">
            <v>2.8322002074639616E-2</v>
          </cell>
        </row>
        <row r="30">
          <cell r="B30">
            <v>0.26452983656924606</v>
          </cell>
        </row>
        <row r="31">
          <cell r="B31">
            <v>0.26789423114607863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1.4442062068722088</v>
          </cell>
          <cell r="G33">
            <v>2.4494689626873813</v>
          </cell>
          <cell r="H33">
            <v>2.1074333585753693</v>
          </cell>
          <cell r="I33">
            <v>0</v>
          </cell>
          <cell r="J33">
            <v>1.7531352865670433</v>
          </cell>
          <cell r="K33">
            <v>0</v>
          </cell>
        </row>
        <row r="34">
          <cell r="I34">
            <v>1.4465493476220117</v>
          </cell>
        </row>
        <row r="38">
          <cell r="B38">
            <v>192.65917606609884</v>
          </cell>
          <cell r="C38">
            <v>357.8115941139975</v>
          </cell>
          <cell r="D38">
            <v>249.75060499561383</v>
          </cell>
          <cell r="E38">
            <v>589.31118246876429</v>
          </cell>
          <cell r="F38">
            <v>37.086855602203549</v>
          </cell>
          <cell r="G38">
            <v>0</v>
          </cell>
          <cell r="H38">
            <v>7.4307782539457863</v>
          </cell>
          <cell r="I38">
            <v>35.337653245084283</v>
          </cell>
          <cell r="J38">
            <v>0</v>
          </cell>
          <cell r="K38">
            <v>380.74003649473235</v>
          </cell>
        </row>
        <row r="39">
          <cell r="B39">
            <v>7.6686087898443347E-2</v>
          </cell>
          <cell r="C39">
            <v>0</v>
          </cell>
          <cell r="D39">
            <v>0</v>
          </cell>
          <cell r="E39">
            <v>4.3023610659943872</v>
          </cell>
          <cell r="F39">
            <v>192.3632263897677</v>
          </cell>
          <cell r="G39">
            <v>112.4174319305706</v>
          </cell>
          <cell r="H39">
            <v>365.31836487548293</v>
          </cell>
          <cell r="I39">
            <v>0</v>
          </cell>
          <cell r="J39">
            <v>118.1470757025013</v>
          </cell>
          <cell r="K39">
            <v>0.28680305083059848</v>
          </cell>
        </row>
        <row r="41">
          <cell r="B41">
            <v>73.671559484535052</v>
          </cell>
          <cell r="C41">
            <v>142.26414610694053</v>
          </cell>
          <cell r="D41">
            <v>41.073547724106831</v>
          </cell>
          <cell r="E41">
            <v>93.566054903398324</v>
          </cell>
          <cell r="F41">
            <v>19.456169479668045</v>
          </cell>
          <cell r="G41">
            <v>38.88588597567918</v>
          </cell>
          <cell r="H41">
            <v>51.842557370840844</v>
          </cell>
          <cell r="I41">
            <v>68.777757508003987</v>
          </cell>
          <cell r="J41">
            <v>598.77122096958533</v>
          </cell>
          <cell r="K41">
            <v>66.706488887666794</v>
          </cell>
        </row>
        <row r="42">
          <cell r="B42">
            <v>10.825605880613038</v>
          </cell>
          <cell r="C42">
            <v>0</v>
          </cell>
          <cell r="D42">
            <v>2.9468365426068642E-2</v>
          </cell>
          <cell r="E42">
            <v>30.681926293160391</v>
          </cell>
          <cell r="F42">
            <v>64.388334332541319</v>
          </cell>
          <cell r="G42">
            <v>45.869385856305186</v>
          </cell>
          <cell r="H42">
            <v>297.28425775557872</v>
          </cell>
          <cell r="I42">
            <v>0</v>
          </cell>
          <cell r="J42">
            <v>38.204531157293026</v>
          </cell>
          <cell r="K42">
            <v>24.865942534979009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407.47889115219834</v>
          </cell>
          <cell r="G44">
            <v>347.98625007956934</v>
          </cell>
          <cell r="H44">
            <v>994.40482115130135</v>
          </cell>
          <cell r="I44">
            <v>0</v>
          </cell>
          <cell r="J44">
            <v>210.43848123385831</v>
          </cell>
          <cell r="K44">
            <v>0</v>
          </cell>
        </row>
        <row r="45">
          <cell r="B45">
            <v>58.455059137405499</v>
          </cell>
          <cell r="C45">
            <v>0</v>
          </cell>
          <cell r="D45">
            <v>0.15912042823842137</v>
          </cell>
          <cell r="E45">
            <v>165.67329678314903</v>
          </cell>
          <cell r="F45">
            <v>347.67789744758386</v>
          </cell>
          <cell r="G45">
            <v>247.68107137805336</v>
          </cell>
          <cell r="H45">
            <v>1605.2467694988707</v>
          </cell>
          <cell r="I45">
            <v>0</v>
          </cell>
          <cell r="J45">
            <v>206.29313063352993</v>
          </cell>
          <cell r="K45">
            <v>134.26871044627515</v>
          </cell>
        </row>
        <row r="46">
          <cell r="G46">
            <v>0</v>
          </cell>
        </row>
        <row r="51">
          <cell r="B51">
            <v>2.0017088892951214</v>
          </cell>
          <cell r="C51">
            <v>1.8265049755793148</v>
          </cell>
          <cell r="D51">
            <v>2.3007971010083299</v>
          </cell>
          <cell r="E51">
            <v>1.8074671004406155</v>
          </cell>
          <cell r="F51">
            <v>0.46234747070755566</v>
          </cell>
          <cell r="G51">
            <v>0</v>
          </cell>
          <cell r="H51">
            <v>0.3565547013721258</v>
          </cell>
          <cell r="I51">
            <v>0.3434149240417031</v>
          </cell>
          <cell r="J51">
            <v>0</v>
          </cell>
          <cell r="K51">
            <v>2.3714378389530917</v>
          </cell>
        </row>
        <row r="52">
          <cell r="B52">
            <v>9.967452106405067E-3</v>
          </cell>
          <cell r="C52">
            <v>0</v>
          </cell>
          <cell r="D52">
            <v>0</v>
          </cell>
          <cell r="E52">
            <v>0.11990321222771858</v>
          </cell>
          <cell r="F52">
            <v>2.1005975410655533</v>
          </cell>
          <cell r="G52">
            <v>3.1945224647593351</v>
          </cell>
          <cell r="H52">
            <v>2.7817918919356299</v>
          </cell>
          <cell r="I52">
            <v>0</v>
          </cell>
          <cell r="J52">
            <v>2.6073169714464788</v>
          </cell>
          <cell r="K52">
            <v>2.768048593122404E-2</v>
          </cell>
        </row>
      </sheetData>
      <sheetData sheetId="2">
        <row r="13">
          <cell r="H13">
            <v>744</v>
          </cell>
          <cell r="I13">
            <v>8.493150684931508E-2</v>
          </cell>
        </row>
        <row r="21">
          <cell r="B21">
            <v>128.90745967741935</v>
          </cell>
          <cell r="C21">
            <v>260.05322580645156</v>
          </cell>
          <cell r="D21">
            <v>145.9</v>
          </cell>
          <cell r="E21">
            <v>438.41727150537633</v>
          </cell>
          <cell r="F21">
            <v>108.02325268817205</v>
          </cell>
          <cell r="G21">
            <v>0</v>
          </cell>
          <cell r="H21">
            <v>27.802822580645167</v>
          </cell>
          <cell r="I21">
            <v>129.4983870967742</v>
          </cell>
          <cell r="J21">
            <v>9.8646505376344091</v>
          </cell>
          <cell r="K21">
            <v>212.3432123655914</v>
          </cell>
        </row>
        <row r="22">
          <cell r="B22">
            <v>10.155846774193549</v>
          </cell>
          <cell r="C22">
            <v>0</v>
          </cell>
          <cell r="D22">
            <v>0.15168010752688174</v>
          </cell>
          <cell r="E22">
            <v>47.976680107526882</v>
          </cell>
          <cell r="F22">
            <v>379.52466397849457</v>
          </cell>
          <cell r="G22">
            <v>191.63823924731179</v>
          </cell>
          <cell r="H22">
            <v>649.85564516129034</v>
          </cell>
          <cell r="I22">
            <v>0</v>
          </cell>
          <cell r="J22">
            <v>167.55120967741937</v>
          </cell>
          <cell r="K22">
            <v>13.778763440860217</v>
          </cell>
        </row>
        <row r="24">
          <cell r="B24">
            <v>95.907149999999987</v>
          </cell>
          <cell r="C24">
            <v>193.47959999999998</v>
          </cell>
          <cell r="D24">
            <v>108.54960000000001</v>
          </cell>
          <cell r="E24">
            <v>326.18245000000002</v>
          </cell>
          <cell r="F24">
            <v>80.36930000000001</v>
          </cell>
          <cell r="G24">
            <v>0</v>
          </cell>
          <cell r="H24">
            <v>20.685300000000002</v>
          </cell>
          <cell r="I24">
            <v>96.346800000000002</v>
          </cell>
          <cell r="J24">
            <v>7.3393000000000006</v>
          </cell>
          <cell r="K24">
            <v>157.98335</v>
          </cell>
        </row>
        <row r="25">
          <cell r="B25">
            <v>7.5559500000000002</v>
          </cell>
          <cell r="C25">
            <v>0</v>
          </cell>
          <cell r="D25">
            <v>0.11285000000000001</v>
          </cell>
          <cell r="E25">
            <v>35.694650000000003</v>
          </cell>
          <cell r="F25">
            <v>282.36634999999995</v>
          </cell>
          <cell r="G25">
            <v>142.57884999999999</v>
          </cell>
          <cell r="H25">
            <v>483.49260000000004</v>
          </cell>
          <cell r="I25">
            <v>0</v>
          </cell>
          <cell r="J25">
            <v>124.6581</v>
          </cell>
          <cell r="K25">
            <v>10.251400000000002</v>
          </cell>
        </row>
        <row r="27">
          <cell r="B27">
            <v>2.0321875950682906</v>
          </cell>
          <cell r="C27">
            <v>1.8745320320583954</v>
          </cell>
          <cell r="D27">
            <v>2.3143112361482587</v>
          </cell>
          <cell r="E27">
            <v>1.8197065360308635</v>
          </cell>
          <cell r="F27">
            <v>0.4908946454457303</v>
          </cell>
          <cell r="G27">
            <v>0</v>
          </cell>
          <cell r="H27">
            <v>0.36820164206317785</v>
          </cell>
          <cell r="I27">
            <v>0.29879751987183467</v>
          </cell>
          <cell r="J27">
            <v>0</v>
          </cell>
          <cell r="K27">
            <v>2.4396568967784917</v>
          </cell>
        </row>
        <row r="28">
          <cell r="B28">
            <v>9.8940219142221782E-3</v>
          </cell>
          <cell r="C28">
            <v>0</v>
          </cell>
          <cell r="D28">
            <v>0</v>
          </cell>
          <cell r="E28">
            <v>0.1189816011761855</v>
          </cell>
          <cell r="F28">
            <v>0.68546075248547522</v>
          </cell>
          <cell r="G28">
            <v>0.79572244364223133</v>
          </cell>
          <cell r="H28">
            <v>0.78213846503882278</v>
          </cell>
          <cell r="I28">
            <v>0</v>
          </cell>
          <cell r="J28">
            <v>0.99987291209514029</v>
          </cell>
          <cell r="K28">
            <v>2.8938272978434168E-2</v>
          </cell>
        </row>
        <row r="30">
          <cell r="B30">
            <v>0.26469278570485077</v>
          </cell>
        </row>
        <row r="31">
          <cell r="B31">
            <v>0.2680592527329243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1.4481440892654747</v>
          </cell>
          <cell r="G33">
            <v>2.457232363952607</v>
          </cell>
          <cell r="H33">
            <v>2.1360956115599632</v>
          </cell>
          <cell r="I33">
            <v>0</v>
          </cell>
          <cell r="J33">
            <v>1.7799709210604628</v>
          </cell>
          <cell r="K33">
            <v>0</v>
          </cell>
        </row>
        <row r="34">
          <cell r="I34">
            <v>1.447616218623468</v>
          </cell>
        </row>
        <row r="38">
          <cell r="B38">
            <v>193.22353214842289</v>
          </cell>
          <cell r="C38">
            <v>355.76002486018314</v>
          </cell>
          <cell r="D38">
            <v>251.21755895939899</v>
          </cell>
          <cell r="E38">
            <v>593.06333007245587</v>
          </cell>
          <cell r="F38">
            <v>37.430863214222832</v>
          </cell>
          <cell r="G38">
            <v>0</v>
          </cell>
          <cell r="H38">
            <v>7.4555860073685567</v>
          </cell>
          <cell r="I38">
            <v>33.92783360714769</v>
          </cell>
          <cell r="J38">
            <v>0</v>
          </cell>
          <cell r="K38">
            <v>377.31302851050276</v>
          </cell>
        </row>
        <row r="39">
          <cell r="B39">
            <v>7.5533145982544486E-2</v>
          </cell>
          <cell r="C39">
            <v>0</v>
          </cell>
          <cell r="D39">
            <v>0</v>
          </cell>
          <cell r="E39">
            <v>4.2633954915799848</v>
          </cell>
          <cell r="F39">
            <v>190.95338314655447</v>
          </cell>
          <cell r="G39">
            <v>111.75571461859647</v>
          </cell>
          <cell r="H39">
            <v>366.2725899452505</v>
          </cell>
          <cell r="I39">
            <v>0</v>
          </cell>
          <cell r="J39">
            <v>118.98659486056843</v>
          </cell>
          <cell r="K39">
            <v>0.2892562399116328</v>
          </cell>
        </row>
        <row r="41">
          <cell r="B41">
            <v>73.716940818800936</v>
          </cell>
          <cell r="C41">
            <v>142.3517801520687</v>
          </cell>
          <cell r="D41">
            <v>41.098848836392172</v>
          </cell>
          <cell r="E41">
            <v>93.623691153305657</v>
          </cell>
          <cell r="F41">
            <v>19.46815438859177</v>
          </cell>
          <cell r="G41">
            <v>38.90983949861306</v>
          </cell>
          <cell r="H41">
            <v>51.874492142436651</v>
          </cell>
          <cell r="I41">
            <v>68.820124283261194</v>
          </cell>
          <cell r="J41">
            <v>599.14006122650073</v>
          </cell>
          <cell r="K41">
            <v>66.747579771192221</v>
          </cell>
        </row>
        <row r="42">
          <cell r="B42">
            <v>10.832274402937475</v>
          </cell>
          <cell r="C42">
            <v>0</v>
          </cell>
          <cell r="D42">
            <v>2.9486517800621687E-2</v>
          </cell>
          <cell r="E42">
            <v>30.700826215501827</v>
          </cell>
          <cell r="F42">
            <v>64.42799724375989</v>
          </cell>
          <cell r="G42">
            <v>45.897641182331682</v>
          </cell>
          <cell r="H42">
            <v>297.46738346063489</v>
          </cell>
          <cell r="I42">
            <v>0</v>
          </cell>
          <cell r="J42">
            <v>38.228064968862249</v>
          </cell>
          <cell r="K42">
            <v>24.881259838670037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404.09157256790627</v>
          </cell>
          <cell r="G44">
            <v>345.43040331176206</v>
          </cell>
          <cell r="H44">
            <v>997.29664008102725</v>
          </cell>
          <cell r="I44">
            <v>0</v>
          </cell>
          <cell r="J44">
            <v>211.45022644272106</v>
          </cell>
          <cell r="K44">
            <v>0</v>
          </cell>
        </row>
        <row r="45">
          <cell r="B45">
            <v>58.498171394574335</v>
          </cell>
          <cell r="C45">
            <v>0</v>
          </cell>
          <cell r="D45">
            <v>0.15923778404858147</v>
          </cell>
          <cell r="E45">
            <v>165.79548551894578</v>
          </cell>
          <cell r="F45">
            <v>347.93431971706525</v>
          </cell>
          <cell r="G45">
            <v>247.86374316391201</v>
          </cell>
          <cell r="H45">
            <v>1606.4306843313475</v>
          </cell>
          <cell r="I45">
            <v>0</v>
          </cell>
          <cell r="J45">
            <v>206.44527764409284</v>
          </cell>
          <cell r="K45">
            <v>134.36773741263028</v>
          </cell>
        </row>
        <row r="46">
          <cell r="G46">
            <v>0</v>
          </cell>
        </row>
        <row r="51">
          <cell r="B51">
            <v>2.0146937131217322</v>
          </cell>
          <cell r="C51">
            <v>1.8387469524445119</v>
          </cell>
          <cell r="D51">
            <v>2.3143112361482583</v>
          </cell>
          <cell r="E51">
            <v>1.8181950931831428</v>
          </cell>
          <cell r="F51">
            <v>0.46573583711968164</v>
          </cell>
          <cell r="G51">
            <v>0</v>
          </cell>
          <cell r="H51">
            <v>0.36042919403482454</v>
          </cell>
          <cell r="I51">
            <v>0.35214281747964321</v>
          </cell>
          <cell r="J51">
            <v>0</v>
          </cell>
          <cell r="K51">
            <v>2.3883088218505479</v>
          </cell>
        </row>
        <row r="52">
          <cell r="B52">
            <v>9.9965121503642149E-3</v>
          </cell>
          <cell r="C52">
            <v>0</v>
          </cell>
          <cell r="D52">
            <v>0</v>
          </cell>
          <cell r="E52">
            <v>0.11944074228434749</v>
          </cell>
          <cell r="F52">
            <v>2.1073508076102581</v>
          </cell>
          <cell r="G52">
            <v>3.2065493439620152</v>
          </cell>
          <cell r="H52">
            <v>2.8202483968240206</v>
          </cell>
          <cell r="I52">
            <v>0</v>
          </cell>
          <cell r="J52">
            <v>2.6507448878435453</v>
          </cell>
          <cell r="K52">
            <v>2.8216267037832171E-2</v>
          </cell>
        </row>
      </sheetData>
      <sheetData sheetId="3">
        <row r="13">
          <cell r="H13">
            <v>720</v>
          </cell>
          <cell r="I13">
            <v>8.2191780821917831E-2</v>
          </cell>
        </row>
        <row r="21">
          <cell r="B21">
            <v>156.07513888888892</v>
          </cell>
          <cell r="C21">
            <v>225.9</v>
          </cell>
          <cell r="D21">
            <v>145.9</v>
          </cell>
          <cell r="E21">
            <v>331.05645833333335</v>
          </cell>
          <cell r="F21">
            <v>110.69715277777779</v>
          </cell>
          <cell r="G21">
            <v>0</v>
          </cell>
          <cell r="H21">
            <v>5.614583333333333</v>
          </cell>
          <cell r="I21">
            <v>92.653055555555554</v>
          </cell>
          <cell r="J21">
            <v>99.396527777777777</v>
          </cell>
          <cell r="K21">
            <v>192.38784722222223</v>
          </cell>
        </row>
        <row r="22">
          <cell r="B22">
            <v>9.3813888888888908</v>
          </cell>
          <cell r="C22">
            <v>0</v>
          </cell>
          <cell r="D22">
            <v>0.15263888888888891</v>
          </cell>
          <cell r="E22">
            <v>40.37222222222222</v>
          </cell>
          <cell r="F22">
            <v>184.0477083333333</v>
          </cell>
          <cell r="G22">
            <v>77.127499999999998</v>
          </cell>
          <cell r="H22">
            <v>865.79416666666668</v>
          </cell>
          <cell r="I22">
            <v>0</v>
          </cell>
          <cell r="J22">
            <v>169.58479166666666</v>
          </cell>
          <cell r="K22">
            <v>13.070277777777781</v>
          </cell>
        </row>
        <row r="24">
          <cell r="B24">
            <v>112.37410000000003</v>
          </cell>
          <cell r="C24">
            <v>162.648</v>
          </cell>
          <cell r="D24">
            <v>105.048</v>
          </cell>
          <cell r="E24">
            <v>238.36064999999999</v>
          </cell>
          <cell r="F24">
            <v>79.701950000000011</v>
          </cell>
          <cell r="G24">
            <v>0</v>
          </cell>
          <cell r="H24">
            <v>4.0425000000000004</v>
          </cell>
          <cell r="I24">
            <v>66.7102</v>
          </cell>
          <cell r="J24">
            <v>71.5655</v>
          </cell>
          <cell r="K24">
            <v>138.51925</v>
          </cell>
        </row>
        <row r="25">
          <cell r="B25">
            <v>6.7546000000000017</v>
          </cell>
          <cell r="C25">
            <v>0</v>
          </cell>
          <cell r="D25">
            <v>0.10990000000000001</v>
          </cell>
          <cell r="E25">
            <v>29.068000000000001</v>
          </cell>
          <cell r="F25">
            <v>132.51434999999998</v>
          </cell>
          <cell r="G25">
            <v>55.531799999999997</v>
          </cell>
          <cell r="H25">
            <v>623.37180000000001</v>
          </cell>
          <cell r="I25">
            <v>0</v>
          </cell>
          <cell r="J25">
            <v>122.10104999999999</v>
          </cell>
          <cell r="K25">
            <v>9.4106000000000023</v>
          </cell>
        </row>
        <row r="27">
          <cell r="B27">
            <v>1.9109518296420898</v>
          </cell>
          <cell r="C27">
            <v>1.7744457275277259</v>
          </cell>
          <cell r="D27">
            <v>2.2453353363905997</v>
          </cell>
          <cell r="E27">
            <v>1.4421584175492765</v>
          </cell>
          <cell r="F27">
            <v>0.73998146377914908</v>
          </cell>
          <cell r="G27">
            <v>0</v>
          </cell>
          <cell r="H27">
            <v>1.9022364359909651E-2</v>
          </cell>
          <cell r="I27">
            <v>0.64501098074389329</v>
          </cell>
          <cell r="J27">
            <v>5.8660067630539166E-2</v>
          </cell>
          <cell r="K27">
            <v>2.6365364210942555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0.13065166979112439</v>
          </cell>
          <cell r="F28">
            <v>0.50894862529474882</v>
          </cell>
          <cell r="G28">
            <v>0.65667070469537225</v>
          </cell>
          <cell r="H28">
            <v>0.77980203677656323</v>
          </cell>
          <cell r="I28">
            <v>0</v>
          </cell>
          <cell r="J28">
            <v>0.77869143962117715</v>
          </cell>
          <cell r="K28">
            <v>3.1917314686795227E-2</v>
          </cell>
        </row>
        <row r="30">
          <cell r="B30">
            <v>0.46666885149165815</v>
          </cell>
        </row>
        <row r="31">
          <cell r="B31">
            <v>0.32155373417742572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0.6117819007957811</v>
          </cell>
          <cell r="G33">
            <v>2.3748484328344945</v>
          </cell>
          <cell r="H33">
            <v>1.9777356280110812</v>
          </cell>
          <cell r="I33">
            <v>0</v>
          </cell>
          <cell r="J33">
            <v>0.44969095867744979</v>
          </cell>
          <cell r="K33">
            <v>0</v>
          </cell>
        </row>
        <row r="34">
          <cell r="I34">
            <v>1.6870630523197898</v>
          </cell>
        </row>
        <row r="38">
          <cell r="B38">
            <v>210.00481743719661</v>
          </cell>
          <cell r="C38">
            <v>288.6100486909296</v>
          </cell>
          <cell r="D38">
            <v>235.86798641715967</v>
          </cell>
          <cell r="E38">
            <v>340.9342598822335</v>
          </cell>
          <cell r="F38">
            <v>53.127599500173204</v>
          </cell>
          <cell r="G38">
            <v>0</v>
          </cell>
          <cell r="H38">
            <v>0.47936358186972317</v>
          </cell>
          <cell r="I38">
            <v>77.434249380806591</v>
          </cell>
          <cell r="J38">
            <v>4.1324788516980604</v>
          </cell>
          <cell r="K38">
            <v>350.50828316098642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3.7873635934982084</v>
          </cell>
          <cell r="F39">
            <v>66.501430352433388</v>
          </cell>
          <cell r="G39">
            <v>35.862672280054085</v>
          </cell>
          <cell r="H39">
            <v>475.53900845554779</v>
          </cell>
          <cell r="I39">
            <v>0</v>
          </cell>
          <cell r="J39">
            <v>87.064074885756042</v>
          </cell>
          <cell r="K39">
            <v>0.28791624830485307</v>
          </cell>
        </row>
        <row r="41">
          <cell r="B41">
            <v>99.493799138021515</v>
          </cell>
          <cell r="C41">
            <v>250.97450833221373</v>
          </cell>
          <cell r="D41">
            <v>72.459672571109763</v>
          </cell>
          <cell r="E41">
            <v>165.06403945455992</v>
          </cell>
          <cell r="F41">
            <v>28.900801972878387</v>
          </cell>
          <cell r="G41">
            <v>68.600321169273755</v>
          </cell>
          <cell r="H41">
            <v>91.457761515335179</v>
          </cell>
          <cell r="I41">
            <v>121.33390138783113</v>
          </cell>
          <cell r="J41">
            <v>369.84906487268381</v>
          </cell>
          <cell r="K41">
            <v>117.67988428065145</v>
          </cell>
        </row>
        <row r="42">
          <cell r="B42">
            <v>12.434482900641054</v>
          </cell>
          <cell r="C42">
            <v>0</v>
          </cell>
          <cell r="D42">
            <v>3.537091075951683E-2</v>
          </cell>
          <cell r="E42">
            <v>35.419143819643438</v>
          </cell>
          <cell r="F42">
            <v>74.690448413345493</v>
          </cell>
          <cell r="G42">
            <v>53.262803409773845</v>
          </cell>
          <cell r="H42">
            <v>344.98217441114434</v>
          </cell>
          <cell r="I42">
            <v>0</v>
          </cell>
          <cell r="J42">
            <v>44.030514685777113</v>
          </cell>
          <cell r="K42">
            <v>29.065242032297512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79.870898238343614</v>
          </cell>
          <cell r="G44">
            <v>129.69289632304285</v>
          </cell>
          <cell r="H44">
            <v>1194.5907421227123</v>
          </cell>
          <cell r="I44">
            <v>0</v>
          </cell>
          <cell r="J44">
            <v>53.104780521893758</v>
          </cell>
          <cell r="K44">
            <v>0</v>
          </cell>
        </row>
        <row r="45">
          <cell r="B45">
            <v>65.238728233206274</v>
          </cell>
          <cell r="C45">
            <v>0</v>
          </cell>
          <cell r="D45">
            <v>0.18557693575517689</v>
          </cell>
          <cell r="E45">
            <v>185.8299952130248</v>
          </cell>
          <cell r="F45">
            <v>391.87072792575464</v>
          </cell>
          <cell r="G45">
            <v>279.44849692219907</v>
          </cell>
          <cell r="H45">
            <v>1809.9826507903206</v>
          </cell>
          <cell r="I45">
            <v>0</v>
          </cell>
          <cell r="J45">
            <v>231.01039299394751</v>
          </cell>
          <cell r="K45">
            <v>152.49362929918578</v>
          </cell>
        </row>
        <row r="46">
          <cell r="G46">
            <v>0</v>
          </cell>
        </row>
        <row r="51">
          <cell r="B51">
            <v>1.8688008841645589</v>
          </cell>
          <cell r="C51">
            <v>1.7744457275277261</v>
          </cell>
          <cell r="D51">
            <v>2.2453353363905992</v>
          </cell>
          <cell r="E51">
            <v>1.4303294603460492</v>
          </cell>
          <cell r="F51">
            <v>0.66657841495939807</v>
          </cell>
          <cell r="G51">
            <v>0</v>
          </cell>
          <cell r="H51">
            <v>0.118580972633203</v>
          </cell>
          <cell r="I51">
            <v>1.1607557671961197</v>
          </cell>
          <cell r="J51">
            <v>5.7744008659173209E-2</v>
          </cell>
          <cell r="K51">
            <v>2.5303940294290248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0.1302932294446886</v>
          </cell>
          <cell r="F52">
            <v>1.1045771917590586</v>
          </cell>
          <cell r="G52">
            <v>2.9812750280577425</v>
          </cell>
          <cell r="H52">
            <v>2.6791872050969583</v>
          </cell>
          <cell r="I52">
            <v>0</v>
          </cell>
          <cell r="J52">
            <v>1.1479742017587058</v>
          </cell>
          <cell r="K52">
            <v>3.0594887499718722E-2</v>
          </cell>
        </row>
      </sheetData>
      <sheetData sheetId="4">
        <row r="13">
          <cell r="H13">
            <v>744</v>
          </cell>
          <cell r="I13">
            <v>8.4931506849315067E-2</v>
          </cell>
        </row>
        <row r="21">
          <cell r="B21">
            <v>129.39603494623657</v>
          </cell>
          <cell r="C21">
            <v>261.67956989247307</v>
          </cell>
          <cell r="D21">
            <v>145.9</v>
          </cell>
          <cell r="E21">
            <v>438.28057795698919</v>
          </cell>
          <cell r="F21">
            <v>107.87728494623656</v>
          </cell>
          <cell r="G21">
            <v>0</v>
          </cell>
          <cell r="H21">
            <v>27.949932795698921</v>
          </cell>
          <cell r="I21">
            <v>135.09657258064516</v>
          </cell>
          <cell r="J21">
            <v>9.9411962365591418</v>
          </cell>
          <cell r="K21">
            <v>215.73326612903224</v>
          </cell>
        </row>
        <row r="22">
          <cell r="B22">
            <v>10.279637096774193</v>
          </cell>
          <cell r="C22">
            <v>0</v>
          </cell>
          <cell r="D22">
            <v>0.15396505376344088</v>
          </cell>
          <cell r="E22">
            <v>48.120631720430104</v>
          </cell>
          <cell r="F22">
            <v>382.52211021505377</v>
          </cell>
          <cell r="G22">
            <v>193.08857526881724</v>
          </cell>
          <cell r="H22">
            <v>654.8100134408603</v>
          </cell>
          <cell r="I22">
            <v>0</v>
          </cell>
          <cell r="J22">
            <v>168.82815860215052</v>
          </cell>
          <cell r="K22">
            <v>13.881451612903225</v>
          </cell>
        </row>
        <row r="24">
          <cell r="B24">
            <v>96.270650000000003</v>
          </cell>
          <cell r="C24">
            <v>194.68959999999998</v>
          </cell>
          <cell r="D24">
            <v>108.54960000000001</v>
          </cell>
          <cell r="E24">
            <v>326.08074999999997</v>
          </cell>
          <cell r="F24">
            <v>80.2607</v>
          </cell>
          <cell r="G24">
            <v>0</v>
          </cell>
          <cell r="H24">
            <v>20.794749999999997</v>
          </cell>
          <cell r="I24">
            <v>100.51185000000001</v>
          </cell>
          <cell r="J24">
            <v>7.3962500000000011</v>
          </cell>
          <cell r="K24">
            <v>160.50555</v>
          </cell>
        </row>
        <row r="25">
          <cell r="B25">
            <v>7.6480499999999996</v>
          </cell>
          <cell r="C25">
            <v>0</v>
          </cell>
          <cell r="D25">
            <v>0.11455000000000001</v>
          </cell>
          <cell r="E25">
            <v>35.801749999999998</v>
          </cell>
          <cell r="F25">
            <v>284.59645</v>
          </cell>
          <cell r="G25">
            <v>143.65790000000001</v>
          </cell>
          <cell r="H25">
            <v>487.17865</v>
          </cell>
          <cell r="I25">
            <v>0</v>
          </cell>
          <cell r="J25">
            <v>125.60814999999999</v>
          </cell>
          <cell r="K25">
            <v>10.3278</v>
          </cell>
        </row>
        <row r="27">
          <cell r="B27">
            <v>2.0213950099863984</v>
          </cell>
          <cell r="C27">
            <v>1.8651847204194707</v>
          </cell>
          <cell r="D27">
            <v>2.3035946292545746</v>
          </cell>
          <cell r="E27">
            <v>1.8111384099471306</v>
          </cell>
          <cell r="F27">
            <v>0.48826146402283821</v>
          </cell>
          <cell r="G27">
            <v>0</v>
          </cell>
          <cell r="H27">
            <v>0.36531808510300279</v>
          </cell>
          <cell r="I27">
            <v>0.306051693958033</v>
          </cell>
          <cell r="J27">
            <v>0</v>
          </cell>
          <cell r="K27">
            <v>2.4173327438260332</v>
          </cell>
        </row>
        <row r="28">
          <cell r="B28">
            <v>9.8777773510177174E-3</v>
          </cell>
          <cell r="C28">
            <v>0</v>
          </cell>
          <cell r="D28">
            <v>0</v>
          </cell>
          <cell r="E28">
            <v>0.11938056522778438</v>
          </cell>
          <cell r="F28">
            <v>0.6832459885807517</v>
          </cell>
          <cell r="G28">
            <v>0.79252965647983409</v>
          </cell>
          <cell r="H28">
            <v>0.77498828239569939</v>
          </cell>
          <cell r="I28">
            <v>0</v>
          </cell>
          <cell r="J28">
            <v>0.98687393835928594</v>
          </cell>
          <cell r="K28">
            <v>2.8316582145294412E-2</v>
          </cell>
        </row>
        <row r="30">
          <cell r="B30">
            <v>0.26452983656924611</v>
          </cell>
        </row>
        <row r="31">
          <cell r="B31">
            <v>0.26789423114607852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1.4433291324011848</v>
          </cell>
          <cell r="G33">
            <v>2.4482104643549976</v>
          </cell>
          <cell r="H33">
            <v>2.1146001333616997</v>
          </cell>
          <cell r="I33">
            <v>0</v>
          </cell>
          <cell r="J33">
            <v>1.7550475295633687</v>
          </cell>
          <cell r="K33">
            <v>0</v>
          </cell>
        </row>
        <row r="34">
          <cell r="I34">
            <v>1.4476162186234678</v>
          </cell>
        </row>
        <row r="38">
          <cell r="B38">
            <v>192.99424543755291</v>
          </cell>
          <cell r="C38">
            <v>356.12751050552237</v>
          </cell>
          <cell r="D38">
            <v>250.05427556773233</v>
          </cell>
          <cell r="E38">
            <v>590.06198822798012</v>
          </cell>
          <cell r="F38">
            <v>37.157184726320565</v>
          </cell>
          <cell r="G38">
            <v>0</v>
          </cell>
          <cell r="H38">
            <v>7.4377009344539013</v>
          </cell>
          <cell r="I38">
            <v>35.249670116722875</v>
          </cell>
          <cell r="J38">
            <v>0</v>
          </cell>
          <cell r="K38">
            <v>381.04530572415553</v>
          </cell>
        </row>
        <row r="39">
          <cell r="B39">
            <v>7.6281054731905967E-2</v>
          </cell>
          <cell r="C39">
            <v>0</v>
          </cell>
          <cell r="D39">
            <v>0</v>
          </cell>
          <cell r="E39">
            <v>4.2900773746010774</v>
          </cell>
          <cell r="F39">
            <v>191.87051384815268</v>
          </cell>
          <cell r="G39">
            <v>112.17957309464943</v>
          </cell>
          <cell r="H39">
            <v>365.83221287595057</v>
          </cell>
          <cell r="I39">
            <v>0</v>
          </cell>
          <cell r="J39">
            <v>118.3773647572352</v>
          </cell>
          <cell r="K39">
            <v>0.28592609772504868</v>
          </cell>
        </row>
        <row r="41">
          <cell r="B41">
            <v>73.671559484535067</v>
          </cell>
          <cell r="C41">
            <v>142.26414610694056</v>
          </cell>
          <cell r="D41">
            <v>41.073547724106838</v>
          </cell>
          <cell r="E41">
            <v>93.566054903398339</v>
          </cell>
          <cell r="F41">
            <v>19.456169479668052</v>
          </cell>
          <cell r="G41">
            <v>38.885885975679187</v>
          </cell>
          <cell r="H41">
            <v>51.842557370840851</v>
          </cell>
          <cell r="I41">
            <v>68.777757508003987</v>
          </cell>
          <cell r="J41">
            <v>598.77122096958556</v>
          </cell>
          <cell r="K41">
            <v>66.706488887666794</v>
          </cell>
        </row>
        <row r="42">
          <cell r="B42">
            <v>10.825605880613033</v>
          </cell>
          <cell r="C42">
            <v>0</v>
          </cell>
          <cell r="D42">
            <v>2.9468365426068639E-2</v>
          </cell>
          <cell r="E42">
            <v>30.681926293160377</v>
          </cell>
          <cell r="F42">
            <v>64.388334332541291</v>
          </cell>
          <cell r="G42">
            <v>45.869385856305179</v>
          </cell>
          <cell r="H42">
            <v>297.28425775557866</v>
          </cell>
          <cell r="I42">
            <v>0</v>
          </cell>
          <cell r="J42">
            <v>38.204531157293019</v>
          </cell>
          <cell r="K42">
            <v>24.865942534979006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406.02759981525384</v>
          </cell>
          <cell r="G44">
            <v>346.8603760528182</v>
          </cell>
          <cell r="H44">
            <v>995.19954622249645</v>
          </cell>
          <cell r="I44">
            <v>0</v>
          </cell>
          <cell r="J44">
            <v>210.18132031284802</v>
          </cell>
          <cell r="K44">
            <v>0</v>
          </cell>
        </row>
        <row r="45">
          <cell r="B45">
            <v>58.498171394574328</v>
          </cell>
          <cell r="C45">
            <v>0</v>
          </cell>
          <cell r="D45">
            <v>0.15923778404858152</v>
          </cell>
          <cell r="E45">
            <v>165.79548551894575</v>
          </cell>
          <cell r="F45">
            <v>347.93431971706519</v>
          </cell>
          <cell r="G45">
            <v>247.86374316391203</v>
          </cell>
          <cell r="H45">
            <v>1606.4306843313473</v>
          </cell>
          <cell r="I45">
            <v>0</v>
          </cell>
          <cell r="J45">
            <v>206.44527764409287</v>
          </cell>
          <cell r="K45">
            <v>134.36773741263031</v>
          </cell>
        </row>
        <row r="46">
          <cell r="G46">
            <v>0</v>
          </cell>
        </row>
        <row r="51">
          <cell r="B51">
            <v>2.0047049172053257</v>
          </cell>
          <cell r="C51">
            <v>1.829206647430178</v>
          </cell>
          <cell r="D51">
            <v>2.3035946292545741</v>
          </cell>
          <cell r="E51">
            <v>1.8095578724839789</v>
          </cell>
          <cell r="F51">
            <v>0.46295615072283902</v>
          </cell>
          <cell r="G51">
            <v>0</v>
          </cell>
          <cell r="H51">
            <v>0.35767205349686348</v>
          </cell>
          <cell r="I51">
            <v>0.35070163484925282</v>
          </cell>
          <cell r="J51">
            <v>0</v>
          </cell>
          <cell r="K51">
            <v>2.3740319616621077</v>
          </cell>
        </row>
        <row r="52">
          <cell r="B52">
            <v>9.9739220758109544E-3</v>
          </cell>
          <cell r="C52">
            <v>0</v>
          </cell>
          <cell r="D52">
            <v>0</v>
          </cell>
          <cell r="E52">
            <v>0.11982870598786589</v>
          </cell>
          <cell r="F52">
            <v>2.1008628662212989</v>
          </cell>
          <cell r="G52">
            <v>3.1953686441711007</v>
          </cell>
          <cell r="H52">
            <v>2.7937015694313514</v>
          </cell>
          <cell r="I52">
            <v>0</v>
          </cell>
          <cell r="J52">
            <v>2.6157433659367109</v>
          </cell>
          <cell r="K52">
            <v>2.7685092442247979E-2</v>
          </cell>
        </row>
      </sheetData>
      <sheetData sheetId="5">
        <row r="13">
          <cell r="H13">
            <v>720</v>
          </cell>
          <cell r="I13">
            <v>8.2191780821917818E-2</v>
          </cell>
        </row>
        <row r="21">
          <cell r="B21">
            <v>126.81180555555555</v>
          </cell>
          <cell r="C21">
            <v>252.78888888888883</v>
          </cell>
          <cell r="D21">
            <v>145.90000000000003</v>
          </cell>
          <cell r="E21">
            <v>439.01361111111112</v>
          </cell>
          <cell r="F21">
            <v>108.66131944444443</v>
          </cell>
          <cell r="G21">
            <v>0</v>
          </cell>
          <cell r="H21">
            <v>27.16</v>
          </cell>
          <cell r="I21">
            <v>104.89104166666667</v>
          </cell>
          <cell r="J21">
            <v>9.529791666666668</v>
          </cell>
          <cell r="K21">
            <v>197.75548611111108</v>
          </cell>
        </row>
        <row r="22">
          <cell r="B22">
            <v>9.6133333333333333</v>
          </cell>
          <cell r="C22">
            <v>0</v>
          </cell>
          <cell r="D22">
            <v>0.14159722222222224</v>
          </cell>
          <cell r="E22">
            <v>47.339722222222221</v>
          </cell>
          <cell r="F22">
            <v>366.42027777777776</v>
          </cell>
          <cell r="G22">
            <v>185.29763888888888</v>
          </cell>
          <cell r="H22">
            <v>628.19000000000005</v>
          </cell>
          <cell r="I22">
            <v>0</v>
          </cell>
          <cell r="J22">
            <v>161.96708333333333</v>
          </cell>
          <cell r="K22">
            <v>13.329722222222221</v>
          </cell>
        </row>
        <row r="24">
          <cell r="B24">
            <v>91.304500000000004</v>
          </cell>
          <cell r="C24">
            <v>182.00799999999998</v>
          </cell>
          <cell r="D24">
            <v>105.04800000000002</v>
          </cell>
          <cell r="E24">
            <v>316.08979999999997</v>
          </cell>
          <cell r="F24">
            <v>78.236149999999995</v>
          </cell>
          <cell r="G24">
            <v>0</v>
          </cell>
          <cell r="H24">
            <v>19.555199999999999</v>
          </cell>
          <cell r="I24">
            <v>75.521550000000005</v>
          </cell>
          <cell r="J24">
            <v>6.8614500000000005</v>
          </cell>
          <cell r="K24">
            <v>142.38394999999997</v>
          </cell>
        </row>
        <row r="25">
          <cell r="B25">
            <v>6.9215999999999998</v>
          </cell>
          <cell r="C25">
            <v>0</v>
          </cell>
          <cell r="D25">
            <v>0.10195</v>
          </cell>
          <cell r="E25">
            <v>34.084600000000002</v>
          </cell>
          <cell r="F25">
            <v>263.82259999999997</v>
          </cell>
          <cell r="G25">
            <v>133.4143</v>
          </cell>
          <cell r="H25">
            <v>452.29680000000002</v>
          </cell>
          <cell r="I25">
            <v>0</v>
          </cell>
          <cell r="J25">
            <v>116.61630000000001</v>
          </cell>
          <cell r="K25">
            <v>9.5974000000000004</v>
          </cell>
        </row>
        <row r="27">
          <cell r="B27">
            <v>2.0790570326645832</v>
          </cell>
          <cell r="C27">
            <v>1.9149777495006655</v>
          </cell>
          <cell r="D27">
            <v>2.3608589004988079</v>
          </cell>
          <cell r="E27">
            <v>1.8568947837973289</v>
          </cell>
          <cell r="F27">
            <v>0.50229197778228207</v>
          </cell>
          <cell r="G27">
            <v>0</v>
          </cell>
          <cell r="H27">
            <v>0.38076948445097897</v>
          </cell>
          <cell r="I27">
            <v>0.27127753775553792</v>
          </cell>
          <cell r="J27">
            <v>0</v>
          </cell>
          <cell r="K27">
            <v>2.5360399680256203</v>
          </cell>
        </row>
        <row r="28">
          <cell r="B28">
            <v>9.9642093722298718E-3</v>
          </cell>
          <cell r="C28">
            <v>0</v>
          </cell>
          <cell r="D28">
            <v>0</v>
          </cell>
          <cell r="E28">
            <v>0.11725520731533111</v>
          </cell>
          <cell r="F28">
            <v>0.69504300419320941</v>
          </cell>
          <cell r="G28">
            <v>0.80955702186567036</v>
          </cell>
          <cell r="H28">
            <v>0.81343293930574034</v>
          </cell>
          <cell r="I28">
            <v>0</v>
          </cell>
          <cell r="J28">
            <v>1.0565100497409514</v>
          </cell>
          <cell r="K28">
            <v>3.1610640239377555E-2</v>
          </cell>
        </row>
        <row r="30">
          <cell r="B30">
            <v>0.2568323874076941</v>
          </cell>
        </row>
        <row r="31">
          <cell r="B31">
            <v>0.26009888279647875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1.468702224703416</v>
          </cell>
          <cell r="G33">
            <v>2.4958167825002624</v>
          </cell>
          <cell r="H33">
            <v>2.2297206302768879</v>
          </cell>
          <cell r="I33">
            <v>0</v>
          </cell>
          <cell r="J33">
            <v>1.887460211664022</v>
          </cell>
          <cell r="K33">
            <v>0</v>
          </cell>
        </row>
        <row r="34">
          <cell r="I34">
            <v>1.4010909972164944</v>
          </cell>
        </row>
        <row r="38">
          <cell r="B38">
            <v>187.99868700039312</v>
          </cell>
          <cell r="C38">
            <v>342.48305417788254</v>
          </cell>
          <cell r="D38">
            <v>248.00350577959875</v>
          </cell>
          <cell r="E38">
            <v>586.54280738410102</v>
          </cell>
          <cell r="F38">
            <v>37.37361506408589</v>
          </cell>
          <cell r="G38">
            <v>0</v>
          </cell>
          <cell r="H38">
            <v>7.2906247751479905</v>
          </cell>
          <cell r="I38">
            <v>27.31865105927178</v>
          </cell>
          <cell r="J38">
            <v>0</v>
          </cell>
          <cell r="K38">
            <v>349.65978841616106</v>
          </cell>
        </row>
        <row r="39">
          <cell r="B39">
            <v>6.9918999515355421E-2</v>
          </cell>
          <cell r="C39">
            <v>0</v>
          </cell>
          <cell r="D39">
            <v>0</v>
          </cell>
          <cell r="E39">
            <v>4.0128543026036132</v>
          </cell>
          <cell r="F39">
            <v>180.89767971556097</v>
          </cell>
          <cell r="G39">
            <v>106.34852906346637</v>
          </cell>
          <cell r="H39">
            <v>356.37276065482376</v>
          </cell>
          <cell r="I39">
            <v>0</v>
          </cell>
          <cell r="J39">
            <v>117.72064433615199</v>
          </cell>
          <cell r="K39">
            <v>0.29364163786743802</v>
          </cell>
        </row>
        <row r="41">
          <cell r="B41">
            <v>71.527819893042818</v>
          </cell>
          <cell r="C41">
            <v>138.12445794785788</v>
          </cell>
          <cell r="D41">
            <v>39.878364792792652</v>
          </cell>
          <cell r="E41">
            <v>90.843413252813264</v>
          </cell>
          <cell r="F41">
            <v>18.890022093835903</v>
          </cell>
          <cell r="G41">
            <v>37.75436094893103</v>
          </cell>
          <cell r="H41">
            <v>50.334011284159892</v>
          </cell>
          <cell r="I41">
            <v>66.776420726000467</v>
          </cell>
          <cell r="J41">
            <v>581.34781386893769</v>
          </cell>
          <cell r="K41">
            <v>64.765423132598229</v>
          </cell>
        </row>
        <row r="42">
          <cell r="B42">
            <v>10.510595853805704</v>
          </cell>
          <cell r="C42">
            <v>0</v>
          </cell>
          <cell r="D42">
            <v>2.8610877107612658E-2</v>
          </cell>
          <cell r="E42">
            <v>29.789125046680709</v>
          </cell>
          <cell r="F42">
            <v>62.51472364064491</v>
          </cell>
          <cell r="G42">
            <v>44.5346507266893</v>
          </cell>
          <cell r="H42">
            <v>288.63370063778353</v>
          </cell>
          <cell r="I42">
            <v>0</v>
          </cell>
          <cell r="J42">
            <v>37.092832605106409</v>
          </cell>
          <cell r="K42">
            <v>24.142378301169153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382.76590985305234</v>
          </cell>
          <cell r="G44">
            <v>328.15536276202755</v>
          </cell>
          <cell r="H44">
            <v>973.98057856571813</v>
          </cell>
          <cell r="I44">
            <v>0</v>
          </cell>
          <cell r="J44">
            <v>209.86806062678062</v>
          </cell>
          <cell r="K44">
            <v>0</v>
          </cell>
        </row>
        <row r="45">
          <cell r="B45">
            <v>56.618087197518527</v>
          </cell>
          <cell r="C45">
            <v>0</v>
          </cell>
          <cell r="D45">
            <v>0.15412000969381437</v>
          </cell>
          <cell r="E45">
            <v>160.46695191120509</v>
          </cell>
          <cell r="F45">
            <v>336.75199041481824</v>
          </cell>
          <cell r="G45">
            <v>239.89760173698883</v>
          </cell>
          <cell r="H45">
            <v>1554.8012936807359</v>
          </cell>
          <cell r="I45">
            <v>0</v>
          </cell>
          <cell r="J45">
            <v>199.81029239921295</v>
          </cell>
          <cell r="K45">
            <v>130.04926636163501</v>
          </cell>
        </row>
        <row r="46">
          <cell r="G46">
            <v>0</v>
          </cell>
        </row>
        <row r="51">
          <cell r="B51">
            <v>2.0590298068593893</v>
          </cell>
          <cell r="C51">
            <v>1.8816923112054555</v>
          </cell>
          <cell r="D51">
            <v>2.3608589004988074</v>
          </cell>
          <cell r="E51">
            <v>1.855620799481986</v>
          </cell>
          <cell r="F51">
            <v>0.47770263572639876</v>
          </cell>
          <cell r="G51">
            <v>0</v>
          </cell>
          <cell r="H51">
            <v>0.37282281823494473</v>
          </cell>
          <cell r="I51">
            <v>0.36173318819955069</v>
          </cell>
          <cell r="J51">
            <v>0</v>
          </cell>
          <cell r="K51">
            <v>2.455752831805559</v>
          </cell>
        </row>
        <row r="52">
          <cell r="B52">
            <v>1.0101566041862492E-2</v>
          </cell>
          <cell r="C52">
            <v>0</v>
          </cell>
          <cell r="D52">
            <v>0</v>
          </cell>
          <cell r="E52">
            <v>0.11773218117870278</v>
          </cell>
          <cell r="F52">
            <v>2.1365250345065716</v>
          </cell>
          <cell r="G52">
            <v>3.2568014959827694</v>
          </cell>
          <cell r="H52">
            <v>2.9413282146160258</v>
          </cell>
          <cell r="I52">
            <v>0</v>
          </cell>
          <cell r="J52">
            <v>2.8091159208698322</v>
          </cell>
          <cell r="K52">
            <v>3.0595957016216684E-2</v>
          </cell>
        </row>
      </sheetData>
      <sheetData sheetId="6">
        <row r="13">
          <cell r="H13">
            <v>744</v>
          </cell>
          <cell r="I13">
            <v>8.4931506849315067E-2</v>
          </cell>
        </row>
        <row r="21">
          <cell r="B21">
            <v>128.38756720430106</v>
          </cell>
          <cell r="C21">
            <v>260.05322580645156</v>
          </cell>
          <cell r="D21">
            <v>145.9</v>
          </cell>
          <cell r="E21">
            <v>438.50262096774196</v>
          </cell>
          <cell r="F21">
            <v>108.10678763440862</v>
          </cell>
          <cell r="G21">
            <v>0</v>
          </cell>
          <cell r="H21">
            <v>27.71720430107527</v>
          </cell>
          <cell r="I21">
            <v>127.11108870967745</v>
          </cell>
          <cell r="J21">
            <v>9.8223790322580644</v>
          </cell>
          <cell r="K21">
            <v>209.01612903225808</v>
          </cell>
        </row>
        <row r="22">
          <cell r="B22">
            <v>10.093346774193549</v>
          </cell>
          <cell r="C22">
            <v>0</v>
          </cell>
          <cell r="D22">
            <v>0.15094086021505379</v>
          </cell>
          <cell r="E22">
            <v>47.940524193548399</v>
          </cell>
          <cell r="F22">
            <v>377.81942204301072</v>
          </cell>
          <cell r="G22">
            <v>190.81283602150538</v>
          </cell>
          <cell r="H22">
            <v>647.07244623655913</v>
          </cell>
          <cell r="I22">
            <v>0</v>
          </cell>
          <cell r="J22">
            <v>166.83373655913979</v>
          </cell>
          <cell r="K22">
            <v>13.720967741935484</v>
          </cell>
        </row>
        <row r="24">
          <cell r="B24">
            <v>95.520349999999993</v>
          </cell>
          <cell r="C24">
            <v>193.47959999999998</v>
          </cell>
          <cell r="D24">
            <v>108.54960000000001</v>
          </cell>
          <cell r="E24">
            <v>326.24594999999999</v>
          </cell>
          <cell r="F24">
            <v>80.431450000000012</v>
          </cell>
          <cell r="G24">
            <v>0</v>
          </cell>
          <cell r="H24">
            <v>20.621600000000001</v>
          </cell>
          <cell r="I24">
            <v>94.570650000000029</v>
          </cell>
          <cell r="J24">
            <v>7.3078499999999993</v>
          </cell>
          <cell r="K24">
            <v>155.50800000000001</v>
          </cell>
        </row>
        <row r="25">
          <cell r="B25">
            <v>7.5094500000000002</v>
          </cell>
          <cell r="C25">
            <v>0</v>
          </cell>
          <cell r="D25">
            <v>0.11230000000000001</v>
          </cell>
          <cell r="E25">
            <v>35.667750000000005</v>
          </cell>
          <cell r="F25">
            <v>281.09764999999999</v>
          </cell>
          <cell r="G25">
            <v>141.96475000000001</v>
          </cell>
          <cell r="H25">
            <v>481.42190000000005</v>
          </cell>
          <cell r="I25">
            <v>0</v>
          </cell>
          <cell r="J25">
            <v>124.12430000000001</v>
          </cell>
          <cell r="K25">
            <v>10.208399999999999</v>
          </cell>
        </row>
        <row r="27">
          <cell r="B27">
            <v>2.0402122496852395</v>
          </cell>
          <cell r="C27">
            <v>1.882365679327954</v>
          </cell>
          <cell r="D27">
            <v>2.3222303147956991</v>
          </cell>
          <cell r="E27">
            <v>1.826202828476108</v>
          </cell>
          <cell r="F27">
            <v>0.4930799135599272</v>
          </cell>
          <cell r="G27">
            <v>0</v>
          </cell>
          <cell r="H27">
            <v>0.37007391426906211</v>
          </cell>
          <cell r="I27">
            <v>0.26950554705950064</v>
          </cell>
          <cell r="J27">
            <v>0</v>
          </cell>
          <cell r="K27">
            <v>2.459645768421622</v>
          </cell>
        </row>
        <row r="28">
          <cell r="B28">
            <v>9.9082514600555543E-3</v>
          </cell>
          <cell r="C28">
            <v>0</v>
          </cell>
          <cell r="D28">
            <v>0</v>
          </cell>
          <cell r="E28">
            <v>0.11864772775846232</v>
          </cell>
          <cell r="F28">
            <v>0.68732291488566155</v>
          </cell>
          <cell r="G28">
            <v>0.79828167025384056</v>
          </cell>
          <cell r="H28">
            <v>0.78599651427302852</v>
          </cell>
          <cell r="I28">
            <v>0</v>
          </cell>
          <cell r="J28">
            <v>1.0084225823411641</v>
          </cell>
          <cell r="K28">
            <v>2.9565383740919111E-2</v>
          </cell>
        </row>
        <row r="30">
          <cell r="B30">
            <v>0.26485573484045538</v>
          </cell>
        </row>
        <row r="31">
          <cell r="B31">
            <v>0.26822427431977025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1.4538361206007882</v>
          </cell>
          <cell r="G33">
            <v>2.4675127618825998</v>
          </cell>
          <cell r="H33">
            <v>2.150424314971898</v>
          </cell>
          <cell r="I33">
            <v>0</v>
          </cell>
          <cell r="J33">
            <v>1.8029820695612313</v>
          </cell>
          <cell r="K33">
            <v>0</v>
          </cell>
        </row>
        <row r="34">
          <cell r="I34">
            <v>1.4465493476220117</v>
          </cell>
        </row>
        <row r="38">
          <cell r="B38">
            <v>193.11774948783889</v>
          </cell>
          <cell r="C38">
            <v>357.07662282331887</v>
          </cell>
          <cell r="D38">
            <v>252.07717177894716</v>
          </cell>
          <cell r="E38">
            <v>595.31386615771589</v>
          </cell>
          <cell r="F38">
            <v>37.634212578008089</v>
          </cell>
          <cell r="G38">
            <v>0</v>
          </cell>
          <cell r="H38">
            <v>7.4665483997750952</v>
          </cell>
          <cell r="I38">
            <v>32.69398022593392</v>
          </cell>
          <cell r="J38">
            <v>0</v>
          </cell>
          <cell r="K38">
            <v>373.27548206742694</v>
          </cell>
        </row>
        <row r="39">
          <cell r="B39">
            <v>7.5190270399720399E-2</v>
          </cell>
          <cell r="C39">
            <v>0</v>
          </cell>
          <cell r="D39">
            <v>0</v>
          </cell>
          <cell r="E39">
            <v>4.2489972999522028</v>
          </cell>
          <cell r="F39">
            <v>190.52896498657125</v>
          </cell>
          <cell r="G39">
            <v>111.56971497846472</v>
          </cell>
          <cell r="H39">
            <v>366.19911901408273</v>
          </cell>
          <cell r="I39">
            <v>0</v>
          </cell>
          <cell r="J39">
            <v>119.36553590916779</v>
          </cell>
          <cell r="K39">
            <v>0.29346333520376661</v>
          </cell>
        </row>
        <row r="41">
          <cell r="B41">
            <v>73.762322153066833</v>
          </cell>
          <cell r="C41">
            <v>142.4394141971969</v>
          </cell>
          <cell r="D41">
            <v>41.124149948677498</v>
          </cell>
          <cell r="E41">
            <v>93.681327403212961</v>
          </cell>
          <cell r="F41">
            <v>19.480139297515493</v>
          </cell>
          <cell r="G41">
            <v>38.93379302154694</v>
          </cell>
          <cell r="H41">
            <v>51.906426914032437</v>
          </cell>
          <cell r="I41">
            <v>68.862491058518401</v>
          </cell>
          <cell r="J41">
            <v>599.50890148341591</v>
          </cell>
          <cell r="K41">
            <v>66.788670654717635</v>
          </cell>
        </row>
        <row r="42">
          <cell r="B42">
            <v>10.838942925261913</v>
          </cell>
          <cell r="C42">
            <v>0</v>
          </cell>
          <cell r="D42">
            <v>2.9504670175174722E-2</v>
          </cell>
          <cell r="E42">
            <v>30.719726137843288</v>
          </cell>
          <cell r="F42">
            <v>64.467660154978461</v>
          </cell>
          <cell r="G42">
            <v>45.925896508358186</v>
          </cell>
          <cell r="H42">
            <v>297.65050916569106</v>
          </cell>
          <cell r="I42">
            <v>0</v>
          </cell>
          <cell r="J42">
            <v>38.251598780431479</v>
          </cell>
          <cell r="K42">
            <v>24.896577142361064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403.60683665750315</v>
          </cell>
          <cell r="G44">
            <v>345.12630459745696</v>
          </cell>
          <cell r="H44">
            <v>998.59900886836317</v>
          </cell>
          <cell r="I44">
            <v>0</v>
          </cell>
          <cell r="J44">
            <v>212.97629349360437</v>
          </cell>
          <cell r="K44">
            <v>0</v>
          </cell>
        </row>
        <row r="45">
          <cell r="B45">
            <v>58.455059137405492</v>
          </cell>
          <cell r="C45">
            <v>0</v>
          </cell>
          <cell r="D45">
            <v>0.15912042823842132</v>
          </cell>
          <cell r="E45">
            <v>165.67329678314903</v>
          </cell>
          <cell r="F45">
            <v>347.67789744758386</v>
          </cell>
          <cell r="G45">
            <v>247.68107137805333</v>
          </cell>
          <cell r="H45">
            <v>1605.2467694988709</v>
          </cell>
          <cell r="I45">
            <v>0</v>
          </cell>
          <cell r="J45">
            <v>206.2931306335299</v>
          </cell>
          <cell r="K45">
            <v>134.26871044627515</v>
          </cell>
        </row>
        <row r="46">
          <cell r="G46">
            <v>0</v>
          </cell>
        </row>
        <row r="51">
          <cell r="B51">
            <v>2.0217445757667232</v>
          </cell>
          <cell r="C51">
            <v>1.8455517936946269</v>
          </cell>
          <cell r="D51">
            <v>2.3222303147956982</v>
          </cell>
          <cell r="E51">
            <v>1.824739483073172</v>
          </cell>
          <cell r="F51">
            <v>0.46790419143268069</v>
          </cell>
          <cell r="G51">
            <v>0</v>
          </cell>
          <cell r="H51">
            <v>0.36207415524377812</v>
          </cell>
          <cell r="I51">
            <v>0.34570958564770266</v>
          </cell>
          <cell r="J51">
            <v>0</v>
          </cell>
          <cell r="K51">
            <v>2.4003619239359191</v>
          </cell>
        </row>
        <row r="52">
          <cell r="B52">
            <v>1.0012753317449399E-2</v>
          </cell>
          <cell r="C52">
            <v>0</v>
          </cell>
          <cell r="D52">
            <v>0</v>
          </cell>
          <cell r="E52">
            <v>0.11912714707129556</v>
          </cell>
          <cell r="F52">
            <v>2.113627778973159</v>
          </cell>
          <cell r="G52">
            <v>3.216967730200079</v>
          </cell>
          <cell r="H52">
            <v>2.8349315390148346</v>
          </cell>
          <cell r="I52">
            <v>0</v>
          </cell>
          <cell r="J52">
            <v>2.6774920736936458</v>
          </cell>
          <cell r="K52">
            <v>2.8747241017570493E-2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88.629435483870949</v>
          </cell>
          <cell r="C21">
            <v>98</v>
          </cell>
          <cell r="D21">
            <v>63.000000000000007</v>
          </cell>
          <cell r="E21">
            <v>189.73434139784948</v>
          </cell>
          <cell r="F21">
            <v>304.27856182795693</v>
          </cell>
          <cell r="G21">
            <v>0</v>
          </cell>
          <cell r="H21">
            <v>23.277486559139781</v>
          </cell>
          <cell r="I21">
            <v>222.42735215053764</v>
          </cell>
          <cell r="J21">
            <v>350.99388440860213</v>
          </cell>
          <cell r="K21">
            <v>167.78508064516129</v>
          </cell>
        </row>
        <row r="22">
          <cell r="B22">
            <v>8.9659946236559129</v>
          </cell>
          <cell r="C22">
            <v>0</v>
          </cell>
          <cell r="D22">
            <v>0.15483870967741936</v>
          </cell>
          <cell r="E22">
            <v>48.877419354838715</v>
          </cell>
          <cell r="F22">
            <v>374.33178763440856</v>
          </cell>
          <cell r="G22">
            <v>185.07600806451615</v>
          </cell>
          <cell r="H22">
            <v>696.76303763440865</v>
          </cell>
          <cell r="I22">
            <v>0</v>
          </cell>
          <cell r="J22">
            <v>179.51041666666666</v>
          </cell>
          <cell r="K22">
            <v>14.486760752688173</v>
          </cell>
        </row>
        <row r="24">
          <cell r="B24">
            <v>65.940299999999993</v>
          </cell>
          <cell r="C24">
            <v>72.912000000000006</v>
          </cell>
          <cell r="D24">
            <v>46.872000000000007</v>
          </cell>
          <cell r="E24">
            <v>141.16235</v>
          </cell>
          <cell r="F24">
            <v>226.38324999999998</v>
          </cell>
          <cell r="G24">
            <v>0</v>
          </cell>
          <cell r="H24">
            <v>17.318449999999999</v>
          </cell>
          <cell r="I24">
            <v>165.48595</v>
          </cell>
          <cell r="J24">
            <v>261.13945000000001</v>
          </cell>
          <cell r="K24">
            <v>124.8321</v>
          </cell>
        </row>
        <row r="25">
          <cell r="B25">
            <v>6.6707000000000001</v>
          </cell>
          <cell r="C25">
            <v>0</v>
          </cell>
          <cell r="D25">
            <v>0.1152</v>
          </cell>
          <cell r="E25">
            <v>36.364800000000002</v>
          </cell>
          <cell r="F25">
            <v>278.50284999999997</v>
          </cell>
          <cell r="G25">
            <v>137.69655000000003</v>
          </cell>
          <cell r="H25">
            <v>518.39170000000001</v>
          </cell>
          <cell r="I25">
            <v>0</v>
          </cell>
          <cell r="J25">
            <v>133.55574999999999</v>
          </cell>
          <cell r="K25">
            <v>10.778150000000002</v>
          </cell>
        </row>
        <row r="27">
          <cell r="B27">
            <v>2.383929061237815</v>
          </cell>
          <cell r="C27">
            <v>2.2259367588637939</v>
          </cell>
          <cell r="D27">
            <v>2.4510688161462704</v>
          </cell>
          <cell r="E27">
            <v>2.1315375989010104</v>
          </cell>
          <cell r="F27">
            <v>0.69342844383665558</v>
          </cell>
          <cell r="G27">
            <v>0</v>
          </cell>
          <cell r="H27">
            <v>0.30730129310080134</v>
          </cell>
          <cell r="I27">
            <v>0.4048389111328104</v>
          </cell>
          <cell r="J27">
            <v>0.16722849997246153</v>
          </cell>
          <cell r="K27">
            <v>2.7915507553004089</v>
          </cell>
        </row>
        <row r="28">
          <cell r="B28">
            <v>6.6884603481565004E-3</v>
          </cell>
          <cell r="C28">
            <v>0</v>
          </cell>
          <cell r="D28">
            <v>0</v>
          </cell>
          <cell r="E28">
            <v>0.31793893923569772</v>
          </cell>
          <cell r="F28">
            <v>0.59381657514159891</v>
          </cell>
          <cell r="G28">
            <v>0.69140845882437496</v>
          </cell>
          <cell r="H28">
            <v>0.5386379258021845</v>
          </cell>
          <cell r="I28">
            <v>0</v>
          </cell>
          <cell r="J28">
            <v>0.33122297176278404</v>
          </cell>
          <cell r="K28">
            <v>3.8508478930755437E-2</v>
          </cell>
        </row>
        <row r="30">
          <cell r="B30">
            <v>0.37484658681555366</v>
          </cell>
        </row>
        <row r="31">
          <cell r="B31">
            <v>0.37961403324119064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1.2512396868277653</v>
          </cell>
          <cell r="G33">
            <v>2.5851796343718445</v>
          </cell>
          <cell r="H33">
            <v>1.4849693373392883</v>
          </cell>
          <cell r="I33">
            <v>0</v>
          </cell>
          <cell r="J33">
            <v>0.336914517261861</v>
          </cell>
          <cell r="K33">
            <v>0</v>
          </cell>
        </row>
        <row r="34">
          <cell r="I34">
            <v>1.699736063435181</v>
          </cell>
        </row>
        <row r="38">
          <cell r="B38">
            <v>157.21191331716062</v>
          </cell>
          <cell r="C38">
            <v>162.29750096227693</v>
          </cell>
          <cell r="D38">
            <v>114.88649755040797</v>
          </cell>
          <cell r="E38">
            <v>300.91252664729922</v>
          </cell>
          <cell r="F38">
            <v>153.3412131613324</v>
          </cell>
          <cell r="G38">
            <v>0</v>
          </cell>
          <cell r="H38">
            <v>5.1638439892423538</v>
          </cell>
          <cell r="I38">
            <v>64.473071972124615</v>
          </cell>
          <cell r="J38">
            <v>45.014689631445115</v>
          </cell>
          <cell r="K38">
            <v>348.46993255420506</v>
          </cell>
        </row>
        <row r="39">
          <cell r="B39">
            <v>4.4649104282961177E-2</v>
          </cell>
          <cell r="C39">
            <v>0</v>
          </cell>
          <cell r="D39">
            <v>0</v>
          </cell>
          <cell r="E39">
            <v>11.589015858898536</v>
          </cell>
          <cell r="F39">
            <v>161.79097057955801</v>
          </cell>
          <cell r="G39">
            <v>93.113987109929582</v>
          </cell>
          <cell r="H39">
            <v>268.84752500672909</v>
          </cell>
          <cell r="I39">
            <v>0</v>
          </cell>
          <cell r="J39">
            <v>43.517990859109155</v>
          </cell>
          <cell r="K39">
            <v>0.42637138956161297</v>
          </cell>
        </row>
        <row r="41">
          <cell r="B41">
            <v>104.39477442813168</v>
          </cell>
          <cell r="C41">
            <v>201.59249438940475</v>
          </cell>
          <cell r="D41">
            <v>58.202429534851007</v>
          </cell>
          <cell r="E41">
            <v>132.58586168276904</v>
          </cell>
          <cell r="F41">
            <v>27.569966460283965</v>
          </cell>
          <cell r="G41">
            <v>55.102448261886387</v>
          </cell>
          <cell r="H41">
            <v>73.462434084112203</v>
          </cell>
          <cell r="I41">
            <v>97.460112572043968</v>
          </cell>
          <cell r="J41">
            <v>848.47649465460984</v>
          </cell>
          <cell r="K41">
            <v>94.525063797278165</v>
          </cell>
        </row>
        <row r="42">
          <cell r="B42">
            <v>15.340203083276515</v>
          </cell>
          <cell r="C42">
            <v>0</v>
          </cell>
          <cell r="D42">
            <v>4.175754365653097E-2</v>
          </cell>
          <cell r="E42">
            <v>43.477195227113569</v>
          </cell>
          <cell r="F42">
            <v>91.240170365333469</v>
          </cell>
          <cell r="G42">
            <v>64.998273731820603</v>
          </cell>
          <cell r="H42">
            <v>421.26056848223732</v>
          </cell>
          <cell r="I42">
            <v>0</v>
          </cell>
          <cell r="J42">
            <v>54.136948371988225</v>
          </cell>
          <cell r="K42">
            <v>35.235774565447322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339.6020618607144</v>
          </cell>
          <cell r="G44">
            <v>349.51960651222532</v>
          </cell>
          <cell r="H44">
            <v>741.81046320928181</v>
          </cell>
          <cell r="I44">
            <v>0</v>
          </cell>
          <cell r="J44">
            <v>45.344098100161524</v>
          </cell>
          <cell r="K44">
            <v>0</v>
          </cell>
        </row>
        <row r="45">
          <cell r="B45">
            <v>68.686334323415664</v>
          </cell>
          <cell r="C45">
            <v>0</v>
          </cell>
          <cell r="D45">
            <v>0.18697096697786991</v>
          </cell>
          <cell r="E45">
            <v>194.67077134523129</v>
          </cell>
          <cell r="F45">
            <v>408.53128289225617</v>
          </cell>
          <cell r="G45">
            <v>291.03220705440265</v>
          </cell>
          <cell r="H45">
            <v>1886.209986071638</v>
          </cell>
          <cell r="I45">
            <v>0</v>
          </cell>
          <cell r="J45">
            <v>242.40021562567532</v>
          </cell>
          <cell r="K45">
            <v>157.76950140805351</v>
          </cell>
        </row>
        <row r="46">
          <cell r="G46">
            <v>0</v>
          </cell>
        </row>
        <row r="51">
          <cell r="B51">
            <v>2.3841552634301122</v>
          </cell>
          <cell r="C51">
            <v>2.2259367588637935</v>
          </cell>
          <cell r="D51">
            <v>2.4510688161462695</v>
          </cell>
          <cell r="E51">
            <v>2.1316769425225579</v>
          </cell>
          <cell r="F51">
            <v>0.67735229157339349</v>
          </cell>
          <cell r="G51">
            <v>0</v>
          </cell>
          <cell r="H51">
            <v>0.29817010120665266</v>
          </cell>
          <cell r="I51">
            <v>0.38959846423291289</v>
          </cell>
          <cell r="J51">
            <v>0.17237797518316406</v>
          </cell>
          <cell r="K51">
            <v>2.7915090153430495</v>
          </cell>
        </row>
        <row r="52">
          <cell r="B52">
            <v>6.6933161861515546E-3</v>
          </cell>
          <cell r="C52">
            <v>0</v>
          </cell>
          <cell r="D52">
            <v>0</v>
          </cell>
          <cell r="E52">
            <v>0.31868773811209011</v>
          </cell>
          <cell r="F52">
            <v>1.8003156249218724</v>
          </cell>
          <cell r="G52">
            <v>3.2145583431259155</v>
          </cell>
          <cell r="H52">
            <v>1.9496029512355442</v>
          </cell>
          <cell r="I52">
            <v>0</v>
          </cell>
          <cell r="J52">
            <v>0.66535577059969853</v>
          </cell>
          <cell r="K52">
            <v>3.9558865812928279E-2</v>
          </cell>
        </row>
      </sheetData>
      <sheetData sheetId="8">
        <row r="13">
          <cell r="H13">
            <v>672</v>
          </cell>
          <cell r="I13">
            <v>7.6712328767123306E-2</v>
          </cell>
        </row>
        <row r="21">
          <cell r="B21">
            <v>88.686458333333334</v>
          </cell>
          <cell r="C21">
            <v>98</v>
          </cell>
          <cell r="D21">
            <v>63</v>
          </cell>
          <cell r="E21">
            <v>189.67596726190479</v>
          </cell>
          <cell r="F21">
            <v>306.30319940476193</v>
          </cell>
          <cell r="G21">
            <v>0</v>
          </cell>
          <cell r="H21">
            <v>23.264657738095238</v>
          </cell>
          <cell r="I21">
            <v>224.53206845238097</v>
          </cell>
          <cell r="J21">
            <v>350.97834821428569</v>
          </cell>
          <cell r="K21">
            <v>167.87276785714286</v>
          </cell>
        </row>
        <row r="22">
          <cell r="B22">
            <v>9.00029761904762</v>
          </cell>
          <cell r="C22">
            <v>0</v>
          </cell>
          <cell r="D22">
            <v>0.15818452380952383</v>
          </cell>
          <cell r="E22">
            <v>48.984821428571436</v>
          </cell>
          <cell r="F22">
            <v>375.16026785714286</v>
          </cell>
          <cell r="G22">
            <v>185.38712797619044</v>
          </cell>
          <cell r="H22">
            <v>698.62395833333323</v>
          </cell>
          <cell r="I22">
            <v>0</v>
          </cell>
          <cell r="J22">
            <v>180.54382440476192</v>
          </cell>
          <cell r="K22">
            <v>14.521726190476191</v>
          </cell>
        </row>
        <row r="24">
          <cell r="B24">
            <v>59.597300000000004</v>
          </cell>
          <cell r="C24">
            <v>65.855999999999995</v>
          </cell>
          <cell r="D24">
            <v>42.335999999999999</v>
          </cell>
          <cell r="E24">
            <v>127.46225000000001</v>
          </cell>
          <cell r="F24">
            <v>205.83574999999999</v>
          </cell>
          <cell r="G24">
            <v>0</v>
          </cell>
          <cell r="H24">
            <v>15.633850000000001</v>
          </cell>
          <cell r="I24">
            <v>150.88555000000002</v>
          </cell>
          <cell r="J24">
            <v>235.85744999999997</v>
          </cell>
          <cell r="K24">
            <v>112.8105</v>
          </cell>
        </row>
        <row r="25">
          <cell r="B25">
            <v>6.0482000000000005</v>
          </cell>
          <cell r="C25">
            <v>0</v>
          </cell>
          <cell r="D25">
            <v>0.10630000000000001</v>
          </cell>
          <cell r="E25">
            <v>32.9178</v>
          </cell>
          <cell r="F25">
            <v>252.10769999999999</v>
          </cell>
          <cell r="G25">
            <v>124.58014999999997</v>
          </cell>
          <cell r="H25">
            <v>469.47529999999995</v>
          </cell>
          <cell r="I25">
            <v>0</v>
          </cell>
          <cell r="J25">
            <v>121.32545000000002</v>
          </cell>
          <cell r="K25">
            <v>9.7585999999999995</v>
          </cell>
        </row>
        <row r="27">
          <cell r="B27">
            <v>2.3794487984345767</v>
          </cell>
          <cell r="C27">
            <v>2.2218866946365172</v>
          </cell>
          <cell r="D27">
            <v>2.4454048907386912</v>
          </cell>
          <cell r="E27">
            <v>2.1277631695525252</v>
          </cell>
          <cell r="F27">
            <v>0.69156398692423593</v>
          </cell>
          <cell r="G27">
            <v>0</v>
          </cell>
          <cell r="H27">
            <v>0.30637882704965791</v>
          </cell>
          <cell r="I27">
            <v>0.40125719460343501</v>
          </cell>
          <cell r="J27">
            <v>0.17688534953217416</v>
          </cell>
          <cell r="K27">
            <v>2.7871503166519709</v>
          </cell>
        </row>
        <row r="28">
          <cell r="B28">
            <v>6.6845912873434088E-3</v>
          </cell>
          <cell r="C28">
            <v>0</v>
          </cell>
          <cell r="D28">
            <v>0</v>
          </cell>
          <cell r="E28">
            <v>0.3185067161139199</v>
          </cell>
          <cell r="F28">
            <v>0.59331018763439691</v>
          </cell>
          <cell r="G28">
            <v>0.69035361591866806</v>
          </cell>
          <cell r="H28">
            <v>0.53524307469234755</v>
          </cell>
          <cell r="I28">
            <v>0</v>
          </cell>
          <cell r="J28">
            <v>0.32689804370061537</v>
          </cell>
          <cell r="K28">
            <v>3.8620088510229626E-2</v>
          </cell>
        </row>
        <row r="30">
          <cell r="B30">
            <v>0.33857111067211304</v>
          </cell>
        </row>
        <row r="31">
          <cell r="B31">
            <v>0.34287719131462385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1.2462298330459674</v>
          </cell>
          <cell r="G33">
            <v>2.5744661007651888</v>
          </cell>
          <cell r="H33">
            <v>1.4726191632404519</v>
          </cell>
          <cell r="I33">
            <v>0</v>
          </cell>
          <cell r="J33">
            <v>0.32917187688282767</v>
          </cell>
          <cell r="K33">
            <v>0</v>
          </cell>
        </row>
        <row r="34">
          <cell r="I34">
            <v>1.5367939388746021</v>
          </cell>
        </row>
        <row r="38">
          <cell r="B38">
            <v>141.81921494211193</v>
          </cell>
          <cell r="C38">
            <v>146.32457016198248</v>
          </cell>
          <cell r="D38">
            <v>103.52866145431324</v>
          </cell>
          <cell r="E38">
            <v>271.21914815041947</v>
          </cell>
          <cell r="F38">
            <v>139.01167276676426</v>
          </cell>
          <cell r="G38">
            <v>0</v>
          </cell>
          <cell r="H38">
            <v>4.6549549901908387</v>
          </cell>
          <cell r="I38">
            <v>58.357349083486845</v>
          </cell>
          <cell r="J38">
            <v>41.638310894096158</v>
          </cell>
          <cell r="K38">
            <v>314.40074058869419</v>
          </cell>
        </row>
        <row r="39">
          <cell r="B39">
            <v>4.0471804499737987E-2</v>
          </cell>
          <cell r="C39">
            <v>0</v>
          </cell>
          <cell r="D39">
            <v>0</v>
          </cell>
          <cell r="E39">
            <v>10.501561730017432</v>
          </cell>
          <cell r="F39">
            <v>146.47889473456573</v>
          </cell>
          <cell r="G39">
            <v>84.213085138306255</v>
          </cell>
          <cell r="H39">
            <v>242.61762404907179</v>
          </cell>
          <cell r="I39">
            <v>0</v>
          </cell>
          <cell r="J39">
            <v>39.028084133036572</v>
          </cell>
          <cell r="K39">
            <v>0.38654542424229599</v>
          </cell>
        </row>
        <row r="41">
          <cell r="B41">
            <v>94.292054322183489</v>
          </cell>
          <cell r="C41">
            <v>182.08354331946236</v>
          </cell>
          <cell r="D41">
            <v>52.569936354058989</v>
          </cell>
          <cell r="E41">
            <v>119.75497184250109</v>
          </cell>
          <cell r="F41">
            <v>24.901905189933913</v>
          </cell>
          <cell r="G41">
            <v>49.769953268800606</v>
          </cell>
          <cell r="H41">
            <v>66.353166269520699</v>
          </cell>
          <cell r="I41">
            <v>88.028488774749391</v>
          </cell>
          <cell r="J41">
            <v>766.36586613964789</v>
          </cell>
          <cell r="K41">
            <v>85.377476978186735</v>
          </cell>
        </row>
        <row r="42">
          <cell r="B42">
            <v>13.855667301023946</v>
          </cell>
          <cell r="C42">
            <v>0</v>
          </cell>
          <cell r="D42">
            <v>3.7716491044608634E-2</v>
          </cell>
          <cell r="E42">
            <v>39.26972472126387</v>
          </cell>
          <cell r="F42">
            <v>82.410476459010894</v>
          </cell>
          <cell r="G42">
            <v>58.70811820938637</v>
          </cell>
          <cell r="H42">
            <v>380.49341669363372</v>
          </cell>
          <cell r="I42">
            <v>0</v>
          </cell>
          <cell r="J42">
            <v>48.897888852118399</v>
          </cell>
          <cell r="K42">
            <v>31.825860897823382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306.73835045970026</v>
          </cell>
          <cell r="G44">
            <v>315.27711315971868</v>
          </cell>
          <cell r="H44">
            <v>668.22282183912841</v>
          </cell>
          <cell r="I44">
            <v>0</v>
          </cell>
          <cell r="J44">
            <v>40.212214635193895</v>
          </cell>
          <cell r="K44">
            <v>0</v>
          </cell>
        </row>
        <row r="45">
          <cell r="B45">
            <v>62.10184306992268</v>
          </cell>
          <cell r="C45">
            <v>0</v>
          </cell>
          <cell r="D45">
            <v>0.16904733327620625</v>
          </cell>
          <cell r="E45">
            <v>176.00900981930818</v>
          </cell>
          <cell r="F45">
            <v>369.36817009144249</v>
          </cell>
          <cell r="G45">
            <v>263.1329307178404</v>
          </cell>
          <cell r="H45">
            <v>1705.3918760665179</v>
          </cell>
          <cell r="I45">
            <v>0</v>
          </cell>
          <cell r="J45">
            <v>219.16295721970511</v>
          </cell>
          <cell r="K45">
            <v>142.64521340634062</v>
          </cell>
        </row>
        <row r="46">
          <cell r="G46">
            <v>0</v>
          </cell>
        </row>
        <row r="51">
          <cell r="B51">
            <v>2.3796248310261023</v>
          </cell>
          <cell r="C51">
            <v>2.2218866946365172</v>
          </cell>
          <cell r="D51">
            <v>2.4454048907386916</v>
          </cell>
          <cell r="E51">
            <v>2.1278390123383155</v>
          </cell>
          <cell r="F51">
            <v>0.67535242428375186</v>
          </cell>
          <cell r="G51">
            <v>0</v>
          </cell>
          <cell r="H51">
            <v>0.29774847463617971</v>
          </cell>
          <cell r="I51">
            <v>0.38676565836481253</v>
          </cell>
          <cell r="J51">
            <v>0.1765401554799145</v>
          </cell>
          <cell r="K51">
            <v>2.7869811816160213</v>
          </cell>
        </row>
        <row r="52">
          <cell r="B52">
            <v>6.6915453357590665E-3</v>
          </cell>
          <cell r="C52">
            <v>0</v>
          </cell>
          <cell r="D52">
            <v>0</v>
          </cell>
          <cell r="E52">
            <v>0.31902380262403418</v>
          </cell>
          <cell r="F52">
            <v>1.7977128235046609</v>
          </cell>
          <cell r="G52">
            <v>3.2066922242269338</v>
          </cell>
          <cell r="H52">
            <v>1.9401243172712181</v>
          </cell>
          <cell r="I52">
            <v>0</v>
          </cell>
          <cell r="J52">
            <v>0.65312182042786948</v>
          </cell>
          <cell r="K52">
            <v>3.9610745828530323E-2</v>
          </cell>
        </row>
      </sheetData>
      <sheetData sheetId="9">
        <row r="13">
          <cell r="H13">
            <v>744</v>
          </cell>
          <cell r="I13">
            <v>8.4931506849315067E-2</v>
          </cell>
        </row>
        <row r="21">
          <cell r="B21">
            <v>88.622177419354827</v>
          </cell>
          <cell r="C21">
            <v>98</v>
          </cell>
          <cell r="D21">
            <v>63</v>
          </cell>
          <cell r="E21">
            <v>189.25631720430104</v>
          </cell>
          <cell r="F21">
            <v>305.95981182795703</v>
          </cell>
          <cell r="G21">
            <v>0</v>
          </cell>
          <cell r="H21">
            <v>23.770833333333332</v>
          </cell>
          <cell r="I21">
            <v>221.23239247311827</v>
          </cell>
          <cell r="J21">
            <v>386.43118279569893</v>
          </cell>
          <cell r="K21">
            <v>167.82499999999999</v>
          </cell>
        </row>
        <row r="22">
          <cell r="B22">
            <v>9.3208333333333311</v>
          </cell>
          <cell r="C22">
            <v>0</v>
          </cell>
          <cell r="D22">
            <v>0.16169354838709679</v>
          </cell>
          <cell r="E22">
            <v>50.02137096774193</v>
          </cell>
          <cell r="F22">
            <v>383.96807795698919</v>
          </cell>
          <cell r="G22">
            <v>189.71290322580646</v>
          </cell>
          <cell r="H22">
            <v>712.42271505376357</v>
          </cell>
          <cell r="I22">
            <v>0</v>
          </cell>
          <cell r="J22">
            <v>183.74327956989248</v>
          </cell>
          <cell r="K22">
            <v>14.8182123655914</v>
          </cell>
        </row>
        <row r="24">
          <cell r="B24">
            <v>65.934899999999999</v>
          </cell>
          <cell r="C24">
            <v>72.912000000000006</v>
          </cell>
          <cell r="D24">
            <v>46.872</v>
          </cell>
          <cell r="E24">
            <v>140.80669999999998</v>
          </cell>
          <cell r="F24">
            <v>227.63410000000005</v>
          </cell>
          <cell r="G24">
            <v>0</v>
          </cell>
          <cell r="H24">
            <v>17.685500000000001</v>
          </cell>
          <cell r="I24">
            <v>164.59690000000001</v>
          </cell>
          <cell r="J24">
            <v>287.50479999999999</v>
          </cell>
          <cell r="K24">
            <v>124.86179999999999</v>
          </cell>
        </row>
        <row r="25">
          <cell r="B25">
            <v>6.9346999999999985</v>
          </cell>
          <cell r="C25">
            <v>0</v>
          </cell>
          <cell r="D25">
            <v>0.12030000000000002</v>
          </cell>
          <cell r="E25">
            <v>37.215899999999991</v>
          </cell>
          <cell r="F25">
            <v>285.67224999999996</v>
          </cell>
          <cell r="G25">
            <v>141.1464</v>
          </cell>
          <cell r="H25">
            <v>530.04250000000013</v>
          </cell>
          <cell r="I25">
            <v>0</v>
          </cell>
          <cell r="J25">
            <v>136.70500000000001</v>
          </cell>
          <cell r="K25">
            <v>11.024750000000001</v>
          </cell>
        </row>
        <row r="27">
          <cell r="B27">
            <v>2.3745783856898535</v>
          </cell>
          <cell r="C27">
            <v>2.2214881013760999</v>
          </cell>
          <cell r="D27">
            <v>2.4150720160390007</v>
          </cell>
          <cell r="E27">
            <v>2.1251145332608741</v>
          </cell>
          <cell r="F27">
            <v>0.69057057554562029</v>
          </cell>
          <cell r="G27">
            <v>0</v>
          </cell>
          <cell r="H27">
            <v>0.29934751568237272</v>
          </cell>
          <cell r="I27">
            <v>0.40765418119633484</v>
          </cell>
          <cell r="J27">
            <v>0.17768552840105389</v>
          </cell>
          <cell r="K27">
            <v>2.7833906815148342</v>
          </cell>
        </row>
        <row r="28">
          <cell r="B28">
            <v>6.6742196588455496E-3</v>
          </cell>
          <cell r="C28">
            <v>0</v>
          </cell>
          <cell r="D28">
            <v>0</v>
          </cell>
          <cell r="E28">
            <v>0.32137813288977052</v>
          </cell>
          <cell r="F28">
            <v>0.58516378277396808</v>
          </cell>
          <cell r="G28">
            <v>0.6779108630867382</v>
          </cell>
          <cell r="H28">
            <v>0.51909159706247954</v>
          </cell>
          <cell r="I28">
            <v>0</v>
          </cell>
          <cell r="J28">
            <v>0.32936416871112018</v>
          </cell>
          <cell r="K28">
            <v>3.9252527111428182E-2</v>
          </cell>
        </row>
        <row r="30">
          <cell r="B30">
            <v>0.37484658681555366</v>
          </cell>
        </row>
        <row r="31">
          <cell r="B31">
            <v>0.3796140332411907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1.2228834811709888</v>
          </cell>
          <cell r="G33">
            <v>2.5529330578918508</v>
          </cell>
          <cell r="H33">
            <v>1.436258335008376</v>
          </cell>
          <cell r="I33">
            <v>0</v>
          </cell>
          <cell r="J33">
            <v>0.34060891057968534</v>
          </cell>
          <cell r="K33">
            <v>0</v>
          </cell>
        </row>
        <row r="34">
          <cell r="I34">
            <v>1.6997360634351812</v>
          </cell>
        </row>
        <row r="38">
          <cell r="B38">
            <v>156.57897815914143</v>
          </cell>
          <cell r="C38">
            <v>161.97314044753426</v>
          </cell>
          <cell r="D38">
            <v>113.19925553578005</v>
          </cell>
          <cell r="E38">
            <v>299.23989760683537</v>
          </cell>
          <cell r="F38">
            <v>153.54250163213769</v>
          </cell>
          <cell r="G38">
            <v>0</v>
          </cell>
          <cell r="H38">
            <v>5.1408200300742601</v>
          </cell>
          <cell r="I38">
            <v>64.30153047755492</v>
          </cell>
          <cell r="J38">
            <v>50.251873671249292</v>
          </cell>
          <cell r="K38">
            <v>347.54319222518717</v>
          </cell>
        </row>
        <row r="39">
          <cell r="B39">
            <v>4.6332623243816345E-2</v>
          </cell>
          <cell r="C39">
            <v>0</v>
          </cell>
          <cell r="D39">
            <v>0</v>
          </cell>
          <cell r="E39">
            <v>11.97268249643256</v>
          </cell>
          <cell r="F39">
            <v>163.60018360738093</v>
          </cell>
          <cell r="G39">
            <v>93.704878615681451</v>
          </cell>
          <cell r="H39">
            <v>265.29212126950534</v>
          </cell>
          <cell r="I39">
            <v>0</v>
          </cell>
          <cell r="J39">
            <v>44.270386751204498</v>
          </cell>
          <cell r="K39">
            <v>0.44392454462049757</v>
          </cell>
        </row>
        <row r="41">
          <cell r="B41">
            <v>104.3947744281317</v>
          </cell>
          <cell r="C41">
            <v>201.59249438940475</v>
          </cell>
          <cell r="D41">
            <v>58.202429534851007</v>
          </cell>
          <cell r="E41">
            <v>132.58586168276904</v>
          </cell>
          <cell r="F41">
            <v>27.569966460283972</v>
          </cell>
          <cell r="G41">
            <v>55.10244826188638</v>
          </cell>
          <cell r="H41">
            <v>73.462434084112203</v>
          </cell>
          <cell r="I41">
            <v>97.460112572043954</v>
          </cell>
          <cell r="J41">
            <v>848.47649465460984</v>
          </cell>
          <cell r="K41">
            <v>94.525063797278179</v>
          </cell>
        </row>
        <row r="42">
          <cell r="B42">
            <v>15.340203083276517</v>
          </cell>
          <cell r="C42">
            <v>0</v>
          </cell>
          <cell r="D42">
            <v>4.175754365653097E-2</v>
          </cell>
          <cell r="E42">
            <v>43.477195227113555</v>
          </cell>
          <cell r="F42">
            <v>91.240170365333483</v>
          </cell>
          <cell r="G42">
            <v>64.998273731820603</v>
          </cell>
          <cell r="H42">
            <v>421.26056848223737</v>
          </cell>
          <cell r="I42">
            <v>0</v>
          </cell>
          <cell r="J42">
            <v>54.136948371988233</v>
          </cell>
          <cell r="K42">
            <v>35.235774565447315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340.9263040744454</v>
          </cell>
          <cell r="G44">
            <v>354.07673400739156</v>
          </cell>
          <cell r="H44">
            <v>734.42303163084273</v>
          </cell>
          <cell r="I44">
            <v>0</v>
          </cell>
          <cell r="J44">
            <v>46.850159969703391</v>
          </cell>
          <cell r="K44">
            <v>0</v>
          </cell>
        </row>
        <row r="45">
          <cell r="B45">
            <v>68.686334323415664</v>
          </cell>
          <cell r="C45">
            <v>0</v>
          </cell>
          <cell r="D45">
            <v>0.18697096697786997</v>
          </cell>
          <cell r="E45">
            <v>194.67077134523132</v>
          </cell>
          <cell r="F45">
            <v>408.53128289225623</v>
          </cell>
          <cell r="G45">
            <v>291.03220705440265</v>
          </cell>
          <cell r="H45">
            <v>1886.209986071638</v>
          </cell>
          <cell r="I45">
            <v>0</v>
          </cell>
          <cell r="J45">
            <v>242.40021562567532</v>
          </cell>
          <cell r="K45">
            <v>157.76950140805351</v>
          </cell>
        </row>
        <row r="46">
          <cell r="G46">
            <v>0</v>
          </cell>
        </row>
        <row r="51">
          <cell r="B51">
            <v>2.3747511281452072</v>
          </cell>
          <cell r="C51">
            <v>2.2214881013761008</v>
          </cell>
          <cell r="D51">
            <v>2.4150720160390011</v>
          </cell>
          <cell r="E51">
            <v>2.1251822364051955</v>
          </cell>
          <cell r="F51">
            <v>0.67451450214241915</v>
          </cell>
          <cell r="G51">
            <v>0</v>
          </cell>
          <cell r="H51">
            <v>0.29067993724091823</v>
          </cell>
          <cell r="I51">
            <v>0.39066064110293036</v>
          </cell>
          <cell r="J51">
            <v>0.1747862076433134</v>
          </cell>
          <cell r="K51">
            <v>2.783422890148846</v>
          </cell>
        </row>
        <row r="52">
          <cell r="B52">
            <v>6.6812729092558228E-3</v>
          </cell>
          <cell r="C52">
            <v>0</v>
          </cell>
          <cell r="D52">
            <v>0</v>
          </cell>
          <cell r="E52">
            <v>0.32170879910018468</v>
          </cell>
          <cell r="F52">
            <v>1.7661025447232848</v>
          </cell>
          <cell r="G52">
            <v>3.1724621571862475</v>
          </cell>
          <cell r="H52">
            <v>1.886103761302816</v>
          </cell>
          <cell r="I52">
            <v>0</v>
          </cell>
          <cell r="J52">
            <v>0.66654874891853177</v>
          </cell>
          <cell r="K52">
            <v>4.0266177883443846E-2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88.651736111111106</v>
          </cell>
          <cell r="C21">
            <v>98</v>
          </cell>
          <cell r="D21">
            <v>63</v>
          </cell>
          <cell r="E21">
            <v>189.51944444444445</v>
          </cell>
          <cell r="F21">
            <v>305.83749999999998</v>
          </cell>
          <cell r="G21">
            <v>0</v>
          </cell>
          <cell r="H21">
            <v>23.467013888888889</v>
          </cell>
          <cell r="I21">
            <v>222.88368055555554</v>
          </cell>
          <cell r="J21">
            <v>365.00763888888889</v>
          </cell>
          <cell r="K21">
            <v>167.83958333333334</v>
          </cell>
        </row>
        <row r="22">
          <cell r="B22">
            <v>9.1215277777777786</v>
          </cell>
          <cell r="C22">
            <v>0</v>
          </cell>
          <cell r="D22">
            <v>0.15902777777777777</v>
          </cell>
          <cell r="E22">
            <v>49.377430555555556</v>
          </cell>
          <cell r="F22">
            <v>378.51006944444447</v>
          </cell>
          <cell r="G22">
            <v>187.04791666666668</v>
          </cell>
          <cell r="H22">
            <v>703.78020833333335</v>
          </cell>
          <cell r="I22">
            <v>0</v>
          </cell>
          <cell r="J22">
            <v>181.64131944444443</v>
          </cell>
          <cell r="K22">
            <v>14.633333333333333</v>
          </cell>
        </row>
        <row r="24">
          <cell r="B24">
            <v>63.829250000000002</v>
          </cell>
          <cell r="C24">
            <v>70.56</v>
          </cell>
          <cell r="D24">
            <v>45.36</v>
          </cell>
          <cell r="E24">
            <v>136.45400000000001</v>
          </cell>
          <cell r="F24">
            <v>220.203</v>
          </cell>
          <cell r="G24">
            <v>0</v>
          </cell>
          <cell r="H24">
            <v>16.896249999999998</v>
          </cell>
          <cell r="I24">
            <v>160.47624999999999</v>
          </cell>
          <cell r="J24">
            <v>262.80549999999999</v>
          </cell>
          <cell r="K24">
            <v>120.8445</v>
          </cell>
        </row>
        <row r="25">
          <cell r="B25">
            <v>6.5674999999999999</v>
          </cell>
          <cell r="C25">
            <v>0</v>
          </cell>
          <cell r="D25">
            <v>0.1145</v>
          </cell>
          <cell r="E25">
            <v>35.551749999999998</v>
          </cell>
          <cell r="F25">
            <v>272.52724999999998</v>
          </cell>
          <cell r="G25">
            <v>134.67449999999999</v>
          </cell>
          <cell r="H25">
            <v>506.72174999999999</v>
          </cell>
          <cell r="I25">
            <v>0</v>
          </cell>
          <cell r="J25">
            <v>130.78174999999999</v>
          </cell>
          <cell r="K25">
            <v>10.536</v>
          </cell>
        </row>
        <row r="27">
          <cell r="B27">
            <v>2.3782517335035207</v>
          </cell>
          <cell r="C27">
            <v>2.2223888007093997</v>
          </cell>
          <cell r="D27">
            <v>2.4343265475305138</v>
          </cell>
          <cell r="E27">
            <v>2.1273301514165803</v>
          </cell>
          <cell r="F27">
            <v>0.69147469214455481</v>
          </cell>
          <cell r="G27">
            <v>0</v>
          </cell>
          <cell r="H27">
            <v>0.30374720095546781</v>
          </cell>
          <cell r="I27">
            <v>0.40437164236719825</v>
          </cell>
          <cell r="J27">
            <v>0.17562871132604954</v>
          </cell>
          <cell r="K27">
            <v>2.7863797216590571</v>
          </cell>
        </row>
        <row r="28">
          <cell r="B28">
            <v>6.6811181176572735E-3</v>
          </cell>
          <cell r="C28">
            <v>0</v>
          </cell>
          <cell r="D28">
            <v>0</v>
          </cell>
          <cell r="E28">
            <v>0.31955028147300324</v>
          </cell>
          <cell r="F28">
            <v>0.59016959508756273</v>
          </cell>
          <cell r="G28">
            <v>0.68560254247130414</v>
          </cell>
          <cell r="H28">
            <v>0.52940587798055649</v>
          </cell>
          <cell r="I28">
            <v>0</v>
          </cell>
          <cell r="J28">
            <v>0.32857834195138602</v>
          </cell>
          <cell r="K28">
            <v>3.8852127447230926E-2</v>
          </cell>
        </row>
        <row r="30">
          <cell r="B30">
            <v>0.36275476143440677</v>
          </cell>
        </row>
        <row r="31">
          <cell r="B31">
            <v>0.36736841926566832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1.2378091204577817</v>
          </cell>
          <cell r="G33">
            <v>2.5676920190823016</v>
          </cell>
          <cell r="H33">
            <v>1.4602451627157849</v>
          </cell>
          <cell r="I33">
            <v>0</v>
          </cell>
          <cell r="J33">
            <v>0.33495826556187741</v>
          </cell>
          <cell r="K33">
            <v>0</v>
          </cell>
        </row>
        <row r="34">
          <cell r="I34">
            <v>1.645638248621869</v>
          </cell>
        </row>
        <row r="38">
          <cell r="B38">
            <v>151.81372828175398</v>
          </cell>
          <cell r="C38">
            <v>156.81175377805519</v>
          </cell>
          <cell r="D38">
            <v>110.42105219598409</v>
          </cell>
          <cell r="E38">
            <v>290.29432560824557</v>
          </cell>
          <cell r="F38">
            <v>148.71297630580443</v>
          </cell>
          <cell r="G38">
            <v>0</v>
          </cell>
          <cell r="H38">
            <v>4.9841194421163619</v>
          </cell>
          <cell r="I38">
            <v>62.386077762984883</v>
          </cell>
          <cell r="J38">
            <v>46.031288482148049</v>
          </cell>
          <cell r="K38">
            <v>336.71034567725661</v>
          </cell>
        </row>
        <row r="39">
          <cell r="B39">
            <v>4.3921311252705042E-2</v>
          </cell>
          <cell r="C39">
            <v>0</v>
          </cell>
          <cell r="D39">
            <v>0</v>
          </cell>
          <cell r="E39">
            <v>11.37818715725246</v>
          </cell>
          <cell r="F39">
            <v>157.4278537118978</v>
          </cell>
          <cell r="G39">
            <v>90.388640408570311</v>
          </cell>
          <cell r="H39">
            <v>258.71326219953147</v>
          </cell>
          <cell r="I39">
            <v>0</v>
          </cell>
          <cell r="J39">
            <v>42.27054679229748</v>
          </cell>
          <cell r="K39">
            <v>0.42001736249026944</v>
          </cell>
        </row>
        <row r="41">
          <cell r="B41">
            <v>101.02720105948229</v>
          </cell>
          <cell r="C41">
            <v>195.0895106994239</v>
          </cell>
          <cell r="D41">
            <v>56.324931807920336</v>
          </cell>
          <cell r="E41">
            <v>128.30889840267972</v>
          </cell>
          <cell r="F41">
            <v>26.680612703500618</v>
          </cell>
          <cell r="G41">
            <v>53.324949930857798</v>
          </cell>
          <cell r="H41">
            <v>71.092678145915031</v>
          </cell>
          <cell r="I41">
            <v>94.316237972945757</v>
          </cell>
          <cell r="J41">
            <v>821.10628514962264</v>
          </cell>
          <cell r="K41">
            <v>91.475868190914355</v>
          </cell>
        </row>
        <row r="42">
          <cell r="B42">
            <v>14.845357822525656</v>
          </cell>
          <cell r="C42">
            <v>0</v>
          </cell>
          <cell r="D42">
            <v>4.0410526119223529E-2</v>
          </cell>
          <cell r="E42">
            <v>42.074705058497003</v>
          </cell>
          <cell r="F42">
            <v>88.296939063225949</v>
          </cell>
          <cell r="G42">
            <v>62.901555224342523</v>
          </cell>
          <cell r="H42">
            <v>407.67151788603604</v>
          </cell>
          <cell r="I42">
            <v>0</v>
          </cell>
          <cell r="J42">
            <v>52.390595198698279</v>
          </cell>
          <cell r="K42">
            <v>34.09913667623934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329.15466130505132</v>
          </cell>
          <cell r="G44">
            <v>339.79191666813796</v>
          </cell>
          <cell r="H44">
            <v>714.20144231556287</v>
          </cell>
          <cell r="I44">
            <v>0</v>
          </cell>
          <cell r="J44">
            <v>44.106259313629735</v>
          </cell>
          <cell r="K44">
            <v>0</v>
          </cell>
        </row>
        <row r="45">
          <cell r="B45">
            <v>66.500241626809725</v>
          </cell>
          <cell r="C45">
            <v>0</v>
          </cell>
          <cell r="D45">
            <v>0.1810202073484056</v>
          </cell>
          <cell r="E45">
            <v>188.47494861466265</v>
          </cell>
          <cell r="F45">
            <v>395.52888201203695</v>
          </cell>
          <cell r="G45">
            <v>281.76947104460157</v>
          </cell>
          <cell r="H45">
            <v>1826.1772311512655</v>
          </cell>
          <cell r="I45">
            <v>0</v>
          </cell>
          <cell r="J45">
            <v>234.68529902319858</v>
          </cell>
          <cell r="K45">
            <v>152.74814223708191</v>
          </cell>
        </row>
        <row r="46">
          <cell r="G46">
            <v>0</v>
          </cell>
        </row>
        <row r="51">
          <cell r="B51">
            <v>2.3784350949095279</v>
          </cell>
          <cell r="C51">
            <v>2.2223888007093988</v>
          </cell>
          <cell r="D51">
            <v>2.4343265475305134</v>
          </cell>
          <cell r="E51">
            <v>2.1274152872634406</v>
          </cell>
          <cell r="F51">
            <v>0.67534491494577475</v>
          </cell>
          <cell r="G51">
            <v>0</v>
          </cell>
          <cell r="H51">
            <v>0.29498376516187691</v>
          </cell>
          <cell r="I51">
            <v>0.38875582999344066</v>
          </cell>
          <cell r="J51">
            <v>0.17515344420930326</v>
          </cell>
          <cell r="K51">
            <v>2.7863108844610771</v>
          </cell>
        </row>
        <row r="52">
          <cell r="B52">
            <v>6.6876758664187351E-3</v>
          </cell>
          <cell r="C52">
            <v>0</v>
          </cell>
          <cell r="D52">
            <v>0</v>
          </cell>
          <cell r="E52">
            <v>0.32004576869640627</v>
          </cell>
          <cell r="F52">
            <v>1.7854453637827012</v>
          </cell>
          <cell r="G52">
            <v>3.1942242746526497</v>
          </cell>
          <cell r="H52">
            <v>1.9200176517291678</v>
          </cell>
          <cell r="I52">
            <v>0</v>
          </cell>
          <cell r="J52">
            <v>0.66046528744207222</v>
          </cell>
          <cell r="K52">
            <v>3.9864973660807657E-2</v>
          </cell>
        </row>
      </sheetData>
      <sheetData sheetId="11">
        <row r="13">
          <cell r="H13">
            <v>744</v>
          </cell>
          <cell r="I13">
            <v>8.4931506849315067E-2</v>
          </cell>
        </row>
        <row r="21">
          <cell r="B21">
            <v>88.627016129032256</v>
          </cell>
          <cell r="C21">
            <v>98</v>
          </cell>
          <cell r="D21">
            <v>63</v>
          </cell>
          <cell r="E21">
            <v>189.57500000000002</v>
          </cell>
          <cell r="F21">
            <v>304.83897849462369</v>
          </cell>
          <cell r="G21">
            <v>0</v>
          </cell>
          <cell r="H21">
            <v>23.441935483870967</v>
          </cell>
          <cell r="I21">
            <v>222.02903225806452</v>
          </cell>
          <cell r="J21">
            <v>362.80631720430097</v>
          </cell>
          <cell r="K21">
            <v>167.79838709677421</v>
          </cell>
        </row>
        <row r="22">
          <cell r="B22">
            <v>9.0842741935483851</v>
          </cell>
          <cell r="C22">
            <v>0</v>
          </cell>
          <cell r="D22">
            <v>0.15712365591397853</v>
          </cell>
          <cell r="E22">
            <v>49.258736559139791</v>
          </cell>
          <cell r="F22">
            <v>377.5438844086022</v>
          </cell>
          <cell r="G22">
            <v>186.62163978494624</v>
          </cell>
          <cell r="H22">
            <v>701.98293010752707</v>
          </cell>
          <cell r="I22">
            <v>0</v>
          </cell>
          <cell r="J22">
            <v>180.92137096774189</v>
          </cell>
          <cell r="K22">
            <v>14.597244623655913</v>
          </cell>
        </row>
        <row r="24">
          <cell r="B24">
            <v>65.938500000000005</v>
          </cell>
          <cell r="C24">
            <v>72.912000000000006</v>
          </cell>
          <cell r="D24">
            <v>46.872</v>
          </cell>
          <cell r="E24">
            <v>141.0438</v>
          </cell>
          <cell r="F24">
            <v>226.80020000000002</v>
          </cell>
          <cell r="G24">
            <v>0</v>
          </cell>
          <cell r="H24">
            <v>17.440799999999999</v>
          </cell>
          <cell r="I24">
            <v>165.18960000000001</v>
          </cell>
          <cell r="J24">
            <v>269.92789999999991</v>
          </cell>
          <cell r="K24">
            <v>124.842</v>
          </cell>
        </row>
        <row r="25">
          <cell r="B25">
            <v>6.7586999999999984</v>
          </cell>
          <cell r="C25">
            <v>0</v>
          </cell>
          <cell r="D25">
            <v>0.11690000000000002</v>
          </cell>
          <cell r="E25">
            <v>36.648500000000006</v>
          </cell>
          <cell r="F25">
            <v>280.89265</v>
          </cell>
          <cell r="G25">
            <v>138.84649999999999</v>
          </cell>
          <cell r="H25">
            <v>522.27530000000013</v>
          </cell>
          <cell r="I25">
            <v>0</v>
          </cell>
          <cell r="J25">
            <v>134.60549999999998</v>
          </cell>
          <cell r="K25">
            <v>10.860349999999999</v>
          </cell>
        </row>
        <row r="27">
          <cell r="B27">
            <v>2.3808121693884949</v>
          </cell>
          <cell r="C27">
            <v>2.2244538730345624</v>
          </cell>
          <cell r="D27">
            <v>2.4390698827771806</v>
          </cell>
          <cell r="E27">
            <v>2.1293965770209651</v>
          </cell>
          <cell r="F27">
            <v>0.692475821072977</v>
          </cell>
          <cell r="G27">
            <v>0</v>
          </cell>
          <cell r="H27">
            <v>0.30465003396132517</v>
          </cell>
          <cell r="I27">
            <v>0.40577733448731851</v>
          </cell>
          <cell r="J27">
            <v>0.17071417611532566</v>
          </cell>
          <cell r="K27">
            <v>2.7888307307052176</v>
          </cell>
        </row>
        <row r="28">
          <cell r="B28">
            <v>6.6837134517195168E-3</v>
          </cell>
          <cell r="C28">
            <v>0</v>
          </cell>
          <cell r="D28">
            <v>0</v>
          </cell>
          <cell r="E28">
            <v>0.31908533712038867</v>
          </cell>
          <cell r="F28">
            <v>0.5909323110190553</v>
          </cell>
          <cell r="G28">
            <v>0.68690926024516274</v>
          </cell>
          <cell r="H28">
            <v>0.5321224828889497</v>
          </cell>
          <cell r="I28">
            <v>0</v>
          </cell>
          <cell r="J28">
            <v>0.33060337074556279</v>
          </cell>
          <cell r="K28">
            <v>3.875649499097969E-2</v>
          </cell>
        </row>
        <row r="30">
          <cell r="B30">
            <v>0.37484658681555366</v>
          </cell>
        </row>
        <row r="31">
          <cell r="B31">
            <v>0.37961403324119081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1.2417876182755068</v>
          </cell>
          <cell r="G33">
            <v>2.5744307755451801</v>
          </cell>
          <cell r="H33">
            <v>1.4687323365623177</v>
          </cell>
          <cell r="I33">
            <v>0</v>
          </cell>
          <cell r="J33">
            <v>0.3381459817011358</v>
          </cell>
          <cell r="K33">
            <v>0</v>
          </cell>
        </row>
        <row r="34">
          <cell r="I34">
            <v>1.6997360634351812</v>
          </cell>
        </row>
        <row r="38">
          <cell r="B38">
            <v>157.00093493115423</v>
          </cell>
          <cell r="C38">
            <v>162.18938079069602</v>
          </cell>
          <cell r="D38">
            <v>114.32408354553199</v>
          </cell>
          <cell r="E38">
            <v>300.35498363381134</v>
          </cell>
          <cell r="F38">
            <v>153.4083093182675</v>
          </cell>
          <cell r="G38">
            <v>0</v>
          </cell>
          <cell r="H38">
            <v>5.1561693361863234</v>
          </cell>
          <cell r="I38">
            <v>64.415891473934721</v>
          </cell>
          <cell r="J38">
            <v>46.760417644713172</v>
          </cell>
          <cell r="K38">
            <v>348.1610191111991</v>
          </cell>
        </row>
        <row r="39">
          <cell r="B39">
            <v>4.5210277269912919E-2</v>
          </cell>
          <cell r="C39">
            <v>0</v>
          </cell>
          <cell r="D39">
            <v>0</v>
          </cell>
          <cell r="E39">
            <v>11.716904738076545</v>
          </cell>
          <cell r="F39">
            <v>162.39404158883235</v>
          </cell>
          <cell r="G39">
            <v>93.31095094518021</v>
          </cell>
          <cell r="H39">
            <v>267.66239042765454</v>
          </cell>
          <cell r="I39">
            <v>0</v>
          </cell>
          <cell r="J39">
            <v>43.768789489807595</v>
          </cell>
          <cell r="K39">
            <v>0.43222244124790787</v>
          </cell>
        </row>
        <row r="41">
          <cell r="B41">
            <v>104.3947744281317</v>
          </cell>
          <cell r="C41">
            <v>201.59249438940478</v>
          </cell>
          <cell r="D41">
            <v>58.202429534851014</v>
          </cell>
          <cell r="E41">
            <v>132.58586168276904</v>
          </cell>
          <cell r="F41">
            <v>27.569966460283972</v>
          </cell>
          <cell r="G41">
            <v>55.10244826188638</v>
          </cell>
          <cell r="H41">
            <v>73.462434084112218</v>
          </cell>
          <cell r="I41">
            <v>97.460112572043968</v>
          </cell>
          <cell r="J41">
            <v>848.47649465461006</v>
          </cell>
          <cell r="K41">
            <v>94.525063797278179</v>
          </cell>
        </row>
        <row r="42">
          <cell r="B42">
            <v>15.340203083276517</v>
          </cell>
          <cell r="C42">
            <v>0</v>
          </cell>
          <cell r="D42">
            <v>4.1757543656530977E-2</v>
          </cell>
          <cell r="E42">
            <v>43.477195227113569</v>
          </cell>
          <cell r="F42">
            <v>91.240170365333483</v>
          </cell>
          <cell r="G42">
            <v>64.998273731820618</v>
          </cell>
          <cell r="H42">
            <v>421.26056848223737</v>
          </cell>
          <cell r="I42">
            <v>0</v>
          </cell>
          <cell r="J42">
            <v>54.136948371988233</v>
          </cell>
          <cell r="K42">
            <v>35.235774565447322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340.04347593195808</v>
          </cell>
          <cell r="G44">
            <v>351.03864901061411</v>
          </cell>
          <cell r="H44">
            <v>739.34798601646889</v>
          </cell>
          <cell r="I44">
            <v>0</v>
          </cell>
          <cell r="J44">
            <v>45.846118723342144</v>
          </cell>
          <cell r="K44">
            <v>0</v>
          </cell>
        </row>
        <row r="45">
          <cell r="B45">
            <v>68.686334323415664</v>
          </cell>
          <cell r="C45">
            <v>0</v>
          </cell>
          <cell r="D45">
            <v>0.18697096697786991</v>
          </cell>
          <cell r="E45">
            <v>194.67077134523126</v>
          </cell>
          <cell r="F45">
            <v>408.53128289225629</v>
          </cell>
          <cell r="G45">
            <v>291.0322070544027</v>
          </cell>
          <cell r="H45">
            <v>1886.209986071638</v>
          </cell>
          <cell r="I45">
            <v>0</v>
          </cell>
          <cell r="J45">
            <v>242.40021562567534</v>
          </cell>
          <cell r="K45">
            <v>157.76950140805351</v>
          </cell>
        </row>
        <row r="46">
          <cell r="G46">
            <v>0</v>
          </cell>
        </row>
        <row r="51">
          <cell r="B51">
            <v>2.38102072281223</v>
          </cell>
          <cell r="C51">
            <v>2.2244538730345624</v>
          </cell>
          <cell r="D51">
            <v>2.4390698827771802</v>
          </cell>
          <cell r="E51">
            <v>2.1295156797662238</v>
          </cell>
          <cell r="F51">
            <v>0.67640288376406854</v>
          </cell>
          <cell r="G51">
            <v>0</v>
          </cell>
          <cell r="H51">
            <v>0.2956383500863678</v>
          </cell>
          <cell r="I51">
            <v>0.38995125282665927</v>
          </cell>
          <cell r="J51">
            <v>0.17323299164226147</v>
          </cell>
          <cell r="K51">
            <v>2.78881321279056</v>
          </cell>
        </row>
        <row r="52">
          <cell r="B52">
            <v>6.689197222825829E-3</v>
          </cell>
          <cell r="C52">
            <v>0</v>
          </cell>
          <cell r="D52">
            <v>0</v>
          </cell>
          <cell r="E52">
            <v>0.31971034934790082</v>
          </cell>
          <cell r="F52">
            <v>1.7887172110797147</v>
          </cell>
          <cell r="G52">
            <v>3.2002938493645452</v>
          </cell>
          <cell r="H52">
            <v>1.9281217711121381</v>
          </cell>
          <cell r="I52">
            <v>0</v>
          </cell>
          <cell r="J52">
            <v>0.66575963250498493</v>
          </cell>
          <cell r="K52">
            <v>3.9798205513441827E-2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129.30375000000001</v>
          </cell>
          <cell r="C21">
            <v>262.87222222222221</v>
          </cell>
          <cell r="D21">
            <v>145.9</v>
          </cell>
          <cell r="E21">
            <v>438.2543055555555</v>
          </cell>
          <cell r="F21">
            <v>107.84263888888889</v>
          </cell>
          <cell r="G21">
            <v>0</v>
          </cell>
          <cell r="H21">
            <v>27.983611111111102</v>
          </cell>
          <cell r="I21">
            <v>137.13291666666669</v>
          </cell>
          <cell r="J21">
            <v>9.9606944444444458</v>
          </cell>
          <cell r="K21">
            <v>215.33583333333331</v>
          </cell>
        </row>
        <row r="22">
          <cell r="B22">
            <v>10.316249999999998</v>
          </cell>
          <cell r="C22">
            <v>0</v>
          </cell>
          <cell r="D22">
            <v>0.155</v>
          </cell>
          <cell r="E22">
            <v>48.194861111111116</v>
          </cell>
          <cell r="F22">
            <v>383.24236111111111</v>
          </cell>
          <cell r="G22">
            <v>193.43680555555557</v>
          </cell>
          <cell r="H22">
            <v>656.03111111111116</v>
          </cell>
          <cell r="I22">
            <v>0</v>
          </cell>
          <cell r="J22">
            <v>169.14277777777775</v>
          </cell>
          <cell r="K22">
            <v>13.906666666666668</v>
          </cell>
        </row>
        <row r="24">
          <cell r="B24">
            <v>93.098700000000008</v>
          </cell>
          <cell r="C24">
            <v>189.268</v>
          </cell>
          <cell r="D24">
            <v>105.048</v>
          </cell>
          <cell r="E24">
            <v>315.54309999999998</v>
          </cell>
          <cell r="F24">
            <v>77.646699999999996</v>
          </cell>
          <cell r="G24">
            <v>0</v>
          </cell>
          <cell r="H24">
            <v>20.148199999999992</v>
          </cell>
          <cell r="I24">
            <v>98.735700000000008</v>
          </cell>
          <cell r="J24">
            <v>7.1717000000000004</v>
          </cell>
          <cell r="K24">
            <v>155.04179999999999</v>
          </cell>
        </row>
        <row r="25">
          <cell r="B25">
            <v>7.4276999999999989</v>
          </cell>
          <cell r="C25">
            <v>0</v>
          </cell>
          <cell r="D25">
            <v>0.1116</v>
          </cell>
          <cell r="E25">
            <v>34.700300000000006</v>
          </cell>
          <cell r="F25">
            <v>275.93450000000001</v>
          </cell>
          <cell r="G25">
            <v>139.27449999999999</v>
          </cell>
          <cell r="H25">
            <v>472.3424</v>
          </cell>
          <cell r="I25">
            <v>0</v>
          </cell>
          <cell r="J25">
            <v>121.78279999999999</v>
          </cell>
          <cell r="K25">
            <v>10.0128</v>
          </cell>
        </row>
        <row r="27">
          <cell r="B27">
            <v>2.0204351482610332</v>
          </cell>
          <cell r="C27">
            <v>1.8651191861845433</v>
          </cell>
          <cell r="D27">
            <v>2.302598985693654</v>
          </cell>
          <cell r="E27">
            <v>1.8104852376049378</v>
          </cell>
          <cell r="F27">
            <v>0.48822436334502134</v>
          </cell>
          <cell r="G27">
            <v>0</v>
          </cell>
          <cell r="H27">
            <v>0.36482611257730752</v>
          </cell>
          <cell r="I27">
            <v>0.28598504518388895</v>
          </cell>
          <cell r="J27">
            <v>0</v>
          </cell>
          <cell r="K27">
            <v>2.4182853870849432</v>
          </cell>
        </row>
        <row r="28">
          <cell r="B28">
            <v>9.8781969443900389E-3</v>
          </cell>
          <cell r="C28">
            <v>0</v>
          </cell>
          <cell r="D28">
            <v>0</v>
          </cell>
          <cell r="E28">
            <v>0.1193837819035968</v>
          </cell>
          <cell r="F28">
            <v>0.68323570246411591</v>
          </cell>
          <cell r="G28">
            <v>0.79240627562413757</v>
          </cell>
          <cell r="H28">
            <v>0.77308845779372037</v>
          </cell>
          <cell r="I28">
            <v>0</v>
          </cell>
          <cell r="J28">
            <v>0.98475107183288013</v>
          </cell>
          <cell r="K28">
            <v>2.8404171528478888E-2</v>
          </cell>
        </row>
        <row r="30">
          <cell r="B30">
            <v>0.25601764172967101</v>
          </cell>
        </row>
        <row r="31">
          <cell r="B31">
            <v>0.25927377486224967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1.4447312578579776</v>
          </cell>
          <cell r="G33">
            <v>2.450504082856078</v>
          </cell>
          <cell r="H33">
            <v>2.111254992306649</v>
          </cell>
          <cell r="I33">
            <v>0</v>
          </cell>
          <cell r="J33">
            <v>1.7567133711661658</v>
          </cell>
          <cell r="K33">
            <v>0</v>
          </cell>
        </row>
        <row r="34">
          <cell r="I34">
            <v>1.4000241262150377</v>
          </cell>
        </row>
        <row r="38">
          <cell r="B38">
            <v>186.5171840745891</v>
          </cell>
          <cell r="C38">
            <v>346.00456601305382</v>
          </cell>
          <cell r="D38">
            <v>241.88341824914698</v>
          </cell>
          <cell r="E38">
            <v>570.78529240250623</v>
          </cell>
          <cell r="F38">
            <v>35.934893500457534</v>
          </cell>
          <cell r="G38">
            <v>0</v>
          </cell>
          <cell r="H38">
            <v>7.1942767300666022</v>
          </cell>
          <cell r="I38">
            <v>34.015816735509105</v>
          </cell>
          <cell r="J38">
            <v>0</v>
          </cell>
          <cell r="K38">
            <v>368.01590525500177</v>
          </cell>
        </row>
        <row r="39">
          <cell r="B39">
            <v>7.4063576428700165E-2</v>
          </cell>
          <cell r="C39">
            <v>0</v>
          </cell>
          <cell r="D39">
            <v>0</v>
          </cell>
          <cell r="E39">
            <v>4.158547409102388</v>
          </cell>
          <cell r="F39">
            <v>185.97604576516704</v>
          </cell>
          <cell r="G39">
            <v>108.7056802796523</v>
          </cell>
          <cell r="H39">
            <v>353.65702730785671</v>
          </cell>
          <cell r="I39">
            <v>0</v>
          </cell>
          <cell r="J39">
            <v>114.44420476475185</v>
          </cell>
          <cell r="K39">
            <v>0.27786788004006746</v>
          </cell>
        </row>
        <row r="41">
          <cell r="B41">
            <v>71.300913221713387</v>
          </cell>
          <cell r="C41">
            <v>137.68628772221706</v>
          </cell>
          <cell r="D41">
            <v>39.751859231366012</v>
          </cell>
          <cell r="E41">
            <v>90.555232003276757</v>
          </cell>
          <cell r="F41">
            <v>18.830097549217303</v>
          </cell>
          <cell r="G41">
            <v>37.634593334261645</v>
          </cell>
          <cell r="H41">
            <v>50.174337426180919</v>
          </cell>
          <cell r="I41">
            <v>66.564586849714459</v>
          </cell>
          <cell r="J41">
            <v>579.50361258436214</v>
          </cell>
          <cell r="K41">
            <v>64.559968714971134</v>
          </cell>
        </row>
        <row r="42">
          <cell r="B42">
            <v>10.477253242183508</v>
          </cell>
          <cell r="C42">
            <v>0</v>
          </cell>
          <cell r="D42">
            <v>2.852011523484746E-2</v>
          </cell>
          <cell r="E42">
            <v>29.69462543497346</v>
          </cell>
          <cell r="F42">
            <v>62.316409084552049</v>
          </cell>
          <cell r="G42">
            <v>44.393374096556819</v>
          </cell>
          <cell r="H42">
            <v>287.71807211250274</v>
          </cell>
          <cell r="I42">
            <v>0</v>
          </cell>
          <cell r="J42">
            <v>36.975163547260237</v>
          </cell>
          <cell r="K42">
            <v>24.065791782714008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393.89733742673485</v>
          </cell>
          <cell r="G44">
            <v>336.43110049405971</v>
          </cell>
          <cell r="H44">
            <v>962.70038420186927</v>
          </cell>
          <cell r="I44">
            <v>0</v>
          </cell>
          <cell r="J44">
            <v>203.78069089842583</v>
          </cell>
          <cell r="K44">
            <v>0</v>
          </cell>
        </row>
        <row r="45">
          <cell r="B45">
            <v>56.574974940349676</v>
          </cell>
          <cell r="C45">
            <v>0</v>
          </cell>
          <cell r="D45">
            <v>0.15400265388365425</v>
          </cell>
          <cell r="E45">
            <v>160.3447631754083</v>
          </cell>
          <cell r="F45">
            <v>336.49556814533679</v>
          </cell>
          <cell r="G45">
            <v>239.71492995113019</v>
          </cell>
          <cell r="H45">
            <v>1553.617378848259</v>
          </cell>
          <cell r="I45">
            <v>0</v>
          </cell>
          <cell r="J45">
            <v>199.65814538864998</v>
          </cell>
          <cell r="K45">
            <v>129.95023939527982</v>
          </cell>
        </row>
        <row r="46">
          <cell r="G46">
            <v>0</v>
          </cell>
        </row>
        <row r="51">
          <cell r="B51">
            <v>2.0034348930177228</v>
          </cell>
          <cell r="C51">
            <v>1.8281197350479417</v>
          </cell>
          <cell r="D51">
            <v>2.302598985693654</v>
          </cell>
          <cell r="E51">
            <v>1.8088980313703777</v>
          </cell>
          <cell r="F51">
            <v>0.46280000953623962</v>
          </cell>
          <cell r="G51">
            <v>0</v>
          </cell>
          <cell r="H51">
            <v>0.35706796289825421</v>
          </cell>
          <cell r="I51">
            <v>0.34451385603696638</v>
          </cell>
          <cell r="J51">
            <v>0</v>
          </cell>
          <cell r="K51">
            <v>2.3736560414997876</v>
          </cell>
        </row>
        <row r="52">
          <cell r="B52">
            <v>9.9712665332068046E-3</v>
          </cell>
          <cell r="C52">
            <v>0</v>
          </cell>
          <cell r="D52">
            <v>0</v>
          </cell>
          <cell r="E52">
            <v>0.11984182871912887</v>
          </cell>
          <cell r="F52">
            <v>2.1014892418015938</v>
          </cell>
          <cell r="G52">
            <v>3.1961111386055023</v>
          </cell>
          <cell r="H52">
            <v>2.78687115852764</v>
          </cell>
          <cell r="I52">
            <v>0</v>
          </cell>
          <cell r="J52">
            <v>2.6130528749805202</v>
          </cell>
          <cell r="K52">
            <v>2.7751266383036457E-2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2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7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9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6243</v>
          </cell>
          <cell r="B27">
            <v>230</v>
          </cell>
          <cell r="C27" t="str">
            <v>Vista Hermosa</v>
          </cell>
          <cell r="D27" t="str">
            <v>VHE230</v>
          </cell>
          <cell r="E27">
            <v>10</v>
          </cell>
        </row>
        <row r="28">
          <cell r="A28">
            <v>6260</v>
          </cell>
          <cell r="B28">
            <v>230</v>
          </cell>
          <cell r="C28" t="str">
            <v>Changuinola</v>
          </cell>
          <cell r="D28" t="str">
            <v>CHA230</v>
          </cell>
          <cell r="E28">
            <v>10</v>
          </cell>
        </row>
        <row r="29">
          <cell r="A29">
            <v>6261</v>
          </cell>
          <cell r="B29">
            <v>115</v>
          </cell>
          <cell r="C29" t="str">
            <v>Changuinola 115</v>
          </cell>
          <cell r="D29" t="str">
            <v>CHA115</v>
          </cell>
          <cell r="E29">
            <v>10</v>
          </cell>
        </row>
        <row r="30">
          <cell r="A30">
            <v>6262</v>
          </cell>
          <cell r="B30">
            <v>34.5</v>
          </cell>
          <cell r="C30" t="str">
            <v>Changuinola 34.5</v>
          </cell>
          <cell r="D30" t="str">
            <v>CHA34</v>
          </cell>
          <cell r="E30">
            <v>10</v>
          </cell>
        </row>
        <row r="31">
          <cell r="A31">
            <v>6263</v>
          </cell>
          <cell r="B31">
            <v>230</v>
          </cell>
          <cell r="C31" t="str">
            <v>La Esperanza</v>
          </cell>
          <cell r="D31" t="str">
            <v>ESP230</v>
          </cell>
          <cell r="E31">
            <v>10</v>
          </cell>
        </row>
        <row r="32">
          <cell r="A32">
            <v>6290</v>
          </cell>
          <cell r="B32">
            <v>115</v>
          </cell>
          <cell r="C32" t="str">
            <v>Cativá II</v>
          </cell>
          <cell r="D32" t="str">
            <v>CATII115</v>
          </cell>
          <cell r="E32">
            <v>9</v>
          </cell>
        </row>
        <row r="33">
          <cell r="A33">
            <v>6340</v>
          </cell>
          <cell r="B33">
            <v>230</v>
          </cell>
          <cell r="C33" t="str">
            <v>Cañazas</v>
          </cell>
          <cell r="D33" t="str">
            <v>CAN230</v>
          </cell>
          <cell r="E33">
            <v>10</v>
          </cell>
        </row>
        <row r="34">
          <cell r="A34">
            <v>6380</v>
          </cell>
          <cell r="B34">
            <v>230</v>
          </cell>
          <cell r="C34" t="str">
            <v>Boquerón III</v>
          </cell>
          <cell r="D34" t="str">
            <v>BOQIII230</v>
          </cell>
          <cell r="E34">
            <v>4</v>
          </cell>
        </row>
        <row r="35">
          <cell r="A35">
            <v>6460</v>
          </cell>
          <cell r="B35">
            <v>230</v>
          </cell>
          <cell r="C35" t="str">
            <v>El Coco</v>
          </cell>
          <cell r="D35" t="str">
            <v>ECO230</v>
          </cell>
          <cell r="E35">
            <v>5</v>
          </cell>
        </row>
        <row r="36">
          <cell r="A36">
            <v>6470</v>
          </cell>
          <cell r="B36">
            <v>230</v>
          </cell>
          <cell r="C36" t="str">
            <v>24 de Diciembre</v>
          </cell>
          <cell r="D36" t="str">
            <v>24DIC230</v>
          </cell>
          <cell r="E36">
            <v>9</v>
          </cell>
        </row>
        <row r="37">
          <cell r="A37">
            <v>6520</v>
          </cell>
          <cell r="B37">
            <v>230</v>
          </cell>
          <cell r="C37" t="str">
            <v>San Bartolo</v>
          </cell>
          <cell r="D37" t="str">
            <v>SBA34</v>
          </cell>
          <cell r="E37">
            <v>4</v>
          </cell>
        </row>
        <row r="38">
          <cell r="A38">
            <v>6550</v>
          </cell>
          <cell r="B38">
            <v>230</v>
          </cell>
          <cell r="C38" t="str">
            <v>Bella Vista</v>
          </cell>
          <cell r="D38" t="str">
            <v>BEV230</v>
          </cell>
          <cell r="E38">
            <v>4</v>
          </cell>
        </row>
        <row r="39">
          <cell r="A39">
            <v>6713</v>
          </cell>
          <cell r="B39">
            <v>230</v>
          </cell>
          <cell r="C39" t="str">
            <v>Burunga</v>
          </cell>
          <cell r="D39" t="str">
            <v>BUR230</v>
          </cell>
          <cell r="E39">
            <v>5</v>
          </cell>
        </row>
        <row r="40">
          <cell r="A40">
            <v>6830</v>
          </cell>
          <cell r="B40">
            <v>230</v>
          </cell>
          <cell r="C40" t="str">
            <v>Anton</v>
          </cell>
          <cell r="D40" t="str">
            <v>ANT230</v>
          </cell>
          <cell r="E40">
            <v>5</v>
          </cell>
        </row>
        <row r="41">
          <cell r="A41">
            <v>7000</v>
          </cell>
          <cell r="C41" t="str">
            <v>T1-Panama</v>
          </cell>
          <cell r="D41" t="str">
            <v>T1-PAN</v>
          </cell>
          <cell r="E41">
            <v>7</v>
          </cell>
        </row>
        <row r="42">
          <cell r="A42">
            <v>7001</v>
          </cell>
          <cell r="C42" t="str">
            <v>T2-Panama</v>
          </cell>
          <cell r="D42" t="str">
            <v>T2-PAN</v>
          </cell>
          <cell r="E42">
            <v>7</v>
          </cell>
        </row>
        <row r="43">
          <cell r="A43">
            <v>7002</v>
          </cell>
          <cell r="C43" t="str">
            <v>T3-Panama</v>
          </cell>
          <cell r="D43" t="str">
            <v>T3-PAN</v>
          </cell>
          <cell r="E43">
            <v>7</v>
          </cell>
        </row>
        <row r="44">
          <cell r="A44">
            <v>7003</v>
          </cell>
          <cell r="C44" t="str">
            <v>T5-Panama</v>
          </cell>
          <cell r="D44" t="str">
            <v>T5-PAN</v>
          </cell>
          <cell r="E44">
            <v>7</v>
          </cell>
        </row>
        <row r="45">
          <cell r="A45">
            <v>7004</v>
          </cell>
          <cell r="C45" t="str">
            <v>T1-PanamaII</v>
          </cell>
          <cell r="D45" t="str">
            <v>T1-PANII</v>
          </cell>
          <cell r="E45">
            <v>7</v>
          </cell>
        </row>
        <row r="46">
          <cell r="A46">
            <v>7005</v>
          </cell>
          <cell r="C46" t="str">
            <v>T2-PanamaII</v>
          </cell>
          <cell r="D46" t="str">
            <v>T2-PANII</v>
          </cell>
          <cell r="E46">
            <v>7</v>
          </cell>
        </row>
        <row r="47">
          <cell r="A47">
            <v>7006</v>
          </cell>
          <cell r="C47" t="str">
            <v>T3-PanamaII</v>
          </cell>
          <cell r="D47" t="str">
            <v>T3-PANII</v>
          </cell>
          <cell r="E47">
            <v>7</v>
          </cell>
        </row>
        <row r="48">
          <cell r="A48">
            <v>7007</v>
          </cell>
          <cell r="C48" t="str">
            <v>T1-Chorrera</v>
          </cell>
          <cell r="D48" t="str">
            <v>T1-CHO</v>
          </cell>
          <cell r="E48">
            <v>6</v>
          </cell>
        </row>
        <row r="49">
          <cell r="A49">
            <v>7008</v>
          </cell>
          <cell r="C49" t="str">
            <v>T2-Chorrera</v>
          </cell>
          <cell r="D49" t="str">
            <v>T2-CHO</v>
          </cell>
          <cell r="E49">
            <v>6</v>
          </cell>
        </row>
        <row r="50">
          <cell r="A50">
            <v>7009</v>
          </cell>
          <cell r="C50" t="str">
            <v>T3-Chorrera</v>
          </cell>
          <cell r="D50" t="str">
            <v>T3-CHO</v>
          </cell>
          <cell r="E50">
            <v>6</v>
          </cell>
        </row>
        <row r="51">
          <cell r="A51">
            <v>7010</v>
          </cell>
          <cell r="C51" t="str">
            <v>T1-Llano Sanchez</v>
          </cell>
          <cell r="D51" t="str">
            <v>T1-LSA</v>
          </cell>
          <cell r="E51">
            <v>5</v>
          </cell>
        </row>
        <row r="52">
          <cell r="A52">
            <v>7011</v>
          </cell>
          <cell r="C52" t="str">
            <v>T2-Llano Sanchez</v>
          </cell>
          <cell r="D52" t="str">
            <v>T2-LSA</v>
          </cell>
          <cell r="E52">
            <v>5</v>
          </cell>
        </row>
        <row r="53">
          <cell r="A53">
            <v>7012</v>
          </cell>
          <cell r="C53" t="str">
            <v>T3-Llano Sanchez</v>
          </cell>
          <cell r="D53" t="str">
            <v>T3-LSA</v>
          </cell>
          <cell r="E53">
            <v>5</v>
          </cell>
        </row>
        <row r="54">
          <cell r="A54">
            <v>7013</v>
          </cell>
          <cell r="C54" t="str">
            <v>T1-Mata de Nance</v>
          </cell>
          <cell r="D54" t="str">
            <v>T1-MDN</v>
          </cell>
          <cell r="E54">
            <v>4</v>
          </cell>
        </row>
        <row r="55">
          <cell r="A55">
            <v>7014</v>
          </cell>
          <cell r="C55" t="str">
            <v>T2-Mata de Nance</v>
          </cell>
          <cell r="D55" t="str">
            <v>T2-MDN</v>
          </cell>
          <cell r="E55">
            <v>4</v>
          </cell>
        </row>
        <row r="56">
          <cell r="A56">
            <v>7015</v>
          </cell>
          <cell r="C56" t="str">
            <v>T3-Mata de Nance</v>
          </cell>
          <cell r="D56" t="str">
            <v>T3-MDN</v>
          </cell>
          <cell r="E56">
            <v>5</v>
          </cell>
        </row>
        <row r="57">
          <cell r="A57">
            <v>7016</v>
          </cell>
          <cell r="C57" t="str">
            <v>T1-Changuinola</v>
          </cell>
          <cell r="D57" t="str">
            <v>T1-CHA</v>
          </cell>
          <cell r="E57">
            <v>10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12.94</v>
          </cell>
        </row>
        <row r="3">
          <cell r="C3">
            <v>230</v>
          </cell>
          <cell r="F3" t="str">
            <v>S</v>
          </cell>
          <cell r="G3">
            <v>12.94</v>
          </cell>
        </row>
        <row r="4">
          <cell r="C4">
            <v>230</v>
          </cell>
          <cell r="F4" t="str">
            <v>S</v>
          </cell>
          <cell r="G4">
            <v>40.299999999999997</v>
          </cell>
        </row>
        <row r="5">
          <cell r="C5">
            <v>230</v>
          </cell>
          <cell r="F5" t="str">
            <v>SD</v>
          </cell>
          <cell r="G5">
            <v>37.5</v>
          </cell>
        </row>
        <row r="6">
          <cell r="C6">
            <v>230</v>
          </cell>
          <cell r="F6" t="str">
            <v>SD</v>
          </cell>
          <cell r="G6">
            <v>37.5</v>
          </cell>
        </row>
        <row r="7">
          <cell r="C7">
            <v>230</v>
          </cell>
          <cell r="F7" t="str">
            <v>S</v>
          </cell>
          <cell r="G7">
            <v>40.299999999999997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 t="str">
            <v>TX</v>
          </cell>
          <cell r="F10" t="str">
            <v>S</v>
          </cell>
        </row>
        <row r="11">
          <cell r="C11" t="str">
            <v>TX</v>
          </cell>
          <cell r="F11" t="str">
            <v>S</v>
          </cell>
        </row>
        <row r="12">
          <cell r="C12">
            <v>115</v>
          </cell>
          <cell r="F12" t="str">
            <v>S</v>
          </cell>
          <cell r="G12">
            <v>0.8</v>
          </cell>
        </row>
        <row r="13">
          <cell r="C13">
            <v>115</v>
          </cell>
          <cell r="F13" t="str">
            <v>S</v>
          </cell>
          <cell r="G13">
            <v>0.8</v>
          </cell>
        </row>
        <row r="14">
          <cell r="C14">
            <v>115</v>
          </cell>
          <cell r="F14" t="str">
            <v>S</v>
          </cell>
          <cell r="G14">
            <v>22.5</v>
          </cell>
        </row>
        <row r="15">
          <cell r="C15">
            <v>115</v>
          </cell>
          <cell r="F15" t="str">
            <v>S</v>
          </cell>
          <cell r="G15">
            <v>40.700000000000003</v>
          </cell>
        </row>
        <row r="16">
          <cell r="C16" t="str">
            <v>TX</v>
          </cell>
          <cell r="F16" t="str">
            <v>S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 t="str">
            <v>TX</v>
          </cell>
          <cell r="F19" t="str">
            <v>S</v>
          </cell>
        </row>
        <row r="20">
          <cell r="C20">
            <v>230</v>
          </cell>
          <cell r="F20" t="str">
            <v>S</v>
          </cell>
          <cell r="G20">
            <v>19</v>
          </cell>
        </row>
        <row r="21">
          <cell r="C21">
            <v>230</v>
          </cell>
          <cell r="F21" t="str">
            <v>S</v>
          </cell>
          <cell r="G21">
            <v>150.33000000000001</v>
          </cell>
        </row>
        <row r="22">
          <cell r="C22">
            <v>230</v>
          </cell>
          <cell r="F22" t="str">
            <v>S</v>
          </cell>
          <cell r="G22">
            <v>9.1</v>
          </cell>
        </row>
        <row r="23">
          <cell r="C23">
            <v>230</v>
          </cell>
          <cell r="F23" t="str">
            <v>S</v>
          </cell>
          <cell r="G23">
            <v>35.340000000000003</v>
          </cell>
        </row>
        <row r="24">
          <cell r="C24" t="str">
            <v>TX</v>
          </cell>
          <cell r="F24" t="str">
            <v>S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 t="str">
            <v>TX</v>
          </cell>
          <cell r="F29" t="str">
            <v>S</v>
          </cell>
        </row>
        <row r="30">
          <cell r="C30">
            <v>230</v>
          </cell>
          <cell r="F30" t="str">
            <v>S</v>
          </cell>
          <cell r="G30">
            <v>60.5</v>
          </cell>
        </row>
        <row r="31">
          <cell r="C31">
            <v>230</v>
          </cell>
          <cell r="F31" t="str">
            <v>S</v>
          </cell>
          <cell r="G31">
            <v>60.5</v>
          </cell>
        </row>
        <row r="32">
          <cell r="C32">
            <v>230</v>
          </cell>
          <cell r="F32" t="str">
            <v>SD</v>
          </cell>
          <cell r="G32">
            <v>94.44</v>
          </cell>
        </row>
        <row r="33">
          <cell r="C33">
            <v>230</v>
          </cell>
          <cell r="F33" t="str">
            <v>SD</v>
          </cell>
          <cell r="G33">
            <v>94.44</v>
          </cell>
        </row>
        <row r="34">
          <cell r="C34">
            <v>230</v>
          </cell>
          <cell r="F34" t="str">
            <v>SD</v>
          </cell>
          <cell r="G34">
            <v>154.94</v>
          </cell>
        </row>
        <row r="35">
          <cell r="C35">
            <v>230</v>
          </cell>
          <cell r="F35" t="str">
            <v>SD</v>
          </cell>
          <cell r="G35">
            <v>154.94</v>
          </cell>
        </row>
        <row r="36">
          <cell r="C36">
            <v>230</v>
          </cell>
          <cell r="F36" t="str">
            <v>SD</v>
          </cell>
          <cell r="G36">
            <v>110.21</v>
          </cell>
        </row>
        <row r="37">
          <cell r="C37">
            <v>230</v>
          </cell>
          <cell r="F37" t="str">
            <v>SD</v>
          </cell>
          <cell r="G37">
            <v>110.21</v>
          </cell>
        </row>
        <row r="38">
          <cell r="C38">
            <v>230</v>
          </cell>
          <cell r="F38" t="str">
            <v>S</v>
          </cell>
          <cell r="G38">
            <v>109.36</v>
          </cell>
        </row>
        <row r="39">
          <cell r="C39">
            <v>230</v>
          </cell>
          <cell r="F39" t="str">
            <v>S</v>
          </cell>
          <cell r="G39">
            <v>81.55</v>
          </cell>
        </row>
        <row r="40">
          <cell r="C40">
            <v>230</v>
          </cell>
          <cell r="F40" t="str">
            <v>S</v>
          </cell>
          <cell r="G40">
            <v>81.55</v>
          </cell>
        </row>
        <row r="41">
          <cell r="C41">
            <v>230</v>
          </cell>
          <cell r="F41" t="str">
            <v>S</v>
          </cell>
          <cell r="G41">
            <v>44.67</v>
          </cell>
        </row>
        <row r="42">
          <cell r="C42">
            <v>230</v>
          </cell>
          <cell r="F42" t="str">
            <v>S</v>
          </cell>
          <cell r="G42">
            <v>44.67</v>
          </cell>
        </row>
        <row r="43">
          <cell r="C43">
            <v>230</v>
          </cell>
          <cell r="F43" t="str">
            <v>S</v>
          </cell>
          <cell r="G43">
            <v>67.7</v>
          </cell>
        </row>
        <row r="44">
          <cell r="C44">
            <v>230</v>
          </cell>
          <cell r="F44" t="str">
            <v>S</v>
          </cell>
          <cell r="G44">
            <v>67.7</v>
          </cell>
        </row>
        <row r="45">
          <cell r="C45">
            <v>230</v>
          </cell>
          <cell r="F45" t="str">
            <v>S</v>
          </cell>
          <cell r="G45">
            <v>103.36</v>
          </cell>
        </row>
        <row r="46">
          <cell r="C46">
            <v>230</v>
          </cell>
          <cell r="F46" t="str">
            <v>SD</v>
          </cell>
          <cell r="G46">
            <v>60.5</v>
          </cell>
        </row>
        <row r="47">
          <cell r="C47">
            <v>230</v>
          </cell>
          <cell r="F47" t="str">
            <v>SD</v>
          </cell>
          <cell r="G47">
            <v>60.5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 t="str">
            <v>TX</v>
          </cell>
          <cell r="F52" t="str">
            <v>S</v>
          </cell>
        </row>
        <row r="53">
          <cell r="C53" t="str">
            <v>TX</v>
          </cell>
          <cell r="F53" t="str">
            <v>S</v>
          </cell>
        </row>
        <row r="54">
          <cell r="C54" t="str">
            <v>TX</v>
          </cell>
          <cell r="F54" t="str">
            <v>S</v>
          </cell>
        </row>
        <row r="55">
          <cell r="C55" t="str">
            <v>TX</v>
          </cell>
          <cell r="F55" t="str">
            <v>S</v>
          </cell>
        </row>
        <row r="56">
          <cell r="C56">
            <v>230</v>
          </cell>
          <cell r="F56" t="str">
            <v>S</v>
          </cell>
          <cell r="G56">
            <v>37.5</v>
          </cell>
        </row>
        <row r="57">
          <cell r="C57">
            <v>230</v>
          </cell>
          <cell r="F57" t="str">
            <v>S</v>
          </cell>
          <cell r="G57">
            <v>37.5</v>
          </cell>
        </row>
        <row r="58">
          <cell r="C58">
            <v>230</v>
          </cell>
          <cell r="F58" t="str">
            <v>S</v>
          </cell>
          <cell r="G58">
            <v>84.49</v>
          </cell>
        </row>
        <row r="59">
          <cell r="C59">
            <v>230</v>
          </cell>
          <cell r="F59" t="str">
            <v>S</v>
          </cell>
          <cell r="G59">
            <v>84.49</v>
          </cell>
        </row>
        <row r="60">
          <cell r="C60">
            <v>230</v>
          </cell>
          <cell r="F60" t="str">
            <v>S</v>
          </cell>
          <cell r="G60">
            <v>24.33</v>
          </cell>
        </row>
        <row r="61">
          <cell r="C61" t="str">
            <v>TX</v>
          </cell>
          <cell r="F61" t="str">
            <v>S</v>
          </cell>
        </row>
        <row r="62">
          <cell r="C62" t="str">
            <v>TX</v>
          </cell>
          <cell r="F62" t="str">
            <v>S</v>
          </cell>
        </row>
        <row r="63">
          <cell r="C63" t="str">
            <v>TX</v>
          </cell>
          <cell r="F63" t="str">
            <v>S</v>
          </cell>
        </row>
        <row r="64">
          <cell r="C64">
            <v>115</v>
          </cell>
          <cell r="F64" t="str">
            <v>S</v>
          </cell>
          <cell r="G64">
            <v>25</v>
          </cell>
        </row>
        <row r="65">
          <cell r="C65">
            <v>115</v>
          </cell>
          <cell r="F65" t="str">
            <v>S</v>
          </cell>
          <cell r="G65">
            <v>25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 t="str">
            <v>TX</v>
          </cell>
          <cell r="F68" t="str">
            <v>S</v>
          </cell>
        </row>
        <row r="69">
          <cell r="C69" t="str">
            <v>TX</v>
          </cell>
          <cell r="F69" t="str">
            <v>S</v>
          </cell>
        </row>
        <row r="70">
          <cell r="C70" t="str">
            <v>TX</v>
          </cell>
          <cell r="F70" t="str">
            <v>S</v>
          </cell>
        </row>
        <row r="71">
          <cell r="C71" t="str">
            <v>TX</v>
          </cell>
          <cell r="F71" t="str">
            <v>S</v>
          </cell>
        </row>
        <row r="72">
          <cell r="C72">
            <v>230</v>
          </cell>
          <cell r="F72" t="str">
            <v>S</v>
          </cell>
          <cell r="G72">
            <v>29.75</v>
          </cell>
        </row>
        <row r="73">
          <cell r="C73">
            <v>115</v>
          </cell>
          <cell r="F73" t="str">
            <v>S</v>
          </cell>
          <cell r="G73">
            <v>46.6</v>
          </cell>
        </row>
        <row r="74">
          <cell r="C74">
            <v>115</v>
          </cell>
          <cell r="F74" t="str">
            <v>S</v>
          </cell>
          <cell r="G74">
            <v>46.6</v>
          </cell>
        </row>
        <row r="75">
          <cell r="C75">
            <v>115</v>
          </cell>
          <cell r="F75" t="str">
            <v>S</v>
          </cell>
          <cell r="G75">
            <v>31.5</v>
          </cell>
        </row>
        <row r="76">
          <cell r="C76">
            <v>115</v>
          </cell>
          <cell r="F76" t="str">
            <v>S</v>
          </cell>
          <cell r="G76">
            <v>6.2</v>
          </cell>
        </row>
        <row r="77">
          <cell r="C77">
            <v>115</v>
          </cell>
          <cell r="F77" t="str">
            <v>S</v>
          </cell>
          <cell r="G77">
            <v>0.8</v>
          </cell>
        </row>
        <row r="78">
          <cell r="C78">
            <v>115</v>
          </cell>
          <cell r="F78" t="str">
            <v>S</v>
          </cell>
          <cell r="G78">
            <v>16.7</v>
          </cell>
        </row>
        <row r="79">
          <cell r="C79">
            <v>230</v>
          </cell>
          <cell r="F79" t="str">
            <v>S</v>
          </cell>
          <cell r="G79">
            <v>16</v>
          </cell>
        </row>
        <row r="80">
          <cell r="C80">
            <v>230</v>
          </cell>
          <cell r="F80" t="str">
            <v>S</v>
          </cell>
          <cell r="G80">
            <v>96.87</v>
          </cell>
        </row>
        <row r="81">
          <cell r="C81">
            <v>230</v>
          </cell>
          <cell r="F81" t="str">
            <v>S</v>
          </cell>
          <cell r="G81">
            <v>49.14</v>
          </cell>
        </row>
        <row r="82">
          <cell r="C82">
            <v>230</v>
          </cell>
          <cell r="F82" t="str">
            <v>S</v>
          </cell>
          <cell r="G82">
            <v>57</v>
          </cell>
        </row>
        <row r="83">
          <cell r="C83">
            <v>115</v>
          </cell>
          <cell r="F83" t="str">
            <v>S</v>
          </cell>
          <cell r="G83">
            <v>6.2</v>
          </cell>
        </row>
        <row r="84">
          <cell r="C84">
            <v>230</v>
          </cell>
          <cell r="F84" t="str">
            <v>S</v>
          </cell>
          <cell r="G84">
            <v>84.3</v>
          </cell>
        </row>
        <row r="85">
          <cell r="C85">
            <v>230</v>
          </cell>
          <cell r="F85" t="str">
            <v>S</v>
          </cell>
          <cell r="G85">
            <v>84.3</v>
          </cell>
        </row>
        <row r="86">
          <cell r="C86">
            <v>230</v>
          </cell>
          <cell r="F86" t="str">
            <v>S</v>
          </cell>
          <cell r="G86">
            <v>42.3</v>
          </cell>
        </row>
        <row r="87">
          <cell r="C87">
            <v>230</v>
          </cell>
          <cell r="F87" t="str">
            <v>S</v>
          </cell>
          <cell r="G87">
            <v>42.3</v>
          </cell>
        </row>
        <row r="88">
          <cell r="C88">
            <v>230</v>
          </cell>
          <cell r="F88" t="str">
            <v>S</v>
          </cell>
          <cell r="G88">
            <v>6</v>
          </cell>
        </row>
        <row r="89">
          <cell r="C89">
            <v>230</v>
          </cell>
          <cell r="F89" t="str">
            <v>S</v>
          </cell>
          <cell r="G89">
            <v>1.4</v>
          </cell>
        </row>
        <row r="90">
          <cell r="C90">
            <v>230</v>
          </cell>
          <cell r="F90" t="str">
            <v>S</v>
          </cell>
          <cell r="G90">
            <v>24.88</v>
          </cell>
        </row>
        <row r="91">
          <cell r="C91">
            <v>230</v>
          </cell>
          <cell r="F91" t="str">
            <v>S</v>
          </cell>
          <cell r="G91">
            <v>76.650000000000006</v>
          </cell>
        </row>
        <row r="92">
          <cell r="C92" t="str">
            <v>TX</v>
          </cell>
          <cell r="F92" t="str">
            <v>S</v>
          </cell>
        </row>
        <row r="93">
          <cell r="C93" t="str">
            <v>TX</v>
          </cell>
          <cell r="F93" t="str">
            <v>S</v>
          </cell>
        </row>
        <row r="94">
          <cell r="C94" t="str">
            <v>TX</v>
          </cell>
          <cell r="F94" t="str">
            <v>S</v>
          </cell>
        </row>
        <row r="95">
          <cell r="C95">
            <v>230</v>
          </cell>
          <cell r="F95" t="str">
            <v>S</v>
          </cell>
          <cell r="G95">
            <v>44</v>
          </cell>
        </row>
        <row r="96">
          <cell r="C96">
            <v>230</v>
          </cell>
          <cell r="F96" t="str">
            <v>S</v>
          </cell>
          <cell r="G96">
            <v>114.98</v>
          </cell>
        </row>
      </sheetData>
      <sheetData sheetId="3"/>
      <sheetData sheetId="4">
        <row r="3">
          <cell r="E3" t="str">
            <v xml:space="preserve"> 2.- Día Semihábil (sábado):</v>
          </cell>
        </row>
      </sheetData>
      <sheetData sheetId="5">
        <row r="2">
          <cell r="L2">
            <v>10391.438170650001</v>
          </cell>
        </row>
        <row r="17">
          <cell r="L17">
            <v>8728.5368300600003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</sheetNames>
    <sheetDataSet>
      <sheetData sheetId="0">
        <row r="1">
          <cell r="B1">
            <v>1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7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9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6243</v>
          </cell>
          <cell r="B27">
            <v>230</v>
          </cell>
          <cell r="C27" t="str">
            <v>Vista Hermosa</v>
          </cell>
          <cell r="D27" t="str">
            <v>VHE230</v>
          </cell>
          <cell r="E27">
            <v>8</v>
          </cell>
        </row>
        <row r="28">
          <cell r="A28">
            <v>6260</v>
          </cell>
          <cell r="B28">
            <v>230</v>
          </cell>
          <cell r="C28" t="str">
            <v>Changuinola</v>
          </cell>
          <cell r="D28" t="str">
            <v>CHA230</v>
          </cell>
          <cell r="E28">
            <v>10</v>
          </cell>
        </row>
        <row r="29">
          <cell r="A29">
            <v>6261</v>
          </cell>
          <cell r="B29">
            <v>115</v>
          </cell>
          <cell r="C29" t="str">
            <v>Changuinola 115</v>
          </cell>
          <cell r="D29" t="str">
            <v>CHA115</v>
          </cell>
          <cell r="E29">
            <v>10</v>
          </cell>
        </row>
        <row r="30">
          <cell r="A30">
            <v>6262</v>
          </cell>
          <cell r="B30">
            <v>34.5</v>
          </cell>
          <cell r="C30" t="str">
            <v>Changuinola 34.5</v>
          </cell>
          <cell r="D30" t="str">
            <v>CHA34</v>
          </cell>
          <cell r="E30">
            <v>10</v>
          </cell>
        </row>
        <row r="31">
          <cell r="A31">
            <v>6263</v>
          </cell>
          <cell r="B31">
            <v>230</v>
          </cell>
          <cell r="C31" t="str">
            <v>La Esperanza</v>
          </cell>
          <cell r="D31" t="str">
            <v>ESP230</v>
          </cell>
          <cell r="E31">
            <v>10</v>
          </cell>
        </row>
        <row r="32">
          <cell r="A32">
            <v>6290</v>
          </cell>
          <cell r="B32">
            <v>115</v>
          </cell>
          <cell r="C32" t="str">
            <v>Cativá II</v>
          </cell>
          <cell r="D32" t="str">
            <v>CATII115</v>
          </cell>
          <cell r="E32">
            <v>9</v>
          </cell>
        </row>
        <row r="33">
          <cell r="A33">
            <v>6340</v>
          </cell>
          <cell r="B33">
            <v>230</v>
          </cell>
          <cell r="C33" t="str">
            <v>Cañazas</v>
          </cell>
          <cell r="D33" t="str">
            <v>CAN230</v>
          </cell>
          <cell r="E33">
            <v>10</v>
          </cell>
        </row>
        <row r="34">
          <cell r="A34">
            <v>6380</v>
          </cell>
          <cell r="B34">
            <v>230</v>
          </cell>
          <cell r="C34" t="str">
            <v>Boquerón III</v>
          </cell>
          <cell r="D34" t="str">
            <v>BOQIII230</v>
          </cell>
          <cell r="E34">
            <v>4</v>
          </cell>
        </row>
        <row r="35">
          <cell r="A35">
            <v>6460</v>
          </cell>
          <cell r="B35">
            <v>230</v>
          </cell>
          <cell r="C35" t="str">
            <v>El Coco</v>
          </cell>
          <cell r="D35" t="str">
            <v>ECO230</v>
          </cell>
          <cell r="E35">
            <v>5</v>
          </cell>
        </row>
        <row r="36">
          <cell r="A36">
            <v>6470</v>
          </cell>
          <cell r="B36">
            <v>230</v>
          </cell>
          <cell r="C36" t="str">
            <v>24 de Diciembre</v>
          </cell>
          <cell r="D36" t="str">
            <v>24DIC230</v>
          </cell>
          <cell r="E36">
            <v>8</v>
          </cell>
        </row>
        <row r="37">
          <cell r="A37">
            <v>6520</v>
          </cell>
          <cell r="B37">
            <v>230</v>
          </cell>
          <cell r="C37" t="str">
            <v>San Bartolo</v>
          </cell>
          <cell r="D37" t="str">
            <v>SBA34</v>
          </cell>
          <cell r="E37">
            <v>4</v>
          </cell>
        </row>
        <row r="38">
          <cell r="A38">
            <v>6550</v>
          </cell>
          <cell r="B38">
            <v>230</v>
          </cell>
          <cell r="C38" t="str">
            <v>Bella Vista</v>
          </cell>
          <cell r="D38" t="str">
            <v>BEV230</v>
          </cell>
          <cell r="E38">
            <v>4</v>
          </cell>
        </row>
        <row r="39">
          <cell r="A39">
            <v>6713</v>
          </cell>
          <cell r="B39">
            <v>230</v>
          </cell>
          <cell r="C39" t="str">
            <v>Burunga</v>
          </cell>
          <cell r="D39" t="str">
            <v>BUR230</v>
          </cell>
          <cell r="E39">
            <v>5</v>
          </cell>
        </row>
        <row r="40">
          <cell r="A40">
            <v>7000</v>
          </cell>
          <cell r="C40" t="str">
            <v>T1-Panama</v>
          </cell>
          <cell r="D40" t="str">
            <v>T1-PAN</v>
          </cell>
          <cell r="E40">
            <v>7</v>
          </cell>
        </row>
        <row r="41">
          <cell r="A41">
            <v>7001</v>
          </cell>
          <cell r="C41" t="str">
            <v>T2-Panama</v>
          </cell>
          <cell r="D41" t="str">
            <v>T2-PAN</v>
          </cell>
          <cell r="E41">
            <v>7</v>
          </cell>
        </row>
        <row r="42">
          <cell r="A42">
            <v>7002</v>
          </cell>
          <cell r="C42" t="str">
            <v>T3-Panama</v>
          </cell>
          <cell r="D42" t="str">
            <v>T3-PAN</v>
          </cell>
          <cell r="E42">
            <v>7</v>
          </cell>
        </row>
        <row r="43">
          <cell r="A43">
            <v>7003</v>
          </cell>
          <cell r="C43" t="str">
            <v>T5-Panama</v>
          </cell>
          <cell r="D43" t="str">
            <v>T5-PAN</v>
          </cell>
          <cell r="E43">
            <v>7</v>
          </cell>
        </row>
        <row r="44">
          <cell r="A44">
            <v>7004</v>
          </cell>
          <cell r="C44" t="str">
            <v>T1-PanamaII</v>
          </cell>
          <cell r="D44" t="str">
            <v>T1-PANII</v>
          </cell>
          <cell r="E44">
            <v>7</v>
          </cell>
        </row>
        <row r="45">
          <cell r="A45">
            <v>7005</v>
          </cell>
          <cell r="C45" t="str">
            <v>T2-PanamaII</v>
          </cell>
          <cell r="D45" t="str">
            <v>T2-PANII</v>
          </cell>
          <cell r="E45">
            <v>7</v>
          </cell>
        </row>
        <row r="46">
          <cell r="A46">
            <v>7006</v>
          </cell>
          <cell r="C46" t="str">
            <v>T3-PanamaII</v>
          </cell>
          <cell r="D46" t="str">
            <v>T3-PANII</v>
          </cell>
          <cell r="E46">
            <v>7</v>
          </cell>
        </row>
        <row r="47">
          <cell r="A47">
            <v>7007</v>
          </cell>
          <cell r="C47" t="str">
            <v>T1-Chorrera</v>
          </cell>
          <cell r="D47" t="str">
            <v>T1-CHO</v>
          </cell>
          <cell r="E47">
            <v>6</v>
          </cell>
        </row>
        <row r="48">
          <cell r="A48">
            <v>7008</v>
          </cell>
          <cell r="C48" t="str">
            <v>T2-Chorrera</v>
          </cell>
          <cell r="D48" t="str">
            <v>T2-CHO</v>
          </cell>
          <cell r="E48">
            <v>6</v>
          </cell>
        </row>
        <row r="49">
          <cell r="A49">
            <v>7009</v>
          </cell>
          <cell r="C49" t="str">
            <v>T3-Chorrera</v>
          </cell>
          <cell r="D49" t="str">
            <v>T3-CHO</v>
          </cell>
          <cell r="E49">
            <v>6</v>
          </cell>
        </row>
        <row r="50">
          <cell r="A50">
            <v>7010</v>
          </cell>
          <cell r="C50" t="str">
            <v>T1-Llano Sanchez</v>
          </cell>
          <cell r="D50" t="str">
            <v>T1-LSA</v>
          </cell>
          <cell r="E50">
            <v>5</v>
          </cell>
        </row>
        <row r="51">
          <cell r="A51">
            <v>7011</v>
          </cell>
          <cell r="C51" t="str">
            <v>T2-Llano Sanchez</v>
          </cell>
          <cell r="D51" t="str">
            <v>T2-LSA</v>
          </cell>
          <cell r="E51">
            <v>5</v>
          </cell>
        </row>
        <row r="52">
          <cell r="A52">
            <v>7012</v>
          </cell>
          <cell r="C52" t="str">
            <v>T3-Llano Sanchez</v>
          </cell>
          <cell r="D52" t="str">
            <v>T3-LSA</v>
          </cell>
          <cell r="E52">
            <v>5</v>
          </cell>
        </row>
        <row r="53">
          <cell r="A53">
            <v>7013</v>
          </cell>
          <cell r="C53" t="str">
            <v>T1-Mata de Nance</v>
          </cell>
          <cell r="D53" t="str">
            <v>T1-MDN</v>
          </cell>
          <cell r="E53">
            <v>4</v>
          </cell>
        </row>
        <row r="54">
          <cell r="A54">
            <v>7014</v>
          </cell>
          <cell r="C54" t="str">
            <v>T2-Mata de Nance</v>
          </cell>
          <cell r="D54" t="str">
            <v>T2-MDN</v>
          </cell>
          <cell r="E54">
            <v>4</v>
          </cell>
        </row>
        <row r="55">
          <cell r="A55">
            <v>7015</v>
          </cell>
          <cell r="C55" t="str">
            <v>T3-Mata de Nance</v>
          </cell>
          <cell r="D55" t="str">
            <v>T3-MDN</v>
          </cell>
          <cell r="E55">
            <v>4</v>
          </cell>
        </row>
        <row r="56">
          <cell r="A56">
            <v>7016</v>
          </cell>
          <cell r="C56" t="str">
            <v>T1-Changuinola</v>
          </cell>
          <cell r="D56" t="str">
            <v>T1-CHA</v>
          </cell>
          <cell r="E56">
            <v>10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12.94</v>
          </cell>
        </row>
        <row r="3">
          <cell r="C3">
            <v>230</v>
          </cell>
          <cell r="F3" t="str">
            <v>S</v>
          </cell>
          <cell r="G3">
            <v>12.94</v>
          </cell>
        </row>
        <row r="4">
          <cell r="C4">
            <v>230</v>
          </cell>
          <cell r="F4" t="str">
            <v>S</v>
          </cell>
          <cell r="G4">
            <v>40.299999999999997</v>
          </cell>
        </row>
        <row r="5">
          <cell r="C5">
            <v>230</v>
          </cell>
          <cell r="F5" t="str">
            <v>SD</v>
          </cell>
          <cell r="G5">
            <v>37.5</v>
          </cell>
        </row>
        <row r="6">
          <cell r="C6">
            <v>230</v>
          </cell>
          <cell r="F6" t="str">
            <v>SD</v>
          </cell>
          <cell r="G6">
            <v>37.5</v>
          </cell>
        </row>
        <row r="7">
          <cell r="C7">
            <v>230</v>
          </cell>
          <cell r="F7" t="str">
            <v>S</v>
          </cell>
          <cell r="G7">
            <v>40.299999999999997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 t="str">
            <v>TX</v>
          </cell>
          <cell r="F10" t="str">
            <v>S</v>
          </cell>
        </row>
        <row r="11">
          <cell r="C11" t="str">
            <v>TX</v>
          </cell>
          <cell r="F11" t="str">
            <v>S</v>
          </cell>
        </row>
        <row r="12">
          <cell r="C12">
            <v>115</v>
          </cell>
          <cell r="F12" t="str">
            <v>S</v>
          </cell>
          <cell r="G12">
            <v>0.8</v>
          </cell>
        </row>
        <row r="13">
          <cell r="C13">
            <v>115</v>
          </cell>
          <cell r="F13" t="str">
            <v>S</v>
          </cell>
          <cell r="G13">
            <v>0.8</v>
          </cell>
        </row>
        <row r="14">
          <cell r="C14">
            <v>115</v>
          </cell>
          <cell r="F14" t="str">
            <v>S</v>
          </cell>
          <cell r="G14">
            <v>22.5</v>
          </cell>
        </row>
        <row r="15">
          <cell r="C15">
            <v>115</v>
          </cell>
          <cell r="F15" t="str">
            <v>S</v>
          </cell>
          <cell r="G15">
            <v>40.700000000000003</v>
          </cell>
        </row>
        <row r="16">
          <cell r="C16" t="str">
            <v>TX</v>
          </cell>
          <cell r="F16" t="str">
            <v>S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 t="str">
            <v>TX</v>
          </cell>
          <cell r="F19" t="str">
            <v>S</v>
          </cell>
        </row>
        <row r="20">
          <cell r="C20">
            <v>230</v>
          </cell>
          <cell r="F20" t="str">
            <v>S</v>
          </cell>
          <cell r="G20">
            <v>19</v>
          </cell>
        </row>
        <row r="21">
          <cell r="C21">
            <v>230</v>
          </cell>
          <cell r="F21" t="str">
            <v>S</v>
          </cell>
          <cell r="G21">
            <v>150.33000000000001</v>
          </cell>
        </row>
        <row r="22">
          <cell r="C22">
            <v>230</v>
          </cell>
          <cell r="F22" t="str">
            <v>S</v>
          </cell>
          <cell r="G22">
            <v>9.1</v>
          </cell>
        </row>
        <row r="23">
          <cell r="C23">
            <v>230</v>
          </cell>
          <cell r="F23" t="str">
            <v>S</v>
          </cell>
          <cell r="G23">
            <v>35.340000000000003</v>
          </cell>
        </row>
        <row r="24">
          <cell r="C24" t="str">
            <v>TX</v>
          </cell>
          <cell r="F24" t="str">
            <v>S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 t="str">
            <v>TX</v>
          </cell>
          <cell r="F29" t="str">
            <v>S</v>
          </cell>
        </row>
        <row r="30">
          <cell r="C30">
            <v>230</v>
          </cell>
          <cell r="F30" t="str">
            <v>S</v>
          </cell>
          <cell r="G30">
            <v>60.5</v>
          </cell>
        </row>
        <row r="31">
          <cell r="C31">
            <v>230</v>
          </cell>
          <cell r="F31" t="str">
            <v>S</v>
          </cell>
          <cell r="G31">
            <v>60.5</v>
          </cell>
        </row>
        <row r="32">
          <cell r="C32">
            <v>230</v>
          </cell>
          <cell r="F32" t="str">
            <v>SD</v>
          </cell>
          <cell r="G32">
            <v>154.94</v>
          </cell>
        </row>
        <row r="33">
          <cell r="C33">
            <v>230</v>
          </cell>
          <cell r="F33" t="str">
            <v>SD</v>
          </cell>
          <cell r="G33">
            <v>154.94</v>
          </cell>
        </row>
        <row r="34">
          <cell r="C34">
            <v>230</v>
          </cell>
          <cell r="F34" t="str">
            <v>SD</v>
          </cell>
          <cell r="G34">
            <v>110.21</v>
          </cell>
        </row>
        <row r="35">
          <cell r="C35">
            <v>230</v>
          </cell>
          <cell r="F35" t="str">
            <v>SD</v>
          </cell>
          <cell r="G35">
            <v>110.21</v>
          </cell>
        </row>
        <row r="36">
          <cell r="C36">
            <v>230</v>
          </cell>
          <cell r="F36" t="str">
            <v>S</v>
          </cell>
          <cell r="G36">
            <v>109.36</v>
          </cell>
        </row>
        <row r="37">
          <cell r="C37">
            <v>230</v>
          </cell>
          <cell r="F37" t="str">
            <v>S</v>
          </cell>
          <cell r="G37">
            <v>81.55</v>
          </cell>
        </row>
        <row r="38">
          <cell r="C38">
            <v>230</v>
          </cell>
          <cell r="F38" t="str">
            <v>S</v>
          </cell>
          <cell r="G38">
            <v>81.55</v>
          </cell>
        </row>
        <row r="39">
          <cell r="C39">
            <v>230</v>
          </cell>
          <cell r="F39" t="str">
            <v>S</v>
          </cell>
          <cell r="G39">
            <v>44.67</v>
          </cell>
        </row>
        <row r="40">
          <cell r="C40">
            <v>230</v>
          </cell>
          <cell r="F40" t="str">
            <v>S</v>
          </cell>
          <cell r="G40">
            <v>44.67</v>
          </cell>
        </row>
        <row r="41">
          <cell r="C41">
            <v>230</v>
          </cell>
          <cell r="F41" t="str">
            <v>S</v>
          </cell>
          <cell r="G41">
            <v>67.7</v>
          </cell>
        </row>
        <row r="42">
          <cell r="C42">
            <v>230</v>
          </cell>
          <cell r="F42" t="str">
            <v>S</v>
          </cell>
          <cell r="G42">
            <v>67.7</v>
          </cell>
        </row>
        <row r="43">
          <cell r="C43">
            <v>230</v>
          </cell>
          <cell r="F43" t="str">
            <v>S</v>
          </cell>
          <cell r="G43">
            <v>103.36</v>
          </cell>
        </row>
        <row r="44">
          <cell r="C44" t="str">
            <v>TX</v>
          </cell>
          <cell r="F44" t="str">
            <v>S</v>
          </cell>
        </row>
        <row r="45">
          <cell r="C45" t="str">
            <v>TX</v>
          </cell>
          <cell r="F45" t="str">
            <v>S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>
            <v>230</v>
          </cell>
          <cell r="F52" t="str">
            <v>S</v>
          </cell>
          <cell r="G52">
            <v>37.5</v>
          </cell>
        </row>
        <row r="53">
          <cell r="C53">
            <v>230</v>
          </cell>
          <cell r="F53" t="str">
            <v>S</v>
          </cell>
          <cell r="G53">
            <v>37.5</v>
          </cell>
        </row>
        <row r="54">
          <cell r="C54">
            <v>230</v>
          </cell>
          <cell r="F54" t="str">
            <v>S</v>
          </cell>
          <cell r="G54">
            <v>84.49</v>
          </cell>
        </row>
        <row r="55">
          <cell r="C55">
            <v>230</v>
          </cell>
          <cell r="F55" t="str">
            <v>S</v>
          </cell>
          <cell r="G55">
            <v>84.49</v>
          </cell>
        </row>
        <row r="56">
          <cell r="C56">
            <v>230</v>
          </cell>
          <cell r="F56" t="str">
            <v>S</v>
          </cell>
          <cell r="G56">
            <v>24.33</v>
          </cell>
        </row>
        <row r="57">
          <cell r="C57" t="str">
            <v>TX</v>
          </cell>
          <cell r="F57" t="str">
            <v>S</v>
          </cell>
        </row>
        <row r="58">
          <cell r="C58" t="str">
            <v>TX</v>
          </cell>
          <cell r="F58" t="str">
            <v>S</v>
          </cell>
        </row>
        <row r="59">
          <cell r="C59" t="str">
            <v>TX</v>
          </cell>
          <cell r="F59" t="str">
            <v>S</v>
          </cell>
        </row>
        <row r="60">
          <cell r="C60">
            <v>115</v>
          </cell>
          <cell r="F60" t="str">
            <v>S</v>
          </cell>
          <cell r="G60">
            <v>25</v>
          </cell>
        </row>
        <row r="61">
          <cell r="C61">
            <v>115</v>
          </cell>
          <cell r="F61" t="str">
            <v>S</v>
          </cell>
          <cell r="G61">
            <v>25</v>
          </cell>
        </row>
        <row r="62">
          <cell r="C62" t="str">
            <v>TX</v>
          </cell>
          <cell r="F62" t="str">
            <v>S</v>
          </cell>
        </row>
        <row r="63">
          <cell r="C63" t="str">
            <v>TX</v>
          </cell>
          <cell r="F63" t="str">
            <v>S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>
            <v>230</v>
          </cell>
          <cell r="F68" t="str">
            <v>S</v>
          </cell>
          <cell r="G68">
            <v>29.75</v>
          </cell>
        </row>
        <row r="69">
          <cell r="C69">
            <v>115</v>
          </cell>
          <cell r="F69" t="str">
            <v>S</v>
          </cell>
          <cell r="G69">
            <v>46.6</v>
          </cell>
        </row>
        <row r="70">
          <cell r="C70">
            <v>115</v>
          </cell>
          <cell r="F70" t="str">
            <v>S</v>
          </cell>
          <cell r="G70">
            <v>46.6</v>
          </cell>
        </row>
        <row r="71">
          <cell r="C71">
            <v>115</v>
          </cell>
          <cell r="F71" t="str">
            <v>S</v>
          </cell>
          <cell r="G71">
            <v>31.5</v>
          </cell>
        </row>
        <row r="72">
          <cell r="C72">
            <v>115</v>
          </cell>
          <cell r="F72" t="str">
            <v>S</v>
          </cell>
          <cell r="G72">
            <v>6.2</v>
          </cell>
        </row>
        <row r="73">
          <cell r="C73">
            <v>115</v>
          </cell>
          <cell r="F73" t="str">
            <v>S</v>
          </cell>
          <cell r="G73">
            <v>0.8</v>
          </cell>
        </row>
        <row r="74">
          <cell r="C74">
            <v>115</v>
          </cell>
          <cell r="F74" t="str">
            <v>S</v>
          </cell>
          <cell r="G74">
            <v>16.7</v>
          </cell>
        </row>
        <row r="75">
          <cell r="C75">
            <v>230</v>
          </cell>
          <cell r="F75" t="str">
            <v>S</v>
          </cell>
          <cell r="G75">
            <v>16</v>
          </cell>
        </row>
        <row r="76">
          <cell r="C76">
            <v>230</v>
          </cell>
          <cell r="F76" t="str">
            <v>S</v>
          </cell>
          <cell r="G76">
            <v>96.87</v>
          </cell>
        </row>
        <row r="77">
          <cell r="C77">
            <v>230</v>
          </cell>
          <cell r="F77" t="str">
            <v>S</v>
          </cell>
          <cell r="G77">
            <v>49.14</v>
          </cell>
        </row>
        <row r="78">
          <cell r="C78">
            <v>230</v>
          </cell>
          <cell r="F78" t="str">
            <v>S</v>
          </cell>
          <cell r="G78">
            <v>57</v>
          </cell>
        </row>
        <row r="79">
          <cell r="C79">
            <v>115</v>
          </cell>
          <cell r="F79" t="str">
            <v>S</v>
          </cell>
          <cell r="G79">
            <v>6.2</v>
          </cell>
        </row>
        <row r="80">
          <cell r="C80">
            <v>230</v>
          </cell>
          <cell r="F80" t="str">
            <v>S</v>
          </cell>
          <cell r="G80">
            <v>84.3</v>
          </cell>
        </row>
        <row r="81">
          <cell r="C81">
            <v>230</v>
          </cell>
          <cell r="F81" t="str">
            <v>S</v>
          </cell>
          <cell r="G81">
            <v>84.3</v>
          </cell>
        </row>
        <row r="82">
          <cell r="C82">
            <v>230</v>
          </cell>
          <cell r="F82" t="str">
            <v>S</v>
          </cell>
          <cell r="G82">
            <v>42.3</v>
          </cell>
        </row>
        <row r="83">
          <cell r="C83">
            <v>230</v>
          </cell>
          <cell r="F83" t="str">
            <v>S</v>
          </cell>
          <cell r="G83">
            <v>42.3</v>
          </cell>
        </row>
        <row r="84">
          <cell r="C84">
            <v>230</v>
          </cell>
          <cell r="F84" t="str">
            <v>S</v>
          </cell>
          <cell r="G84">
            <v>6</v>
          </cell>
        </row>
        <row r="85">
          <cell r="C85">
            <v>230</v>
          </cell>
          <cell r="F85" t="str">
            <v>S</v>
          </cell>
          <cell r="G85">
            <v>1.4</v>
          </cell>
        </row>
        <row r="86">
          <cell r="C86">
            <v>230</v>
          </cell>
          <cell r="F86" t="str">
            <v>S</v>
          </cell>
          <cell r="G86">
            <v>24.88</v>
          </cell>
        </row>
        <row r="87">
          <cell r="C87">
            <v>230</v>
          </cell>
          <cell r="F87" t="str">
            <v>S</v>
          </cell>
          <cell r="G87">
            <v>76.650000000000006</v>
          </cell>
        </row>
        <row r="88">
          <cell r="C88" t="str">
            <v>TX</v>
          </cell>
          <cell r="F88" t="str">
            <v>S</v>
          </cell>
        </row>
        <row r="89">
          <cell r="C89" t="str">
            <v>TX</v>
          </cell>
          <cell r="F89" t="str">
            <v>S</v>
          </cell>
        </row>
        <row r="90">
          <cell r="C90" t="str">
            <v>TX</v>
          </cell>
          <cell r="F90" t="str">
            <v>S</v>
          </cell>
        </row>
        <row r="91">
          <cell r="C91">
            <v>230</v>
          </cell>
          <cell r="F91" t="str">
            <v>S</v>
          </cell>
          <cell r="G91">
            <v>44</v>
          </cell>
        </row>
        <row r="92">
          <cell r="C92">
            <v>230</v>
          </cell>
          <cell r="F92" t="str">
            <v>S</v>
          </cell>
          <cell r="G92">
            <v>114.98</v>
          </cell>
        </row>
      </sheetData>
      <sheetData sheetId="3"/>
      <sheetData sheetId="4">
        <row r="3">
          <cell r="E3" t="str">
            <v xml:space="preserve"> 2.- Día Semihábil (sábado):</v>
          </cell>
        </row>
      </sheetData>
      <sheetData sheetId="5">
        <row r="2">
          <cell r="L2">
            <v>10391.438170650001</v>
          </cell>
        </row>
        <row r="17">
          <cell r="L17">
            <v>8728.5368300600003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3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7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9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6243</v>
          </cell>
          <cell r="B27">
            <v>230</v>
          </cell>
          <cell r="C27" t="str">
            <v>Vista Hermosa</v>
          </cell>
          <cell r="D27" t="str">
            <v>VHE230</v>
          </cell>
          <cell r="E27">
            <v>10</v>
          </cell>
        </row>
        <row r="28">
          <cell r="A28">
            <v>6260</v>
          </cell>
          <cell r="B28">
            <v>230</v>
          </cell>
          <cell r="C28" t="str">
            <v>Changuinola</v>
          </cell>
          <cell r="D28" t="str">
            <v>CHA230</v>
          </cell>
          <cell r="E28">
            <v>10</v>
          </cell>
        </row>
        <row r="29">
          <cell r="A29">
            <v>6261</v>
          </cell>
          <cell r="B29">
            <v>115</v>
          </cell>
          <cell r="C29" t="str">
            <v>Changuinola 115</v>
          </cell>
          <cell r="D29" t="str">
            <v>CHA115</v>
          </cell>
          <cell r="E29">
            <v>10</v>
          </cell>
        </row>
        <row r="30">
          <cell r="A30">
            <v>6262</v>
          </cell>
          <cell r="B30">
            <v>34.5</v>
          </cell>
          <cell r="C30" t="str">
            <v>Changuinola 34.5</v>
          </cell>
          <cell r="D30" t="str">
            <v>CHA34</v>
          </cell>
          <cell r="E30">
            <v>10</v>
          </cell>
        </row>
        <row r="31">
          <cell r="A31">
            <v>6263</v>
          </cell>
          <cell r="B31">
            <v>230</v>
          </cell>
          <cell r="C31" t="str">
            <v>La Esperanza</v>
          </cell>
          <cell r="D31" t="str">
            <v>ESP230</v>
          </cell>
          <cell r="E31">
            <v>10</v>
          </cell>
        </row>
        <row r="32">
          <cell r="A32">
            <v>6290</v>
          </cell>
          <cell r="B32">
            <v>115</v>
          </cell>
          <cell r="C32" t="str">
            <v>Cativá II</v>
          </cell>
          <cell r="D32" t="str">
            <v>CATII115</v>
          </cell>
          <cell r="E32">
            <v>9</v>
          </cell>
        </row>
        <row r="33">
          <cell r="A33">
            <v>6340</v>
          </cell>
          <cell r="B33">
            <v>230</v>
          </cell>
          <cell r="C33" t="str">
            <v>Cañazas</v>
          </cell>
          <cell r="D33" t="str">
            <v>CAN230</v>
          </cell>
          <cell r="E33">
            <v>10</v>
          </cell>
        </row>
        <row r="34">
          <cell r="A34">
            <v>6380</v>
          </cell>
          <cell r="B34">
            <v>230</v>
          </cell>
          <cell r="C34" t="str">
            <v>Boquerón III</v>
          </cell>
          <cell r="D34" t="str">
            <v>BOQIII230</v>
          </cell>
          <cell r="E34">
            <v>4</v>
          </cell>
        </row>
        <row r="35">
          <cell r="A35">
            <v>6440</v>
          </cell>
          <cell r="B35">
            <v>230</v>
          </cell>
          <cell r="C35" t="str">
            <v xml:space="preserve">Dominical </v>
          </cell>
          <cell r="D35" t="str">
            <v>DOM230</v>
          </cell>
          <cell r="E35">
            <v>4</v>
          </cell>
        </row>
        <row r="36">
          <cell r="A36">
            <v>6460</v>
          </cell>
          <cell r="B36">
            <v>230</v>
          </cell>
          <cell r="C36" t="str">
            <v>El Coco</v>
          </cell>
          <cell r="D36" t="str">
            <v>ECO230</v>
          </cell>
          <cell r="E36">
            <v>5</v>
          </cell>
        </row>
        <row r="37">
          <cell r="A37">
            <v>6470</v>
          </cell>
          <cell r="B37">
            <v>230</v>
          </cell>
          <cell r="C37" t="str">
            <v>24 de Diciembre</v>
          </cell>
          <cell r="D37" t="str">
            <v>24DIC230</v>
          </cell>
          <cell r="E37">
            <v>9</v>
          </cell>
        </row>
        <row r="38">
          <cell r="A38">
            <v>6510</v>
          </cell>
          <cell r="B38">
            <v>230</v>
          </cell>
          <cell r="C38" t="str">
            <v>Porton</v>
          </cell>
          <cell r="D38" t="str">
            <v>POR230</v>
          </cell>
          <cell r="E38">
            <v>4</v>
          </cell>
        </row>
        <row r="39">
          <cell r="A39">
            <v>6520</v>
          </cell>
          <cell r="B39">
            <v>230</v>
          </cell>
          <cell r="C39" t="str">
            <v>San Bartolo</v>
          </cell>
          <cell r="D39" t="str">
            <v>SBA230</v>
          </cell>
          <cell r="E39">
            <v>4</v>
          </cell>
        </row>
        <row r="40">
          <cell r="A40">
            <v>6550</v>
          </cell>
          <cell r="B40">
            <v>230</v>
          </cell>
          <cell r="C40" t="str">
            <v>Bella Vista</v>
          </cell>
          <cell r="D40" t="str">
            <v>BEV230</v>
          </cell>
          <cell r="E40">
            <v>4</v>
          </cell>
        </row>
        <row r="41">
          <cell r="A41">
            <v>6713</v>
          </cell>
          <cell r="B41">
            <v>230</v>
          </cell>
          <cell r="C41" t="str">
            <v>Burunga</v>
          </cell>
          <cell r="D41" t="str">
            <v>BUR230</v>
          </cell>
          <cell r="E41">
            <v>5</v>
          </cell>
        </row>
        <row r="42">
          <cell r="A42">
            <v>6787</v>
          </cell>
          <cell r="B42">
            <v>230</v>
          </cell>
          <cell r="C42" t="str">
            <v>Burica</v>
          </cell>
          <cell r="D42" t="str">
            <v>BCA230</v>
          </cell>
          <cell r="E42">
            <v>4</v>
          </cell>
        </row>
        <row r="43">
          <cell r="A43">
            <v>6830</v>
          </cell>
          <cell r="B43">
            <v>230</v>
          </cell>
          <cell r="C43" t="str">
            <v>Anton</v>
          </cell>
          <cell r="D43" t="str">
            <v>ANT230</v>
          </cell>
          <cell r="E43">
            <v>5</v>
          </cell>
        </row>
        <row r="44">
          <cell r="A44">
            <v>6840</v>
          </cell>
          <cell r="B44">
            <v>230</v>
          </cell>
          <cell r="C44" t="str">
            <v>Panama III 230</v>
          </cell>
          <cell r="D44" t="str">
            <v>PAN3 230</v>
          </cell>
          <cell r="E44">
            <v>7</v>
          </cell>
        </row>
        <row r="45">
          <cell r="A45">
            <v>6841</v>
          </cell>
          <cell r="B45">
            <v>115</v>
          </cell>
          <cell r="C45" t="str">
            <v>Panama III 115</v>
          </cell>
          <cell r="D45" t="str">
            <v>PAN3 115</v>
          </cell>
          <cell r="E45">
            <v>7</v>
          </cell>
        </row>
        <row r="46">
          <cell r="A46">
            <v>6843</v>
          </cell>
          <cell r="B46">
            <v>230</v>
          </cell>
          <cell r="C46" t="str">
            <v>Panama III - PM1</v>
          </cell>
          <cell r="D46" t="str">
            <v>PAN31 230</v>
          </cell>
          <cell r="E46">
            <v>7</v>
          </cell>
        </row>
        <row r="47">
          <cell r="A47">
            <v>6844</v>
          </cell>
          <cell r="B47">
            <v>230</v>
          </cell>
          <cell r="C47" t="str">
            <v>Panama III - PM2</v>
          </cell>
          <cell r="D47" t="str">
            <v>PAN32 230</v>
          </cell>
          <cell r="E47">
            <v>7</v>
          </cell>
        </row>
        <row r="48">
          <cell r="A48">
            <v>7000</v>
          </cell>
          <cell r="C48" t="str">
            <v>T1-Panama</v>
          </cell>
          <cell r="D48" t="str">
            <v>T1-PAN</v>
          </cell>
          <cell r="E48">
            <v>7</v>
          </cell>
        </row>
        <row r="49">
          <cell r="A49">
            <v>7001</v>
          </cell>
          <cell r="C49" t="str">
            <v>T2-Panama</v>
          </cell>
          <cell r="D49" t="str">
            <v>T2-PAN</v>
          </cell>
          <cell r="E49">
            <v>7</v>
          </cell>
        </row>
        <row r="50">
          <cell r="A50">
            <v>7002</v>
          </cell>
          <cell r="C50" t="str">
            <v>T3-Panama</v>
          </cell>
          <cell r="D50" t="str">
            <v>T3-PAN</v>
          </cell>
          <cell r="E50">
            <v>7</v>
          </cell>
        </row>
        <row r="51">
          <cell r="A51">
            <v>7003</v>
          </cell>
          <cell r="C51" t="str">
            <v>T5-Panama</v>
          </cell>
          <cell r="D51" t="str">
            <v>T5-PAN</v>
          </cell>
          <cell r="E51">
            <v>7</v>
          </cell>
        </row>
        <row r="52">
          <cell r="A52">
            <v>7004</v>
          </cell>
          <cell r="C52" t="str">
            <v>T1-PanamaII</v>
          </cell>
          <cell r="D52" t="str">
            <v>T1-PANII</v>
          </cell>
          <cell r="E52">
            <v>7</v>
          </cell>
        </row>
        <row r="53">
          <cell r="A53">
            <v>7005</v>
          </cell>
          <cell r="C53" t="str">
            <v>T2-PanamaII</v>
          </cell>
          <cell r="D53" t="str">
            <v>T2-PANII</v>
          </cell>
          <cell r="E53">
            <v>7</v>
          </cell>
        </row>
        <row r="54">
          <cell r="A54">
            <v>7006</v>
          </cell>
          <cell r="C54" t="str">
            <v>T3-PanamaII</v>
          </cell>
          <cell r="D54" t="str">
            <v>T3-PANII</v>
          </cell>
          <cell r="E54">
            <v>7</v>
          </cell>
        </row>
        <row r="55">
          <cell r="A55">
            <v>7007</v>
          </cell>
          <cell r="C55" t="str">
            <v>T1-Chorrera</v>
          </cell>
          <cell r="D55" t="str">
            <v>T1-CHO</v>
          </cell>
          <cell r="E55">
            <v>6</v>
          </cell>
        </row>
        <row r="56">
          <cell r="A56">
            <v>7008</v>
          </cell>
          <cell r="C56" t="str">
            <v>T2-Chorrera</v>
          </cell>
          <cell r="D56" t="str">
            <v>T2-CHO</v>
          </cell>
          <cell r="E56">
            <v>6</v>
          </cell>
        </row>
        <row r="57">
          <cell r="A57">
            <v>7009</v>
          </cell>
          <cell r="C57" t="str">
            <v>T3-Chorrera</v>
          </cell>
          <cell r="D57" t="str">
            <v>T3-CHO</v>
          </cell>
          <cell r="E57">
            <v>6</v>
          </cell>
        </row>
        <row r="58">
          <cell r="A58">
            <v>7010</v>
          </cell>
          <cell r="C58" t="str">
            <v>T1-Llano Sanchez</v>
          </cell>
          <cell r="D58" t="str">
            <v>T1-LSA</v>
          </cell>
          <cell r="E58">
            <v>5</v>
          </cell>
        </row>
        <row r="59">
          <cell r="A59">
            <v>7011</v>
          </cell>
          <cell r="C59" t="str">
            <v>T2-Llano Sanchez</v>
          </cell>
          <cell r="D59" t="str">
            <v>T2-LSA</v>
          </cell>
          <cell r="E59">
            <v>5</v>
          </cell>
        </row>
        <row r="60">
          <cell r="A60">
            <v>7012</v>
          </cell>
          <cell r="C60" t="str">
            <v>T3-Llano Sanchez</v>
          </cell>
          <cell r="D60" t="str">
            <v>T3-LSA</v>
          </cell>
          <cell r="E60">
            <v>5</v>
          </cell>
        </row>
        <row r="61">
          <cell r="A61">
            <v>7013</v>
          </cell>
          <cell r="C61" t="str">
            <v>T1-Mata de Nance</v>
          </cell>
          <cell r="D61" t="str">
            <v>T1-MDN</v>
          </cell>
          <cell r="E61">
            <v>4</v>
          </cell>
        </row>
        <row r="62">
          <cell r="A62">
            <v>7014</v>
          </cell>
          <cell r="C62" t="str">
            <v>T2-Mata de Nance</v>
          </cell>
          <cell r="D62" t="str">
            <v>T2-MDN</v>
          </cell>
          <cell r="E62">
            <v>4</v>
          </cell>
        </row>
        <row r="63">
          <cell r="A63">
            <v>7015</v>
          </cell>
          <cell r="C63" t="str">
            <v>T3-Mata de Nance</v>
          </cell>
          <cell r="D63" t="str">
            <v>T3-MDN</v>
          </cell>
          <cell r="E63">
            <v>5</v>
          </cell>
        </row>
        <row r="64">
          <cell r="A64">
            <v>7016</v>
          </cell>
          <cell r="C64" t="str">
            <v>T1-Changuinola</v>
          </cell>
          <cell r="D64" t="str">
            <v>T1-CHA</v>
          </cell>
          <cell r="E64">
            <v>10</v>
          </cell>
        </row>
        <row r="65">
          <cell r="A65">
            <v>7017</v>
          </cell>
          <cell r="C65" t="str">
            <v>T1-PanamaIII</v>
          </cell>
          <cell r="D65" t="str">
            <v>T1-PANIII</v>
          </cell>
          <cell r="E65">
            <v>7</v>
          </cell>
        </row>
        <row r="66">
          <cell r="A66">
            <v>7018</v>
          </cell>
          <cell r="C66" t="str">
            <v>T2-PanamaIII</v>
          </cell>
          <cell r="D66" t="str">
            <v>T2-PANIII</v>
          </cell>
          <cell r="E66">
            <v>7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12.94</v>
          </cell>
        </row>
        <row r="3">
          <cell r="C3">
            <v>230</v>
          </cell>
          <cell r="F3" t="str">
            <v>S</v>
          </cell>
          <cell r="G3">
            <v>12.94</v>
          </cell>
        </row>
        <row r="4">
          <cell r="C4">
            <v>230</v>
          </cell>
          <cell r="F4" t="str">
            <v>S</v>
          </cell>
          <cell r="G4">
            <v>40.299999999999997</v>
          </cell>
        </row>
        <row r="5">
          <cell r="C5">
            <v>230</v>
          </cell>
          <cell r="F5" t="str">
            <v>S</v>
          </cell>
          <cell r="G5">
            <v>40.299999999999997</v>
          </cell>
        </row>
        <row r="6">
          <cell r="C6" t="str">
            <v>TX</v>
          </cell>
          <cell r="F6" t="str">
            <v>S</v>
          </cell>
        </row>
        <row r="7">
          <cell r="C7" t="str">
            <v>TX</v>
          </cell>
          <cell r="F7" t="str">
            <v>S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>
            <v>115</v>
          </cell>
          <cell r="F10" t="str">
            <v>S</v>
          </cell>
          <cell r="G10">
            <v>0.8</v>
          </cell>
        </row>
        <row r="11">
          <cell r="C11">
            <v>115</v>
          </cell>
          <cell r="F11" t="str">
            <v>S</v>
          </cell>
          <cell r="G11">
            <v>0.8</v>
          </cell>
        </row>
        <row r="12">
          <cell r="C12">
            <v>115</v>
          </cell>
          <cell r="F12" t="str">
            <v>S</v>
          </cell>
          <cell r="G12">
            <v>0.8</v>
          </cell>
        </row>
        <row r="13">
          <cell r="C13">
            <v>115</v>
          </cell>
          <cell r="F13" t="str">
            <v>S</v>
          </cell>
          <cell r="G13">
            <v>22.5</v>
          </cell>
        </row>
        <row r="14">
          <cell r="C14">
            <v>115</v>
          </cell>
          <cell r="F14" t="str">
            <v>S</v>
          </cell>
          <cell r="G14">
            <v>40.700000000000003</v>
          </cell>
        </row>
        <row r="15">
          <cell r="C15" t="str">
            <v>TX</v>
          </cell>
          <cell r="F15" t="str">
            <v>S</v>
          </cell>
        </row>
        <row r="16">
          <cell r="C16" t="str">
            <v>TX</v>
          </cell>
          <cell r="F16" t="str">
            <v>S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>
            <v>230</v>
          </cell>
          <cell r="F19" t="str">
            <v>S</v>
          </cell>
          <cell r="G19">
            <v>19</v>
          </cell>
        </row>
        <row r="20">
          <cell r="C20">
            <v>230</v>
          </cell>
          <cell r="F20" t="str">
            <v>S</v>
          </cell>
          <cell r="G20">
            <v>150.33000000000001</v>
          </cell>
        </row>
        <row r="21">
          <cell r="C21">
            <v>230</v>
          </cell>
          <cell r="F21" t="str">
            <v>S</v>
          </cell>
          <cell r="G21">
            <v>9.1</v>
          </cell>
        </row>
        <row r="22">
          <cell r="C22">
            <v>230</v>
          </cell>
          <cell r="F22" t="str">
            <v>S</v>
          </cell>
          <cell r="G22">
            <v>35.340000000000003</v>
          </cell>
        </row>
        <row r="23">
          <cell r="C23" t="str">
            <v>TX</v>
          </cell>
          <cell r="F23" t="str">
            <v>S</v>
          </cell>
        </row>
        <row r="24">
          <cell r="C24" t="str">
            <v>TX</v>
          </cell>
          <cell r="F24" t="str">
            <v>S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>
            <v>230</v>
          </cell>
          <cell r="F29" t="str">
            <v>S</v>
          </cell>
          <cell r="G29">
            <v>60.5</v>
          </cell>
        </row>
        <row r="30">
          <cell r="C30">
            <v>230</v>
          </cell>
          <cell r="F30" t="str">
            <v>S</v>
          </cell>
          <cell r="G30">
            <v>60.5</v>
          </cell>
        </row>
        <row r="31">
          <cell r="C31">
            <v>230</v>
          </cell>
          <cell r="F31" t="str">
            <v>SD</v>
          </cell>
          <cell r="G31">
            <v>60.5</v>
          </cell>
        </row>
        <row r="32">
          <cell r="C32">
            <v>230</v>
          </cell>
          <cell r="F32" t="str">
            <v>SD</v>
          </cell>
          <cell r="G32">
            <v>60.5</v>
          </cell>
        </row>
        <row r="33">
          <cell r="C33">
            <v>230</v>
          </cell>
          <cell r="F33" t="str">
            <v>SD</v>
          </cell>
          <cell r="G33">
            <v>110.21</v>
          </cell>
        </row>
        <row r="34">
          <cell r="C34">
            <v>230</v>
          </cell>
          <cell r="F34" t="str">
            <v>SD</v>
          </cell>
          <cell r="G34">
            <v>110.21</v>
          </cell>
        </row>
        <row r="35">
          <cell r="C35">
            <v>230</v>
          </cell>
          <cell r="F35" t="str">
            <v>S</v>
          </cell>
          <cell r="G35">
            <v>109.36</v>
          </cell>
        </row>
        <row r="36">
          <cell r="C36">
            <v>230</v>
          </cell>
          <cell r="F36" t="str">
            <v>S</v>
          </cell>
          <cell r="G36">
            <v>81.55</v>
          </cell>
        </row>
        <row r="37">
          <cell r="C37">
            <v>230</v>
          </cell>
          <cell r="F37" t="str">
            <v>S</v>
          </cell>
          <cell r="G37">
            <v>81.55</v>
          </cell>
        </row>
        <row r="38">
          <cell r="C38">
            <v>230</v>
          </cell>
          <cell r="F38" t="str">
            <v>S</v>
          </cell>
          <cell r="G38">
            <v>44.67</v>
          </cell>
        </row>
        <row r="39">
          <cell r="C39">
            <v>230</v>
          </cell>
          <cell r="F39" t="str">
            <v>S</v>
          </cell>
          <cell r="G39">
            <v>44.67</v>
          </cell>
        </row>
        <row r="40">
          <cell r="C40">
            <v>230</v>
          </cell>
          <cell r="F40" t="str">
            <v>S</v>
          </cell>
          <cell r="G40">
            <v>67.7</v>
          </cell>
        </row>
        <row r="41">
          <cell r="C41">
            <v>230</v>
          </cell>
          <cell r="F41" t="str">
            <v>S</v>
          </cell>
          <cell r="G41">
            <v>67.7</v>
          </cell>
        </row>
        <row r="42">
          <cell r="C42">
            <v>230</v>
          </cell>
          <cell r="F42" t="str">
            <v>S</v>
          </cell>
          <cell r="G42">
            <v>103.36</v>
          </cell>
        </row>
        <row r="43">
          <cell r="C43">
            <v>230</v>
          </cell>
          <cell r="F43" t="str">
            <v>SD</v>
          </cell>
          <cell r="G43">
            <v>94.44</v>
          </cell>
        </row>
        <row r="44">
          <cell r="C44">
            <v>230</v>
          </cell>
          <cell r="F44" t="str">
            <v>SD</v>
          </cell>
          <cell r="G44">
            <v>94.44</v>
          </cell>
        </row>
        <row r="45">
          <cell r="C45" t="str">
            <v>TX</v>
          </cell>
          <cell r="F45" t="str">
            <v>S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 t="str">
            <v>TX</v>
          </cell>
          <cell r="F52" t="str">
            <v>S</v>
          </cell>
        </row>
        <row r="53">
          <cell r="C53">
            <v>230</v>
          </cell>
          <cell r="F53" t="str">
            <v>S</v>
          </cell>
          <cell r="G53">
            <v>37.5</v>
          </cell>
        </row>
        <row r="54">
          <cell r="C54">
            <v>230</v>
          </cell>
          <cell r="F54" t="str">
            <v>S</v>
          </cell>
          <cell r="G54">
            <v>37.5</v>
          </cell>
        </row>
        <row r="55">
          <cell r="C55">
            <v>230</v>
          </cell>
          <cell r="F55" t="str">
            <v>S</v>
          </cell>
          <cell r="G55">
            <v>84.49</v>
          </cell>
        </row>
        <row r="56">
          <cell r="C56">
            <v>230</v>
          </cell>
          <cell r="F56" t="str">
            <v>S</v>
          </cell>
          <cell r="G56">
            <v>84.49</v>
          </cell>
        </row>
        <row r="57">
          <cell r="C57">
            <v>230</v>
          </cell>
          <cell r="F57" t="str">
            <v>S</v>
          </cell>
          <cell r="G57">
            <v>24.33</v>
          </cell>
        </row>
        <row r="58">
          <cell r="C58" t="str">
            <v>TX</v>
          </cell>
          <cell r="F58" t="str">
            <v>S</v>
          </cell>
        </row>
        <row r="59">
          <cell r="C59" t="str">
            <v>TX</v>
          </cell>
          <cell r="F59" t="str">
            <v>S</v>
          </cell>
        </row>
        <row r="60">
          <cell r="C60" t="str">
            <v>TX</v>
          </cell>
          <cell r="F60" t="str">
            <v>S</v>
          </cell>
        </row>
        <row r="61">
          <cell r="C61">
            <v>115</v>
          </cell>
          <cell r="F61" t="str">
            <v>S</v>
          </cell>
          <cell r="G61">
            <v>25</v>
          </cell>
        </row>
        <row r="62">
          <cell r="C62">
            <v>115</v>
          </cell>
          <cell r="F62" t="str">
            <v>S</v>
          </cell>
          <cell r="G62">
            <v>25</v>
          </cell>
        </row>
        <row r="63">
          <cell r="C63" t="str">
            <v>TX</v>
          </cell>
          <cell r="F63" t="str">
            <v>S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 t="str">
            <v>TX</v>
          </cell>
          <cell r="F68" t="str">
            <v>S</v>
          </cell>
        </row>
        <row r="69">
          <cell r="C69">
            <v>230</v>
          </cell>
          <cell r="F69" t="str">
            <v>S</v>
          </cell>
          <cell r="G69">
            <v>29.75</v>
          </cell>
        </row>
        <row r="70">
          <cell r="C70">
            <v>230</v>
          </cell>
          <cell r="F70" t="str">
            <v>S</v>
          </cell>
          <cell r="G70">
            <v>54</v>
          </cell>
        </row>
        <row r="71">
          <cell r="C71">
            <v>230</v>
          </cell>
          <cell r="F71" t="str">
            <v>S</v>
          </cell>
          <cell r="G71">
            <v>14</v>
          </cell>
        </row>
        <row r="72">
          <cell r="C72">
            <v>115</v>
          </cell>
          <cell r="F72" t="str">
            <v>S</v>
          </cell>
          <cell r="G72">
            <v>46.6</v>
          </cell>
        </row>
        <row r="73">
          <cell r="C73">
            <v>115</v>
          </cell>
          <cell r="F73" t="str">
            <v>S</v>
          </cell>
          <cell r="G73">
            <v>46.6</v>
          </cell>
        </row>
        <row r="74">
          <cell r="C74">
            <v>115</v>
          </cell>
          <cell r="F74" t="str">
            <v>S</v>
          </cell>
          <cell r="G74">
            <v>31.5</v>
          </cell>
        </row>
        <row r="75">
          <cell r="C75">
            <v>115</v>
          </cell>
          <cell r="F75" t="str">
            <v>S</v>
          </cell>
          <cell r="G75">
            <v>6.2</v>
          </cell>
        </row>
        <row r="76">
          <cell r="C76">
            <v>115</v>
          </cell>
          <cell r="F76" t="str">
            <v>S</v>
          </cell>
          <cell r="G76">
            <v>0.8</v>
          </cell>
        </row>
        <row r="77">
          <cell r="C77">
            <v>115</v>
          </cell>
          <cell r="F77" t="str">
            <v>S</v>
          </cell>
          <cell r="G77">
            <v>16.7</v>
          </cell>
        </row>
        <row r="78">
          <cell r="C78">
            <v>230</v>
          </cell>
          <cell r="F78" t="str">
            <v>S</v>
          </cell>
          <cell r="G78">
            <v>16</v>
          </cell>
        </row>
        <row r="79">
          <cell r="C79">
            <v>230</v>
          </cell>
          <cell r="F79" t="str">
            <v>S</v>
          </cell>
          <cell r="G79">
            <v>96.87</v>
          </cell>
        </row>
        <row r="80">
          <cell r="C80">
            <v>230</v>
          </cell>
          <cell r="F80" t="str">
            <v>S</v>
          </cell>
          <cell r="G80">
            <v>49.14</v>
          </cell>
        </row>
        <row r="81">
          <cell r="C81">
            <v>230</v>
          </cell>
          <cell r="F81" t="str">
            <v>S</v>
          </cell>
          <cell r="G81">
            <v>57</v>
          </cell>
        </row>
        <row r="82">
          <cell r="C82">
            <v>115</v>
          </cell>
          <cell r="F82" t="str">
            <v>S</v>
          </cell>
          <cell r="G82">
            <v>6.2</v>
          </cell>
        </row>
        <row r="83">
          <cell r="C83">
            <v>230</v>
          </cell>
          <cell r="F83" t="str">
            <v>S</v>
          </cell>
          <cell r="G83">
            <v>84.3</v>
          </cell>
        </row>
        <row r="84">
          <cell r="C84">
            <v>230</v>
          </cell>
          <cell r="F84" t="str">
            <v>S</v>
          </cell>
          <cell r="G84">
            <v>84.3</v>
          </cell>
        </row>
        <row r="85">
          <cell r="C85">
            <v>230</v>
          </cell>
          <cell r="F85" t="str">
            <v>S</v>
          </cell>
          <cell r="G85">
            <v>142</v>
          </cell>
        </row>
        <row r="86">
          <cell r="C86">
            <v>230</v>
          </cell>
          <cell r="F86" t="str">
            <v>S</v>
          </cell>
          <cell r="G86">
            <v>42.3</v>
          </cell>
        </row>
        <row r="87">
          <cell r="C87">
            <v>230</v>
          </cell>
          <cell r="F87" t="str">
            <v>S</v>
          </cell>
          <cell r="G87">
            <v>42.3</v>
          </cell>
        </row>
        <row r="88">
          <cell r="C88">
            <v>230</v>
          </cell>
          <cell r="F88" t="str">
            <v>S</v>
          </cell>
          <cell r="G88">
            <v>6</v>
          </cell>
        </row>
        <row r="89">
          <cell r="C89">
            <v>230</v>
          </cell>
          <cell r="F89" t="str">
            <v>S</v>
          </cell>
          <cell r="G89">
            <v>1.4</v>
          </cell>
        </row>
        <row r="90">
          <cell r="C90">
            <v>230</v>
          </cell>
          <cell r="F90" t="str">
            <v>S</v>
          </cell>
          <cell r="G90">
            <v>24.88</v>
          </cell>
        </row>
        <row r="91">
          <cell r="C91">
            <v>230</v>
          </cell>
          <cell r="F91" t="str">
            <v>S</v>
          </cell>
          <cell r="G91">
            <v>76.650000000000006</v>
          </cell>
        </row>
        <row r="92">
          <cell r="C92" t="str">
            <v>TX</v>
          </cell>
          <cell r="F92" t="str">
            <v>S</v>
          </cell>
        </row>
        <row r="93">
          <cell r="C93" t="str">
            <v>TX</v>
          </cell>
          <cell r="F93" t="str">
            <v>S</v>
          </cell>
        </row>
        <row r="94">
          <cell r="C94" t="str">
            <v>TX</v>
          </cell>
          <cell r="F94" t="str">
            <v>S</v>
          </cell>
        </row>
        <row r="95">
          <cell r="C95">
            <v>230</v>
          </cell>
          <cell r="F95" t="str">
            <v>S</v>
          </cell>
          <cell r="G95">
            <v>44</v>
          </cell>
        </row>
        <row r="96">
          <cell r="C96">
            <v>230</v>
          </cell>
          <cell r="F96" t="str">
            <v>S</v>
          </cell>
          <cell r="G96">
            <v>13</v>
          </cell>
        </row>
        <row r="97">
          <cell r="C97">
            <v>230</v>
          </cell>
          <cell r="F97" t="str">
            <v>S</v>
          </cell>
          <cell r="G97">
            <v>114.98</v>
          </cell>
        </row>
        <row r="98">
          <cell r="C98">
            <v>230</v>
          </cell>
          <cell r="F98" t="str">
            <v>S</v>
          </cell>
          <cell r="G98">
            <v>114.98</v>
          </cell>
        </row>
        <row r="99">
          <cell r="C99">
            <v>230</v>
          </cell>
          <cell r="F99" t="str">
            <v>S</v>
          </cell>
          <cell r="G99">
            <v>7</v>
          </cell>
        </row>
        <row r="100">
          <cell r="C100">
            <v>230</v>
          </cell>
          <cell r="F100" t="str">
            <v>SD</v>
          </cell>
          <cell r="G100">
            <v>3.13</v>
          </cell>
        </row>
        <row r="101">
          <cell r="C101">
            <v>230</v>
          </cell>
          <cell r="F101" t="str">
            <v>SD</v>
          </cell>
          <cell r="G101">
            <v>3.13</v>
          </cell>
        </row>
        <row r="102">
          <cell r="C102">
            <v>230</v>
          </cell>
          <cell r="F102" t="str">
            <v>SD</v>
          </cell>
          <cell r="G102">
            <v>34.36</v>
          </cell>
        </row>
        <row r="103">
          <cell r="C103">
            <v>230</v>
          </cell>
          <cell r="F103" t="str">
            <v>SD</v>
          </cell>
          <cell r="G103">
            <v>34.36</v>
          </cell>
        </row>
        <row r="104">
          <cell r="C104">
            <v>230</v>
          </cell>
          <cell r="F104" t="str">
            <v>S</v>
          </cell>
          <cell r="G104">
            <v>15</v>
          </cell>
        </row>
        <row r="105">
          <cell r="C105">
            <v>230</v>
          </cell>
          <cell r="F105" t="str">
            <v>S</v>
          </cell>
          <cell r="G105">
            <v>15</v>
          </cell>
        </row>
        <row r="106">
          <cell r="C106">
            <v>230</v>
          </cell>
          <cell r="F106" t="str">
            <v>S</v>
          </cell>
          <cell r="G106">
            <v>20</v>
          </cell>
        </row>
        <row r="107">
          <cell r="C107">
            <v>230</v>
          </cell>
          <cell r="F107" t="str">
            <v>S</v>
          </cell>
          <cell r="G107">
            <v>20</v>
          </cell>
        </row>
        <row r="108">
          <cell r="C108" t="str">
            <v>TX</v>
          </cell>
          <cell r="F108" t="str">
            <v>S</v>
          </cell>
        </row>
        <row r="109">
          <cell r="C109" t="str">
            <v>TX</v>
          </cell>
          <cell r="F109" t="str">
            <v>S</v>
          </cell>
        </row>
        <row r="110">
          <cell r="C110" t="str">
            <v>TX</v>
          </cell>
          <cell r="F110" t="str">
            <v>S</v>
          </cell>
        </row>
        <row r="111">
          <cell r="C111" t="str">
            <v>TX</v>
          </cell>
          <cell r="F111" t="str">
            <v>S</v>
          </cell>
        </row>
        <row r="112">
          <cell r="C112">
            <v>230</v>
          </cell>
          <cell r="F112" t="str">
            <v>SD</v>
          </cell>
          <cell r="G112">
            <v>3.13</v>
          </cell>
        </row>
        <row r="113">
          <cell r="C113">
            <v>230</v>
          </cell>
          <cell r="F113" t="str">
            <v>SD</v>
          </cell>
          <cell r="G113">
            <v>3.13</v>
          </cell>
        </row>
        <row r="114">
          <cell r="C114">
            <v>230</v>
          </cell>
          <cell r="F114" t="str">
            <v>SD</v>
          </cell>
          <cell r="G114">
            <v>34.36</v>
          </cell>
        </row>
        <row r="115">
          <cell r="C115">
            <v>230</v>
          </cell>
          <cell r="F115" t="str">
            <v>SD</v>
          </cell>
          <cell r="G115">
            <v>34.36</v>
          </cell>
        </row>
      </sheetData>
      <sheetData sheetId="3"/>
      <sheetData sheetId="4">
        <row r="3">
          <cell r="E3" t="str">
            <v xml:space="preserve"> 2.- Día Semihábil (sábado):</v>
          </cell>
        </row>
      </sheetData>
      <sheetData sheetId="5">
        <row r="2">
          <cell r="L2">
            <v>10391.438170650001</v>
          </cell>
        </row>
        <row r="17">
          <cell r="L17">
            <v>8728.5368300600003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4</v>
          </cell>
          <cell r="C1" t="str">
            <v>2020-2021</v>
          </cell>
        </row>
        <row r="3">
          <cell r="B3">
            <v>51220.151770625169</v>
          </cell>
          <cell r="D3">
            <v>2780.9600000000005</v>
          </cell>
        </row>
        <row r="4">
          <cell r="B4">
            <v>43806.034477544112</v>
          </cell>
          <cell r="D4">
            <v>2510.7600000000007</v>
          </cell>
          <cell r="F4">
            <v>17.447320523484564</v>
          </cell>
        </row>
        <row r="5">
          <cell r="B5">
            <v>7414.117293081059</v>
          </cell>
          <cell r="D5">
            <v>270.2</v>
          </cell>
          <cell r="F5">
            <v>27.439368220137155</v>
          </cell>
        </row>
        <row r="7">
          <cell r="B7">
            <v>55642.054105485877</v>
          </cell>
          <cell r="C7">
            <v>1</v>
          </cell>
          <cell r="D7">
            <v>605.28</v>
          </cell>
          <cell r="E7">
            <v>1</v>
          </cell>
          <cell r="F7">
            <v>91.927792270496099</v>
          </cell>
          <cell r="G7" t="str">
            <v>(230 kV)</v>
          </cell>
        </row>
        <row r="11">
          <cell r="B11">
            <v>294.5</v>
          </cell>
          <cell r="C11">
            <v>537.79999999999995</v>
          </cell>
          <cell r="D11">
            <v>155.26999999999998</v>
          </cell>
          <cell r="E11">
            <v>375.70699999999999</v>
          </cell>
          <cell r="F11">
            <v>606.81000000000006</v>
          </cell>
          <cell r="G11">
            <v>147</v>
          </cell>
          <cell r="H11">
            <v>195.98</v>
          </cell>
          <cell r="I11">
            <v>260</v>
          </cell>
          <cell r="J11">
            <v>2263.5299999999997</v>
          </cell>
          <cell r="K11">
            <v>252.17</v>
          </cell>
        </row>
        <row r="12">
          <cell r="B12">
            <v>40.409999999999997</v>
          </cell>
          <cell r="C12">
            <v>0</v>
          </cell>
          <cell r="D12">
            <v>0.11</v>
          </cell>
          <cell r="E12">
            <v>114.53</v>
          </cell>
          <cell r="F12">
            <v>240.34983529537578</v>
          </cell>
          <cell r="G12">
            <v>171.22199929453993</v>
          </cell>
          <cell r="H12">
            <v>1109.707575574758</v>
          </cell>
          <cell r="I12">
            <v>0</v>
          </cell>
          <cell r="J12">
            <v>142.61050338355616</v>
          </cell>
          <cell r="K12">
            <v>92.82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7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9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6243</v>
          </cell>
          <cell r="B27">
            <v>230</v>
          </cell>
          <cell r="C27" t="str">
            <v>Vista Hermosa</v>
          </cell>
          <cell r="D27" t="str">
            <v>VHE230</v>
          </cell>
          <cell r="E27">
            <v>10</v>
          </cell>
        </row>
        <row r="28">
          <cell r="A28">
            <v>6260</v>
          </cell>
          <cell r="B28">
            <v>230</v>
          </cell>
          <cell r="C28" t="str">
            <v>Changuinola</v>
          </cell>
          <cell r="D28" t="str">
            <v>CHA230</v>
          </cell>
          <cell r="E28">
            <v>10</v>
          </cell>
        </row>
        <row r="29">
          <cell r="A29">
            <v>6261</v>
          </cell>
          <cell r="B29">
            <v>115</v>
          </cell>
          <cell r="C29" t="str">
            <v>Changuinola 115</v>
          </cell>
          <cell r="D29" t="str">
            <v>CHA115</v>
          </cell>
          <cell r="E29">
            <v>10</v>
          </cell>
        </row>
        <row r="30">
          <cell r="A30">
            <v>6262</v>
          </cell>
          <cell r="B30">
            <v>34.5</v>
          </cell>
          <cell r="C30" t="str">
            <v>Changuinola 34.5</v>
          </cell>
          <cell r="D30" t="str">
            <v>CHA34</v>
          </cell>
          <cell r="E30">
            <v>10</v>
          </cell>
        </row>
        <row r="31">
          <cell r="A31">
            <v>6263</v>
          </cell>
          <cell r="B31">
            <v>230</v>
          </cell>
          <cell r="C31" t="str">
            <v>La Esperanza</v>
          </cell>
          <cell r="D31" t="str">
            <v>ESP230</v>
          </cell>
          <cell r="E31">
            <v>10</v>
          </cell>
        </row>
        <row r="32">
          <cell r="A32">
            <v>6290</v>
          </cell>
          <cell r="B32">
            <v>115</v>
          </cell>
          <cell r="C32" t="str">
            <v>Cativá II</v>
          </cell>
          <cell r="D32" t="str">
            <v>CATII115</v>
          </cell>
          <cell r="E32">
            <v>9</v>
          </cell>
        </row>
        <row r="33">
          <cell r="A33">
            <v>6340</v>
          </cell>
          <cell r="B33">
            <v>230</v>
          </cell>
          <cell r="C33" t="str">
            <v>Cañazas</v>
          </cell>
          <cell r="D33" t="str">
            <v>CAN230</v>
          </cell>
          <cell r="E33">
            <v>10</v>
          </cell>
        </row>
        <row r="34">
          <cell r="A34">
            <v>6380</v>
          </cell>
          <cell r="B34">
            <v>230</v>
          </cell>
          <cell r="C34" t="str">
            <v>Boquerón III</v>
          </cell>
          <cell r="D34" t="str">
            <v>BOQIII230</v>
          </cell>
          <cell r="E34">
            <v>4</v>
          </cell>
        </row>
        <row r="35">
          <cell r="A35">
            <v>6440</v>
          </cell>
          <cell r="B35">
            <v>230</v>
          </cell>
          <cell r="C35" t="str">
            <v xml:space="preserve">Dominical </v>
          </cell>
          <cell r="D35" t="str">
            <v>DOM230</v>
          </cell>
          <cell r="E35">
            <v>4</v>
          </cell>
        </row>
        <row r="36">
          <cell r="A36">
            <v>6460</v>
          </cell>
          <cell r="B36">
            <v>230</v>
          </cell>
          <cell r="C36" t="str">
            <v>El Coco</v>
          </cell>
          <cell r="D36" t="str">
            <v>ECO230</v>
          </cell>
          <cell r="E36">
            <v>5</v>
          </cell>
        </row>
        <row r="37">
          <cell r="A37">
            <v>6470</v>
          </cell>
          <cell r="B37">
            <v>230</v>
          </cell>
          <cell r="C37" t="str">
            <v>24 de Diciembre</v>
          </cell>
          <cell r="D37" t="str">
            <v>24DIC230</v>
          </cell>
          <cell r="E37">
            <v>9</v>
          </cell>
        </row>
        <row r="38">
          <cell r="A38">
            <v>6510</v>
          </cell>
          <cell r="B38">
            <v>230</v>
          </cell>
          <cell r="C38" t="str">
            <v>Porton</v>
          </cell>
          <cell r="D38" t="str">
            <v>POR230</v>
          </cell>
          <cell r="E38">
            <v>4</v>
          </cell>
        </row>
        <row r="39">
          <cell r="A39">
            <v>6520</v>
          </cell>
          <cell r="B39">
            <v>230</v>
          </cell>
          <cell r="C39" t="str">
            <v>San Bartolo</v>
          </cell>
          <cell r="D39" t="str">
            <v>SBA230</v>
          </cell>
          <cell r="E39">
            <v>4</v>
          </cell>
        </row>
        <row r="40">
          <cell r="A40">
            <v>6550</v>
          </cell>
          <cell r="B40">
            <v>230</v>
          </cell>
          <cell r="C40" t="str">
            <v>Bella Vista</v>
          </cell>
          <cell r="D40" t="str">
            <v>BEV230</v>
          </cell>
          <cell r="E40">
            <v>4</v>
          </cell>
        </row>
        <row r="41">
          <cell r="A41">
            <v>6713</v>
          </cell>
          <cell r="B41">
            <v>230</v>
          </cell>
          <cell r="C41" t="str">
            <v>Burunga</v>
          </cell>
          <cell r="D41" t="str">
            <v>BUR230</v>
          </cell>
          <cell r="E41">
            <v>5</v>
          </cell>
        </row>
        <row r="42">
          <cell r="A42">
            <v>6787</v>
          </cell>
          <cell r="B42">
            <v>230</v>
          </cell>
          <cell r="C42" t="str">
            <v>Burica</v>
          </cell>
          <cell r="D42" t="str">
            <v>BCA230</v>
          </cell>
          <cell r="E42">
            <v>4</v>
          </cell>
        </row>
        <row r="43">
          <cell r="A43">
            <v>6801</v>
          </cell>
          <cell r="B43">
            <v>230</v>
          </cell>
          <cell r="C43" t="str">
            <v>Sabanitas</v>
          </cell>
          <cell r="D43" t="str">
            <v>SAB230</v>
          </cell>
          <cell r="E43">
            <v>9</v>
          </cell>
        </row>
        <row r="44">
          <cell r="A44">
            <v>6830</v>
          </cell>
          <cell r="B44">
            <v>230</v>
          </cell>
          <cell r="C44" t="str">
            <v>Anton</v>
          </cell>
          <cell r="D44" t="str">
            <v>ANT230</v>
          </cell>
          <cell r="E44">
            <v>5</v>
          </cell>
        </row>
        <row r="45">
          <cell r="A45">
            <v>6840</v>
          </cell>
          <cell r="B45">
            <v>230</v>
          </cell>
          <cell r="C45" t="str">
            <v>Panama III 230</v>
          </cell>
          <cell r="D45" t="str">
            <v>PAN3 230</v>
          </cell>
          <cell r="E45">
            <v>5</v>
          </cell>
        </row>
        <row r="46">
          <cell r="A46">
            <v>6841</v>
          </cell>
          <cell r="B46">
            <v>115</v>
          </cell>
          <cell r="C46" t="str">
            <v>Panama III 115</v>
          </cell>
          <cell r="D46" t="str">
            <v>PAN3 115</v>
          </cell>
          <cell r="E46">
            <v>6</v>
          </cell>
        </row>
        <row r="47">
          <cell r="A47">
            <v>6861</v>
          </cell>
          <cell r="B47">
            <v>230</v>
          </cell>
          <cell r="C47" t="str">
            <v>Chepo</v>
          </cell>
          <cell r="D47" t="str">
            <v>CHE230</v>
          </cell>
          <cell r="E47">
            <v>8</v>
          </cell>
        </row>
        <row r="48">
          <cell r="A48">
            <v>6882</v>
          </cell>
          <cell r="B48">
            <v>230</v>
          </cell>
          <cell r="C48" t="str">
            <v>Gonzalillo</v>
          </cell>
          <cell r="D48" t="str">
            <v>GON230</v>
          </cell>
          <cell r="E48">
            <v>7</v>
          </cell>
        </row>
        <row r="49">
          <cell r="A49">
            <v>7000</v>
          </cell>
          <cell r="C49" t="str">
            <v>T1-Panama</v>
          </cell>
          <cell r="D49" t="str">
            <v>T1-PAN</v>
          </cell>
          <cell r="E49">
            <v>7</v>
          </cell>
        </row>
        <row r="50">
          <cell r="A50">
            <v>7001</v>
          </cell>
          <cell r="C50" t="str">
            <v>T2-Panama</v>
          </cell>
          <cell r="D50" t="str">
            <v>T2-PAN</v>
          </cell>
          <cell r="E50">
            <v>7</v>
          </cell>
        </row>
        <row r="51">
          <cell r="A51">
            <v>7002</v>
          </cell>
          <cell r="C51" t="str">
            <v>T3-Panama</v>
          </cell>
          <cell r="D51" t="str">
            <v>T3-PAN</v>
          </cell>
          <cell r="E51">
            <v>7</v>
          </cell>
        </row>
        <row r="52">
          <cell r="A52">
            <v>7003</v>
          </cell>
          <cell r="C52" t="str">
            <v>T5-Panama</v>
          </cell>
          <cell r="D52" t="str">
            <v>T5-PAN</v>
          </cell>
          <cell r="E52">
            <v>7</v>
          </cell>
        </row>
        <row r="53">
          <cell r="A53">
            <v>7004</v>
          </cell>
          <cell r="C53" t="str">
            <v>T1-PanamaII</v>
          </cell>
          <cell r="D53" t="str">
            <v>T1-PANII</v>
          </cell>
          <cell r="E53">
            <v>7</v>
          </cell>
        </row>
        <row r="54">
          <cell r="A54">
            <v>7005</v>
          </cell>
          <cell r="C54" t="str">
            <v>T2-PanamaII</v>
          </cell>
          <cell r="D54" t="str">
            <v>T2-PANII</v>
          </cell>
          <cell r="E54">
            <v>7</v>
          </cell>
        </row>
        <row r="55">
          <cell r="A55">
            <v>7006</v>
          </cell>
          <cell r="C55" t="str">
            <v>T3-PanamaII</v>
          </cell>
          <cell r="D55" t="str">
            <v>T3-PANII</v>
          </cell>
          <cell r="E55">
            <v>7</v>
          </cell>
        </row>
        <row r="56">
          <cell r="A56">
            <v>7007</v>
          </cell>
          <cell r="C56" t="str">
            <v>T1-Chorrera</v>
          </cell>
          <cell r="D56" t="str">
            <v>T1-CHO</v>
          </cell>
          <cell r="E56">
            <v>6</v>
          </cell>
        </row>
        <row r="57">
          <cell r="A57">
            <v>7008</v>
          </cell>
          <cell r="C57" t="str">
            <v>T2-Chorrera</v>
          </cell>
          <cell r="D57" t="str">
            <v>T2-CHO</v>
          </cell>
          <cell r="E57">
            <v>6</v>
          </cell>
        </row>
        <row r="58">
          <cell r="A58">
            <v>7009</v>
          </cell>
          <cell r="C58" t="str">
            <v>T3-Chorrera</v>
          </cell>
          <cell r="D58" t="str">
            <v>T3-CHO</v>
          </cell>
          <cell r="E58">
            <v>6</v>
          </cell>
        </row>
        <row r="59">
          <cell r="A59">
            <v>7010</v>
          </cell>
          <cell r="C59" t="str">
            <v>T1-Llano Sanchez</v>
          </cell>
          <cell r="D59" t="str">
            <v>T1-LSA</v>
          </cell>
          <cell r="E59">
            <v>5</v>
          </cell>
        </row>
        <row r="60">
          <cell r="A60">
            <v>7011</v>
          </cell>
          <cell r="C60" t="str">
            <v>T2-Llano Sanchez</v>
          </cell>
          <cell r="D60" t="str">
            <v>T2-LSA</v>
          </cell>
          <cell r="E60">
            <v>5</v>
          </cell>
        </row>
        <row r="61">
          <cell r="A61">
            <v>7012</v>
          </cell>
          <cell r="C61" t="str">
            <v>T3-Llano Sanchez</v>
          </cell>
          <cell r="D61" t="str">
            <v>T3-LSA</v>
          </cell>
          <cell r="E61">
            <v>5</v>
          </cell>
        </row>
        <row r="62">
          <cell r="A62">
            <v>7013</v>
          </cell>
          <cell r="C62" t="str">
            <v>T1-Mata de Nance</v>
          </cell>
          <cell r="D62" t="str">
            <v>T1-MDN</v>
          </cell>
          <cell r="E62">
            <v>4</v>
          </cell>
        </row>
        <row r="63">
          <cell r="A63">
            <v>7014</v>
          </cell>
          <cell r="C63" t="str">
            <v>T2-Mata de Nance</v>
          </cell>
          <cell r="D63" t="str">
            <v>T2-MDN</v>
          </cell>
          <cell r="E63">
            <v>4</v>
          </cell>
        </row>
        <row r="64">
          <cell r="A64">
            <v>7015</v>
          </cell>
          <cell r="C64" t="str">
            <v>T3-Mata de Nance</v>
          </cell>
          <cell r="D64" t="str">
            <v>T3-MDN</v>
          </cell>
          <cell r="E64">
            <v>5</v>
          </cell>
        </row>
        <row r="65">
          <cell r="A65">
            <v>7016</v>
          </cell>
          <cell r="C65" t="str">
            <v>T1-Changuinola</v>
          </cell>
          <cell r="D65" t="str">
            <v>T1-CHA</v>
          </cell>
          <cell r="E65">
            <v>10</v>
          </cell>
        </row>
        <row r="66">
          <cell r="A66">
            <v>7017</v>
          </cell>
          <cell r="C66" t="str">
            <v>T1-PanamaIII</v>
          </cell>
          <cell r="D66" t="str">
            <v>T1-PANIII</v>
          </cell>
          <cell r="E66">
            <v>7</v>
          </cell>
        </row>
        <row r="67">
          <cell r="A67">
            <v>7018</v>
          </cell>
          <cell r="C67" t="str">
            <v>T2-PanamaIII</v>
          </cell>
          <cell r="D67" t="str">
            <v>T2-PANIII</v>
          </cell>
          <cell r="E67">
            <v>7</v>
          </cell>
        </row>
        <row r="68">
          <cell r="A68">
            <v>7019</v>
          </cell>
          <cell r="C68" t="str">
            <v>T2-Changuinola</v>
          </cell>
          <cell r="D68" t="str">
            <v>T2-CHA</v>
          </cell>
          <cell r="E68">
            <v>10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12.94</v>
          </cell>
        </row>
        <row r="3">
          <cell r="C3">
            <v>230</v>
          </cell>
          <cell r="F3" t="str">
            <v>S</v>
          </cell>
          <cell r="G3">
            <v>12.94</v>
          </cell>
        </row>
        <row r="4">
          <cell r="C4">
            <v>230</v>
          </cell>
          <cell r="F4" t="str">
            <v>S</v>
          </cell>
          <cell r="G4">
            <v>40.299999999999997</v>
          </cell>
        </row>
        <row r="5">
          <cell r="C5">
            <v>230</v>
          </cell>
          <cell r="F5" t="str">
            <v>S</v>
          </cell>
          <cell r="G5">
            <v>40.299999999999997</v>
          </cell>
        </row>
        <row r="6">
          <cell r="C6" t="str">
            <v>TX</v>
          </cell>
          <cell r="F6" t="str">
            <v>S</v>
          </cell>
        </row>
        <row r="7">
          <cell r="C7" t="str">
            <v>TX</v>
          </cell>
          <cell r="F7" t="str">
            <v>S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>
            <v>115</v>
          </cell>
          <cell r="F10" t="str">
            <v>S</v>
          </cell>
          <cell r="G10">
            <v>0.8</v>
          </cell>
        </row>
        <row r="11">
          <cell r="C11">
            <v>115</v>
          </cell>
          <cell r="F11" t="str">
            <v>S</v>
          </cell>
          <cell r="G11">
            <v>0.8</v>
          </cell>
        </row>
        <row r="12">
          <cell r="C12">
            <v>115</v>
          </cell>
          <cell r="F12" t="str">
            <v>S</v>
          </cell>
          <cell r="G12">
            <v>0.8</v>
          </cell>
        </row>
        <row r="13">
          <cell r="C13">
            <v>115</v>
          </cell>
          <cell r="F13" t="str">
            <v>S</v>
          </cell>
          <cell r="G13">
            <v>22.5</v>
          </cell>
        </row>
        <row r="14">
          <cell r="C14">
            <v>115</v>
          </cell>
          <cell r="F14" t="str">
            <v>S</v>
          </cell>
          <cell r="G14">
            <v>40.700000000000003</v>
          </cell>
        </row>
        <row r="15">
          <cell r="C15" t="str">
            <v>TX</v>
          </cell>
          <cell r="F15" t="str">
            <v>S</v>
          </cell>
        </row>
        <row r="16">
          <cell r="C16" t="str">
            <v>TX</v>
          </cell>
          <cell r="F16" t="str">
            <v>S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>
            <v>230</v>
          </cell>
          <cell r="F19" t="str">
            <v>S</v>
          </cell>
          <cell r="G19">
            <v>19</v>
          </cell>
        </row>
        <row r="20">
          <cell r="C20">
            <v>230</v>
          </cell>
          <cell r="F20" t="str">
            <v>S</v>
          </cell>
          <cell r="G20">
            <v>9.1</v>
          </cell>
        </row>
        <row r="21">
          <cell r="C21" t="str">
            <v>TX</v>
          </cell>
          <cell r="F21" t="str">
            <v>S</v>
          </cell>
        </row>
        <row r="22">
          <cell r="C22" t="str">
            <v>TX</v>
          </cell>
          <cell r="F22" t="str">
            <v>S</v>
          </cell>
        </row>
        <row r="23">
          <cell r="C23" t="str">
            <v>TX</v>
          </cell>
          <cell r="F23" t="str">
            <v>S</v>
          </cell>
        </row>
        <row r="24">
          <cell r="C24" t="str">
            <v>TX</v>
          </cell>
          <cell r="F24" t="str">
            <v>S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>
            <v>230</v>
          </cell>
          <cell r="F27" t="str">
            <v>S</v>
          </cell>
          <cell r="G27">
            <v>60.5</v>
          </cell>
        </row>
        <row r="28">
          <cell r="C28">
            <v>230</v>
          </cell>
          <cell r="F28" t="str">
            <v>S</v>
          </cell>
          <cell r="G28">
            <v>60.5</v>
          </cell>
        </row>
        <row r="29">
          <cell r="C29">
            <v>230</v>
          </cell>
          <cell r="F29" t="str">
            <v>SD</v>
          </cell>
          <cell r="G29">
            <v>60.5</v>
          </cell>
        </row>
        <row r="30">
          <cell r="C30">
            <v>230</v>
          </cell>
          <cell r="F30" t="str">
            <v>SD</v>
          </cell>
          <cell r="G30">
            <v>60.5</v>
          </cell>
        </row>
        <row r="31">
          <cell r="C31">
            <v>230</v>
          </cell>
          <cell r="F31" t="str">
            <v>SD</v>
          </cell>
          <cell r="G31">
            <v>110.21</v>
          </cell>
        </row>
        <row r="32">
          <cell r="C32">
            <v>230</v>
          </cell>
          <cell r="F32" t="str">
            <v>SD</v>
          </cell>
          <cell r="G32">
            <v>110.21</v>
          </cell>
        </row>
        <row r="33">
          <cell r="C33">
            <v>230</v>
          </cell>
          <cell r="F33" t="str">
            <v>S</v>
          </cell>
          <cell r="G33">
            <v>109.36</v>
          </cell>
        </row>
        <row r="34">
          <cell r="C34">
            <v>230</v>
          </cell>
          <cell r="F34" t="str">
            <v>S</v>
          </cell>
          <cell r="G34">
            <v>81.55</v>
          </cell>
        </row>
        <row r="35">
          <cell r="C35">
            <v>230</v>
          </cell>
          <cell r="F35" t="str">
            <v>S</v>
          </cell>
          <cell r="G35">
            <v>81.55</v>
          </cell>
        </row>
        <row r="36">
          <cell r="C36">
            <v>230</v>
          </cell>
          <cell r="F36" t="str">
            <v>S</v>
          </cell>
          <cell r="G36">
            <v>44.67</v>
          </cell>
        </row>
        <row r="37">
          <cell r="C37">
            <v>230</v>
          </cell>
          <cell r="F37" t="str">
            <v>S</v>
          </cell>
          <cell r="G37">
            <v>44.67</v>
          </cell>
        </row>
        <row r="38">
          <cell r="C38">
            <v>230</v>
          </cell>
          <cell r="F38" t="str">
            <v>S</v>
          </cell>
          <cell r="G38">
            <v>67.7</v>
          </cell>
        </row>
        <row r="39">
          <cell r="C39">
            <v>230</v>
          </cell>
          <cell r="F39" t="str">
            <v>S</v>
          </cell>
          <cell r="G39">
            <v>67.7</v>
          </cell>
        </row>
        <row r="40">
          <cell r="C40">
            <v>230</v>
          </cell>
          <cell r="F40" t="str">
            <v>S</v>
          </cell>
          <cell r="G40">
            <v>103.36</v>
          </cell>
        </row>
        <row r="41">
          <cell r="C41">
            <v>230</v>
          </cell>
          <cell r="F41" t="str">
            <v>SD</v>
          </cell>
          <cell r="G41">
            <v>94.44</v>
          </cell>
        </row>
        <row r="42">
          <cell r="C42">
            <v>230</v>
          </cell>
          <cell r="F42" t="str">
            <v>SD</v>
          </cell>
          <cell r="G42">
            <v>94.44</v>
          </cell>
        </row>
        <row r="43">
          <cell r="C43" t="str">
            <v>TX</v>
          </cell>
          <cell r="F43" t="str">
            <v>S</v>
          </cell>
        </row>
        <row r="44">
          <cell r="C44" t="str">
            <v>TX</v>
          </cell>
          <cell r="F44" t="str">
            <v>S</v>
          </cell>
        </row>
        <row r="45">
          <cell r="C45" t="str">
            <v>TX</v>
          </cell>
          <cell r="F45" t="str">
            <v>S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>
            <v>230</v>
          </cell>
          <cell r="F51" t="str">
            <v>S</v>
          </cell>
          <cell r="G51">
            <v>37.5</v>
          </cell>
        </row>
        <row r="52">
          <cell r="C52">
            <v>230</v>
          </cell>
          <cell r="F52" t="str">
            <v>S</v>
          </cell>
          <cell r="G52">
            <v>37.5</v>
          </cell>
        </row>
        <row r="53">
          <cell r="C53">
            <v>230</v>
          </cell>
          <cell r="F53" t="str">
            <v>S</v>
          </cell>
          <cell r="G53">
            <v>84.49</v>
          </cell>
        </row>
        <row r="54">
          <cell r="C54">
            <v>230</v>
          </cell>
          <cell r="F54" t="str">
            <v>S</v>
          </cell>
          <cell r="G54">
            <v>84.49</v>
          </cell>
        </row>
        <row r="55">
          <cell r="C55">
            <v>230</v>
          </cell>
          <cell r="F55" t="str">
            <v>S</v>
          </cell>
          <cell r="G55">
            <v>24.33</v>
          </cell>
        </row>
        <row r="56">
          <cell r="C56" t="str">
            <v>TX</v>
          </cell>
          <cell r="F56" t="str">
            <v>S</v>
          </cell>
        </row>
        <row r="57">
          <cell r="C57" t="str">
            <v>TX</v>
          </cell>
          <cell r="F57" t="str">
            <v>S</v>
          </cell>
        </row>
        <row r="58">
          <cell r="C58" t="str">
            <v>TX</v>
          </cell>
          <cell r="F58" t="str">
            <v>S</v>
          </cell>
        </row>
        <row r="59">
          <cell r="C59">
            <v>115</v>
          </cell>
          <cell r="F59" t="str">
            <v>S</v>
          </cell>
          <cell r="G59">
            <v>25</v>
          </cell>
        </row>
        <row r="60">
          <cell r="C60">
            <v>115</v>
          </cell>
          <cell r="F60" t="str">
            <v>S</v>
          </cell>
          <cell r="G60">
            <v>25</v>
          </cell>
        </row>
        <row r="61">
          <cell r="C61" t="str">
            <v>TX</v>
          </cell>
          <cell r="F61" t="str">
            <v>S</v>
          </cell>
        </row>
        <row r="62">
          <cell r="C62" t="str">
            <v>TX</v>
          </cell>
          <cell r="F62" t="str">
            <v>S</v>
          </cell>
        </row>
        <row r="63">
          <cell r="C63" t="str">
            <v>TX</v>
          </cell>
          <cell r="F63" t="str">
            <v>S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>
            <v>230</v>
          </cell>
          <cell r="F67" t="str">
            <v>S</v>
          </cell>
          <cell r="G67">
            <v>29.75</v>
          </cell>
        </row>
        <row r="68">
          <cell r="C68">
            <v>230</v>
          </cell>
          <cell r="F68" t="str">
            <v>S</v>
          </cell>
          <cell r="G68">
            <v>54</v>
          </cell>
        </row>
        <row r="69">
          <cell r="C69">
            <v>230</v>
          </cell>
          <cell r="F69" t="str">
            <v>S</v>
          </cell>
          <cell r="G69">
            <v>14</v>
          </cell>
        </row>
        <row r="70">
          <cell r="C70">
            <v>115</v>
          </cell>
          <cell r="F70" t="str">
            <v>S</v>
          </cell>
          <cell r="G70">
            <v>46.6</v>
          </cell>
        </row>
        <row r="71">
          <cell r="C71">
            <v>115</v>
          </cell>
          <cell r="F71" t="str">
            <v>S</v>
          </cell>
          <cell r="G71">
            <v>46.6</v>
          </cell>
        </row>
        <row r="72">
          <cell r="C72">
            <v>115</v>
          </cell>
          <cell r="F72" t="str">
            <v>S</v>
          </cell>
          <cell r="G72">
            <v>31.5</v>
          </cell>
        </row>
        <row r="73">
          <cell r="C73">
            <v>115</v>
          </cell>
          <cell r="F73" t="str">
            <v>S</v>
          </cell>
          <cell r="G73">
            <v>6.2</v>
          </cell>
        </row>
        <row r="74">
          <cell r="C74">
            <v>115</v>
          </cell>
          <cell r="F74" t="str">
            <v>S</v>
          </cell>
          <cell r="G74">
            <v>0.8</v>
          </cell>
        </row>
        <row r="75">
          <cell r="C75">
            <v>115</v>
          </cell>
          <cell r="F75" t="str">
            <v>S</v>
          </cell>
          <cell r="G75">
            <v>16.7</v>
          </cell>
        </row>
        <row r="76">
          <cell r="C76">
            <v>230</v>
          </cell>
          <cell r="F76" t="str">
            <v>S</v>
          </cell>
          <cell r="G76">
            <v>16</v>
          </cell>
        </row>
        <row r="77">
          <cell r="C77">
            <v>230</v>
          </cell>
          <cell r="F77" t="str">
            <v>S</v>
          </cell>
          <cell r="G77">
            <v>96.87</v>
          </cell>
        </row>
        <row r="78">
          <cell r="C78">
            <v>230</v>
          </cell>
          <cell r="F78" t="str">
            <v>S</v>
          </cell>
          <cell r="G78">
            <v>25.4</v>
          </cell>
        </row>
        <row r="79">
          <cell r="C79">
            <v>230</v>
          </cell>
          <cell r="F79" t="str">
            <v>S</v>
          </cell>
          <cell r="G79">
            <v>25.4</v>
          </cell>
        </row>
        <row r="80">
          <cell r="C80">
            <v>115</v>
          </cell>
          <cell r="F80" t="str">
            <v>S</v>
          </cell>
          <cell r="G80">
            <v>6.2</v>
          </cell>
        </row>
        <row r="81">
          <cell r="C81">
            <v>230</v>
          </cell>
          <cell r="F81" t="str">
            <v>S</v>
          </cell>
          <cell r="G81">
            <v>84.3</v>
          </cell>
        </row>
        <row r="82">
          <cell r="C82">
            <v>230</v>
          </cell>
          <cell r="F82" t="str">
            <v>S</v>
          </cell>
          <cell r="G82">
            <v>84.3</v>
          </cell>
        </row>
        <row r="83">
          <cell r="C83">
            <v>230</v>
          </cell>
          <cell r="F83" t="str">
            <v>S</v>
          </cell>
          <cell r="G83">
            <v>142</v>
          </cell>
        </row>
        <row r="84">
          <cell r="C84">
            <v>230</v>
          </cell>
          <cell r="F84" t="str">
            <v>S</v>
          </cell>
          <cell r="G84">
            <v>42.3</v>
          </cell>
        </row>
        <row r="85">
          <cell r="C85">
            <v>230</v>
          </cell>
          <cell r="F85" t="str">
            <v>S</v>
          </cell>
          <cell r="G85">
            <v>42.3</v>
          </cell>
        </row>
        <row r="86">
          <cell r="C86">
            <v>230</v>
          </cell>
          <cell r="F86" t="str">
            <v>S</v>
          </cell>
          <cell r="G86">
            <v>6</v>
          </cell>
        </row>
        <row r="87">
          <cell r="C87">
            <v>230</v>
          </cell>
          <cell r="F87" t="str">
            <v>S</v>
          </cell>
          <cell r="G87">
            <v>1.4</v>
          </cell>
        </row>
        <row r="88">
          <cell r="C88">
            <v>230</v>
          </cell>
          <cell r="F88" t="str">
            <v>S</v>
          </cell>
          <cell r="G88">
            <v>24.88</v>
          </cell>
        </row>
        <row r="89">
          <cell r="C89">
            <v>230</v>
          </cell>
          <cell r="F89" t="str">
            <v>S</v>
          </cell>
          <cell r="G89">
            <v>76.650000000000006</v>
          </cell>
        </row>
        <row r="90">
          <cell r="C90" t="str">
            <v>TX</v>
          </cell>
          <cell r="F90" t="str">
            <v>S</v>
          </cell>
        </row>
        <row r="91">
          <cell r="C91" t="str">
            <v>TX</v>
          </cell>
          <cell r="F91" t="str">
            <v>S</v>
          </cell>
        </row>
        <row r="92">
          <cell r="C92" t="str">
            <v>TX</v>
          </cell>
          <cell r="F92" t="str">
            <v>S</v>
          </cell>
        </row>
        <row r="93">
          <cell r="C93" t="str">
            <v>TX</v>
          </cell>
          <cell r="F93" t="str">
            <v>S</v>
          </cell>
        </row>
        <row r="94">
          <cell r="C94" t="str">
            <v>TX</v>
          </cell>
          <cell r="F94" t="str">
            <v>S</v>
          </cell>
        </row>
        <row r="95">
          <cell r="C95" t="str">
            <v>TX</v>
          </cell>
          <cell r="F95" t="str">
            <v>S</v>
          </cell>
        </row>
        <row r="96">
          <cell r="C96">
            <v>230</v>
          </cell>
          <cell r="F96" t="str">
            <v>S</v>
          </cell>
          <cell r="G96">
            <v>44</v>
          </cell>
        </row>
        <row r="97">
          <cell r="C97">
            <v>230</v>
          </cell>
          <cell r="F97" t="str">
            <v>S</v>
          </cell>
          <cell r="G97">
            <v>13</v>
          </cell>
        </row>
        <row r="98">
          <cell r="C98">
            <v>230</v>
          </cell>
          <cell r="F98" t="str">
            <v>S</v>
          </cell>
          <cell r="G98">
            <v>114.98</v>
          </cell>
        </row>
        <row r="99">
          <cell r="C99">
            <v>230</v>
          </cell>
          <cell r="F99" t="str">
            <v>S</v>
          </cell>
          <cell r="G99">
            <v>114.98</v>
          </cell>
        </row>
        <row r="100">
          <cell r="C100">
            <v>230</v>
          </cell>
          <cell r="F100" t="str">
            <v>S</v>
          </cell>
          <cell r="G100">
            <v>7</v>
          </cell>
        </row>
        <row r="101">
          <cell r="C101">
            <v>230</v>
          </cell>
          <cell r="F101" t="str">
            <v>S</v>
          </cell>
          <cell r="G101">
            <v>34.549999999999997</v>
          </cell>
        </row>
        <row r="102">
          <cell r="C102">
            <v>230</v>
          </cell>
          <cell r="F102" t="str">
            <v>S</v>
          </cell>
          <cell r="G102">
            <v>34.549999999999997</v>
          </cell>
        </row>
        <row r="103">
          <cell r="C103">
            <v>230</v>
          </cell>
          <cell r="F103" t="str">
            <v>S</v>
          </cell>
          <cell r="G103">
            <v>32</v>
          </cell>
        </row>
        <row r="104">
          <cell r="C104">
            <v>230</v>
          </cell>
          <cell r="F104" t="str">
            <v>S</v>
          </cell>
          <cell r="G104">
            <v>32</v>
          </cell>
        </row>
        <row r="105">
          <cell r="C105">
            <v>230</v>
          </cell>
          <cell r="F105" t="str">
            <v>SD</v>
          </cell>
          <cell r="G105">
            <v>3.13</v>
          </cell>
        </row>
        <row r="106">
          <cell r="C106">
            <v>230</v>
          </cell>
          <cell r="F106" t="str">
            <v>SD</v>
          </cell>
          <cell r="G106">
            <v>3.13</v>
          </cell>
        </row>
        <row r="107">
          <cell r="C107">
            <v>230</v>
          </cell>
          <cell r="F107" t="str">
            <v>SD</v>
          </cell>
          <cell r="G107">
            <v>34.36</v>
          </cell>
        </row>
        <row r="108">
          <cell r="C108">
            <v>230</v>
          </cell>
          <cell r="F108" t="str">
            <v>SD</v>
          </cell>
          <cell r="G108">
            <v>34.36</v>
          </cell>
        </row>
        <row r="109">
          <cell r="C109">
            <v>230</v>
          </cell>
          <cell r="F109" t="str">
            <v>S</v>
          </cell>
          <cell r="G109">
            <v>15</v>
          </cell>
        </row>
        <row r="110">
          <cell r="C110">
            <v>230</v>
          </cell>
          <cell r="F110" t="str">
            <v>S</v>
          </cell>
          <cell r="G110">
            <v>15</v>
          </cell>
        </row>
        <row r="111">
          <cell r="C111">
            <v>230</v>
          </cell>
          <cell r="F111" t="str">
            <v>S</v>
          </cell>
          <cell r="G111">
            <v>20</v>
          </cell>
        </row>
        <row r="112">
          <cell r="C112">
            <v>230</v>
          </cell>
          <cell r="F112" t="str">
            <v>S</v>
          </cell>
          <cell r="G112">
            <v>20</v>
          </cell>
        </row>
        <row r="113">
          <cell r="C113" t="str">
            <v>TX</v>
          </cell>
          <cell r="F113" t="str">
            <v>S</v>
          </cell>
        </row>
        <row r="114">
          <cell r="C114" t="str">
            <v>TX</v>
          </cell>
          <cell r="F114" t="str">
            <v>S</v>
          </cell>
        </row>
        <row r="115">
          <cell r="C115" t="str">
            <v>TX</v>
          </cell>
          <cell r="F115" t="str">
            <v>S</v>
          </cell>
        </row>
        <row r="116">
          <cell r="C116" t="str">
            <v>TX</v>
          </cell>
          <cell r="F116" t="str">
            <v>S</v>
          </cell>
        </row>
        <row r="117">
          <cell r="C117">
            <v>230</v>
          </cell>
          <cell r="F117" t="str">
            <v>S</v>
          </cell>
          <cell r="G117">
            <v>23</v>
          </cell>
        </row>
        <row r="118">
          <cell r="C118">
            <v>230</v>
          </cell>
          <cell r="F118" t="str">
            <v>S</v>
          </cell>
          <cell r="G118">
            <v>31.6</v>
          </cell>
        </row>
        <row r="119">
          <cell r="C119">
            <v>230</v>
          </cell>
          <cell r="F119" t="str">
            <v>S</v>
          </cell>
          <cell r="G119">
            <v>5</v>
          </cell>
        </row>
        <row r="120">
          <cell r="C120">
            <v>230</v>
          </cell>
          <cell r="F120" t="str">
            <v>S</v>
          </cell>
          <cell r="G120">
            <v>5</v>
          </cell>
        </row>
        <row r="121">
          <cell r="C121">
            <v>230</v>
          </cell>
          <cell r="F121" t="str">
            <v>S</v>
          </cell>
          <cell r="G121">
            <v>29.55</v>
          </cell>
        </row>
        <row r="122">
          <cell r="C122">
            <v>230</v>
          </cell>
          <cell r="F122" t="str">
            <v>S</v>
          </cell>
          <cell r="G122">
            <v>29.55</v>
          </cell>
        </row>
      </sheetData>
      <sheetData sheetId="3"/>
      <sheetData sheetId="4">
        <row r="3">
          <cell r="E3" t="str">
            <v xml:space="preserve"> 2.- Día Semihábil (sábado):</v>
          </cell>
        </row>
      </sheetData>
      <sheetData sheetId="5">
        <row r="2">
          <cell r="L2">
            <v>10391.438170650001</v>
          </cell>
        </row>
        <row r="17">
          <cell r="L17">
            <v>8728.5368300600003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</sheetNames>
    <sheetDataSet>
      <sheetData sheetId="0">
        <row r="1">
          <cell r="B1">
            <v>1</v>
          </cell>
          <cell r="C1" t="str">
            <v>2017-2018</v>
          </cell>
        </row>
        <row r="3">
          <cell r="B3">
            <v>51220.151770625169</v>
          </cell>
          <cell r="D3">
            <v>2349.39</v>
          </cell>
        </row>
        <row r="4">
          <cell r="B4">
            <v>43806.034477544112</v>
          </cell>
          <cell r="D4">
            <v>2079.9899999999998</v>
          </cell>
          <cell r="F4">
            <v>21.060694752159442</v>
          </cell>
        </row>
        <row r="5">
          <cell r="B5">
            <v>7414.117293081059</v>
          </cell>
          <cell r="D5">
            <v>269.39999999999998</v>
          </cell>
          <cell r="F5">
            <v>27.520851125022492</v>
          </cell>
        </row>
        <row r="7">
          <cell r="B7">
            <v>55642.054105485877</v>
          </cell>
          <cell r="C7">
            <v>1</v>
          </cell>
          <cell r="D7">
            <v>605.29999999999995</v>
          </cell>
          <cell r="E7">
            <v>1</v>
          </cell>
          <cell r="F7">
            <v>91.924754841377634</v>
          </cell>
          <cell r="G7" t="str">
            <v>(230 kV)</v>
          </cell>
        </row>
        <row r="11">
          <cell r="B11">
            <v>218.9</v>
          </cell>
          <cell r="C11">
            <v>537.79999999999995</v>
          </cell>
          <cell r="D11">
            <v>155.26999999999998</v>
          </cell>
          <cell r="E11">
            <v>326.15999999999997</v>
          </cell>
          <cell r="F11">
            <v>359.97</v>
          </cell>
          <cell r="G11">
            <v>147</v>
          </cell>
          <cell r="H11">
            <v>576.98</v>
          </cell>
          <cell r="I11">
            <v>260</v>
          </cell>
          <cell r="J11">
            <v>792.53</v>
          </cell>
          <cell r="K11">
            <v>252.17</v>
          </cell>
        </row>
        <row r="12">
          <cell r="B12">
            <v>38.67</v>
          </cell>
          <cell r="C12">
            <v>0</v>
          </cell>
          <cell r="D12">
            <v>0.11</v>
          </cell>
          <cell r="E12">
            <v>110.14999999999999</v>
          </cell>
          <cell r="F12">
            <v>232.27983529537579</v>
          </cell>
          <cell r="G12">
            <v>165.64199929453994</v>
          </cell>
          <cell r="H12">
            <v>1242.5836696510787</v>
          </cell>
          <cell r="I12">
            <v>23.17</v>
          </cell>
          <cell r="J12">
            <v>113.44050338355613</v>
          </cell>
          <cell r="K12">
            <v>90.39</v>
          </cell>
        </row>
      </sheetData>
      <sheetData sheetId="1"/>
      <sheetData sheetId="2"/>
      <sheetData sheetId="3"/>
      <sheetData sheetId="4">
        <row r="3">
          <cell r="E3" t="str">
            <v xml:space="preserve"> 2.- Día Semihábil (sábado):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 refreshError="1"/>
      <sheetData sheetId="1">
        <row r="13">
          <cell r="H13">
            <v>744</v>
          </cell>
          <cell r="I13">
            <v>8.493150684931508E-2</v>
          </cell>
        </row>
        <row r="21">
          <cell r="B21">
            <v>159.85423387096773</v>
          </cell>
          <cell r="C21">
            <v>225.89999999999998</v>
          </cell>
          <cell r="D21">
            <v>144.93528225806452</v>
          </cell>
          <cell r="E21">
            <v>296.37143817204304</v>
          </cell>
          <cell r="F21">
            <v>56.100268817204302</v>
          </cell>
          <cell r="G21">
            <v>0</v>
          </cell>
          <cell r="H21">
            <v>0.77620967741935487</v>
          </cell>
          <cell r="I21">
            <v>73.256720430107521</v>
          </cell>
          <cell r="J21">
            <v>97.813844086021504</v>
          </cell>
          <cell r="K21">
            <v>188.27009408602149</v>
          </cell>
        </row>
        <row r="22">
          <cell r="B22">
            <v>54.91700268817204</v>
          </cell>
          <cell r="C22">
            <v>0</v>
          </cell>
          <cell r="D22">
            <v>0.1155241935483871</v>
          </cell>
          <cell r="E22">
            <v>37.854301075268815</v>
          </cell>
          <cell r="F22">
            <v>170.56673387096777</v>
          </cell>
          <cell r="G22">
            <v>68.859879032258064</v>
          </cell>
          <cell r="H22">
            <v>748.47782258064535</v>
          </cell>
          <cell r="I22">
            <v>31.518145161290324</v>
          </cell>
          <cell r="J22">
            <v>117.11780913978495</v>
          </cell>
          <cell r="K22">
            <v>13.776747311827956</v>
          </cell>
        </row>
        <row r="24">
          <cell r="B24">
            <v>118.93154999999999</v>
          </cell>
          <cell r="C24">
            <v>168.06959999999998</v>
          </cell>
          <cell r="D24">
            <v>107.83185</v>
          </cell>
          <cell r="E24">
            <v>220.50035000000003</v>
          </cell>
          <cell r="F24">
            <v>41.738599999999998</v>
          </cell>
          <cell r="G24">
            <v>0</v>
          </cell>
          <cell r="H24">
            <v>0.57750000000000001</v>
          </cell>
          <cell r="I24">
            <v>54.503</v>
          </cell>
          <cell r="J24">
            <v>72.773499999999999</v>
          </cell>
          <cell r="K24">
            <v>140.07294999999999</v>
          </cell>
        </row>
        <row r="25">
          <cell r="B25">
            <v>40.858249999999998</v>
          </cell>
          <cell r="C25">
            <v>0</v>
          </cell>
          <cell r="D25">
            <v>8.5949999999999999E-2</v>
          </cell>
          <cell r="E25">
            <v>28.163599999999999</v>
          </cell>
          <cell r="F25">
            <v>126.90165</v>
          </cell>
          <cell r="G25">
            <v>51.231749999999998</v>
          </cell>
          <cell r="H25">
            <v>556.86750000000006</v>
          </cell>
          <cell r="I25">
            <v>23.4495</v>
          </cell>
          <cell r="J25">
            <v>87.135650000000012</v>
          </cell>
          <cell r="K25">
            <v>10.2499</v>
          </cell>
        </row>
        <row r="27">
          <cell r="B27">
            <v>1.6061830316369856</v>
          </cell>
          <cell r="C27">
            <v>1.9725604454313033</v>
          </cell>
          <cell r="D27">
            <v>2.4342322480841228</v>
          </cell>
          <cell r="E27">
            <v>1.5501153002851191</v>
          </cell>
          <cell r="F27">
            <v>0.78582951365812626</v>
          </cell>
          <cell r="G27">
            <v>0</v>
          </cell>
          <cell r="H27">
            <v>1.4276476316332679E-2</v>
          </cell>
          <cell r="I27">
            <v>0.98517554416811259</v>
          </cell>
          <cell r="J27">
            <v>0.16322710486048475</v>
          </cell>
          <cell r="K27">
            <v>2.8313877716839593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9.9150431382901971E-2</v>
          </cell>
          <cell r="F28">
            <v>0.63876716713127213</v>
          </cell>
          <cell r="G28">
            <v>0.8272179791355504</v>
          </cell>
          <cell r="H28">
            <v>0.94726328675769511</v>
          </cell>
          <cell r="I28">
            <v>0.87504931583685275</v>
          </cell>
          <cell r="J28">
            <v>0.34138120671980027</v>
          </cell>
          <cell r="K28">
            <v>3.2857882192869899E-2</v>
          </cell>
        </row>
        <row r="30">
          <cell r="B30">
            <v>0.44458955273499184</v>
          </cell>
        </row>
        <row r="31">
          <cell r="B31">
            <v>0.30628280265912133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0.77431789528251482</v>
          </cell>
          <cell r="G33">
            <v>2.7355052447342119</v>
          </cell>
          <cell r="H33">
            <v>2.2837770020129087</v>
          </cell>
          <cell r="I33">
            <v>0.35312617097090437</v>
          </cell>
          <cell r="J33">
            <v>0.43959465493150912</v>
          </cell>
          <cell r="K33">
            <v>0</v>
          </cell>
        </row>
        <row r="34">
          <cell r="I34">
            <v>1.593238834402352</v>
          </cell>
        </row>
        <row r="38">
          <cell r="B38">
            <v>189.50995364851124</v>
          </cell>
          <cell r="C38">
            <v>331.52744503946099</v>
          </cell>
          <cell r="D38">
            <v>262.24437977815234</v>
          </cell>
          <cell r="E38">
            <v>337.7942490713682</v>
          </cell>
          <cell r="F38">
            <v>30.650200812860771</v>
          </cell>
          <cell r="G38">
            <v>0</v>
          </cell>
          <cell r="H38">
            <v>5.3108491896757565E-2</v>
          </cell>
          <cell r="I38">
            <v>63.82814780740425</v>
          </cell>
          <cell r="J38">
            <v>11.694624098382613</v>
          </cell>
          <cell r="K38">
            <v>376.77526004079016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2.7898563778526149</v>
          </cell>
          <cell r="F39">
            <v>79.707685355343855</v>
          </cell>
          <cell r="G39">
            <v>41.607969455276844</v>
          </cell>
          <cell r="H39">
            <v>515.51165325987813</v>
          </cell>
          <cell r="I39">
            <v>18.732831026633509</v>
          </cell>
          <cell r="J39">
            <v>28.791835624257683</v>
          </cell>
          <cell r="K39">
            <v>0.31989838168337514</v>
          </cell>
        </row>
        <row r="41">
          <cell r="B41">
            <v>90.207220249929861</v>
          </cell>
          <cell r="C41">
            <v>239.10026146087858</v>
          </cell>
          <cell r="D41">
            <v>69.031419853162177</v>
          </cell>
          <cell r="E41">
            <v>133.57248522370097</v>
          </cell>
          <cell r="F41">
            <v>7.2245802319436185</v>
          </cell>
          <cell r="G41">
            <v>65.354664252043818</v>
          </cell>
          <cell r="H41">
            <v>256.51928013703565</v>
          </cell>
          <cell r="I41">
            <v>115.5932837110979</v>
          </cell>
          <cell r="J41">
            <v>352.3505582290631</v>
          </cell>
          <cell r="K41">
            <v>112.1121475131829</v>
          </cell>
        </row>
        <row r="42">
          <cell r="B42">
            <v>11.843955978828221</v>
          </cell>
          <cell r="C42">
            <v>0</v>
          </cell>
          <cell r="D42">
            <v>3.3691108292503338E-2</v>
          </cell>
          <cell r="E42">
            <v>33.737050712902203</v>
          </cell>
          <cell r="F42">
            <v>71.143318955466782</v>
          </cell>
          <cell r="G42">
            <v>50.73329578199187</v>
          </cell>
          <cell r="H42">
            <v>380.58200887918804</v>
          </cell>
          <cell r="I42">
            <v>7.0965725376118396</v>
          </cell>
          <cell r="J42">
            <v>34.744875311377101</v>
          </cell>
          <cell r="K42">
            <v>27.684902532357974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96.524428714642809</v>
          </cell>
          <cell r="G44">
            <v>137.54509562565232</v>
          </cell>
          <cell r="H44">
            <v>1233.245185451925</v>
          </cell>
          <cell r="I44">
            <v>6.7747213646760427</v>
          </cell>
          <cell r="J44">
            <v>39.009913778467073</v>
          </cell>
          <cell r="K44">
            <v>0</v>
          </cell>
        </row>
        <row r="45">
          <cell r="B45">
            <v>61.610545726338941</v>
          </cell>
          <cell r="C45">
            <v>0</v>
          </cell>
          <cell r="D45">
            <v>0.17525627178425865</v>
          </cell>
          <cell r="E45">
            <v>175.49525760941901</v>
          </cell>
          <cell r="F45">
            <v>370.0772540411748</v>
          </cell>
          <cell r="G45">
            <v>263.90726588410797</v>
          </cell>
          <cell r="H45">
            <v>1979.7325574822814</v>
          </cell>
          <cell r="I45">
            <v>36.915343793102494</v>
          </cell>
          <cell r="J45">
            <v>180.73781538483297</v>
          </cell>
          <cell r="K45">
            <v>144.01285824162858</v>
          </cell>
        </row>
        <row r="46">
          <cell r="G46">
            <v>0</v>
          </cell>
        </row>
      </sheetData>
      <sheetData sheetId="2">
        <row r="13">
          <cell r="H13">
            <v>744</v>
          </cell>
          <cell r="I13">
            <v>8.4931506849315067E-2</v>
          </cell>
        </row>
        <row r="21">
          <cell r="B21">
            <v>161.66874999999999</v>
          </cell>
          <cell r="C21">
            <v>225.9</v>
          </cell>
          <cell r="D21">
            <v>145.12822580645164</v>
          </cell>
          <cell r="E21">
            <v>297.76276881720429</v>
          </cell>
          <cell r="F21">
            <v>55.982056451612912</v>
          </cell>
          <cell r="G21">
            <v>0</v>
          </cell>
          <cell r="H21">
            <v>0.81317204301075274</v>
          </cell>
          <cell r="I21">
            <v>76.069892473118273</v>
          </cell>
          <cell r="J21">
            <v>98.114986559139794</v>
          </cell>
          <cell r="K21">
            <v>190.74442204301076</v>
          </cell>
        </row>
        <row r="22">
          <cell r="B22">
            <v>54.825537634408605</v>
          </cell>
          <cell r="C22">
            <v>0</v>
          </cell>
          <cell r="D22">
            <v>0.11626344086021505</v>
          </cell>
          <cell r="E22">
            <v>38.13252688172043</v>
          </cell>
          <cell r="F22">
            <v>171.95235215053765</v>
          </cell>
          <cell r="G22">
            <v>69.366935483870961</v>
          </cell>
          <cell r="H22">
            <v>754.04690860215055</v>
          </cell>
          <cell r="I22">
            <v>31.751478494623655</v>
          </cell>
          <cell r="J22">
            <v>118.04220430107529</v>
          </cell>
          <cell r="K22">
            <v>13.879032258064514</v>
          </cell>
        </row>
        <row r="24">
          <cell r="B24">
            <v>120.28154999999998</v>
          </cell>
          <cell r="C24">
            <v>168.06960000000001</v>
          </cell>
          <cell r="D24">
            <v>107.97540000000001</v>
          </cell>
          <cell r="E24">
            <v>221.53550000000001</v>
          </cell>
          <cell r="F24">
            <v>41.650650000000006</v>
          </cell>
          <cell r="G24">
            <v>0</v>
          </cell>
          <cell r="H24">
            <v>0.60499999999999998</v>
          </cell>
          <cell r="I24">
            <v>56.595999999999997</v>
          </cell>
          <cell r="J24">
            <v>72.997550000000004</v>
          </cell>
          <cell r="K24">
            <v>141.91385</v>
          </cell>
        </row>
        <row r="25">
          <cell r="B25">
            <v>40.790200000000006</v>
          </cell>
          <cell r="C25">
            <v>0</v>
          </cell>
          <cell r="D25">
            <v>8.6499999999999994E-2</v>
          </cell>
          <cell r="E25">
            <v>28.3706</v>
          </cell>
          <cell r="F25">
            <v>127.93255000000001</v>
          </cell>
          <cell r="G25">
            <v>51.609000000000002</v>
          </cell>
          <cell r="H25">
            <v>561.01089999999999</v>
          </cell>
          <cell r="I25">
            <v>23.623099999999997</v>
          </cell>
          <cell r="J25">
            <v>87.823400000000007</v>
          </cell>
          <cell r="K25">
            <v>10.325999999999999</v>
          </cell>
        </row>
        <row r="27">
          <cell r="B27">
            <v>1.6083566017509352</v>
          </cell>
          <cell r="C27">
            <v>1.9599346466791912</v>
          </cell>
          <cell r="D27">
            <v>2.4199266052550708</v>
          </cell>
          <cell r="E27">
            <v>1.5370844195150677</v>
          </cell>
          <cell r="F27">
            <v>0.78014244841670888</v>
          </cell>
          <cell r="G27">
            <v>0</v>
          </cell>
          <cell r="H27">
            <v>1.4956308521872328E-2</v>
          </cell>
          <cell r="I27">
            <v>0.9887526399017259</v>
          </cell>
          <cell r="J27">
            <v>0.16214969978951546</v>
          </cell>
          <cell r="K27">
            <v>2.8061509678407575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9.8986940506780877E-2</v>
          </cell>
          <cell r="F28">
            <v>0.63553865926511599</v>
          </cell>
          <cell r="G28">
            <v>0.82183176161655813</v>
          </cell>
          <cell r="H28">
            <v>0.94076339034463152</v>
          </cell>
          <cell r="I28">
            <v>0.85409537671284108</v>
          </cell>
          <cell r="J28">
            <v>0.33937672453863227</v>
          </cell>
          <cell r="K28">
            <v>3.2366071225771446E-2</v>
          </cell>
        </row>
        <row r="30">
          <cell r="B30">
            <v>0.44419989917679154</v>
          </cell>
        </row>
        <row r="31">
          <cell r="B31">
            <v>0.30601436588831205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0.77067873885050586</v>
          </cell>
          <cell r="G33">
            <v>2.718786383929134</v>
          </cell>
          <cell r="H33">
            <v>2.2643485797019052</v>
          </cell>
          <cell r="I33">
            <v>0.33751586401223382</v>
          </cell>
          <cell r="J33">
            <v>0.4432121800584144</v>
          </cell>
          <cell r="K33">
            <v>0</v>
          </cell>
        </row>
        <row r="34">
          <cell r="I34">
            <v>1.593238834402352</v>
          </cell>
        </row>
        <row r="38">
          <cell r="B38">
            <v>191.75427824304469</v>
          </cell>
          <cell r="C38">
            <v>329.40543209351301</v>
          </cell>
          <cell r="D38">
            <v>261.08961938301184</v>
          </cell>
          <cell r="E38">
            <v>336.74648766553941</v>
          </cell>
          <cell r="F38">
            <v>30.338603848325015</v>
          </cell>
          <cell r="G38">
            <v>0</v>
          </cell>
          <cell r="H38">
            <v>5.5637467701365052E-2</v>
          </cell>
          <cell r="I38">
            <v>65.477615132709445</v>
          </cell>
          <cell r="J38">
            <v>11.649462793465466</v>
          </cell>
          <cell r="K38">
            <v>378.82323182585407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2.8060861663498198</v>
          </cell>
          <cell r="F39">
            <v>79.976919909689684</v>
          </cell>
          <cell r="G39">
            <v>41.664098802550036</v>
          </cell>
          <cell r="H39">
            <v>516.00223284408059</v>
          </cell>
          <cell r="I39">
            <v>18.398170916401273</v>
          </cell>
          <cell r="J39">
            <v>28.837944158642753</v>
          </cell>
          <cell r="K39">
            <v>0.31756225364191282</v>
          </cell>
        </row>
        <row r="41">
          <cell r="B41">
            <v>90.128159542971019</v>
          </cell>
          <cell r="C41">
            <v>238.89070577727844</v>
          </cell>
          <cell r="D41">
            <v>68.970918345180408</v>
          </cell>
          <cell r="E41">
            <v>133.45541770867524</v>
          </cell>
          <cell r="F41">
            <v>7.2182483616228614</v>
          </cell>
          <cell r="G41">
            <v>65.297385178988364</v>
          </cell>
          <cell r="H41">
            <v>256.29445782702516</v>
          </cell>
          <cell r="I41">
            <v>115.49197378596578</v>
          </cell>
          <cell r="J41">
            <v>352.04174609458266</v>
          </cell>
          <cell r="K41">
            <v>112.0138885754115</v>
          </cell>
        </row>
        <row r="42">
          <cell r="B42">
            <v>11.833575528901026</v>
          </cell>
          <cell r="C42">
            <v>0</v>
          </cell>
          <cell r="D42">
            <v>3.3661580247714318E-2</v>
          </cell>
          <cell r="E42">
            <v>33.70748240259757</v>
          </cell>
          <cell r="F42">
            <v>71.080966506555995</v>
          </cell>
          <cell r="G42">
            <v>50.688831378590869</v>
          </cell>
          <cell r="H42">
            <v>380.24845373144666</v>
          </cell>
          <cell r="I42">
            <v>7.0903528576321904</v>
          </cell>
          <cell r="J42">
            <v>34.714423708969839</v>
          </cell>
          <cell r="K42">
            <v>27.660638532644523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96.875110528155233</v>
          </cell>
          <cell r="G44">
            <v>137.78022486745289</v>
          </cell>
          <cell r="H44">
            <v>1232.3829190472845</v>
          </cell>
          <cell r="I44">
            <v>6.4807241567652731</v>
          </cell>
          <cell r="J44">
            <v>39.580366335704781</v>
          </cell>
          <cell r="K44">
            <v>0</v>
          </cell>
        </row>
        <row r="45">
          <cell r="B45">
            <v>61.610545726338941</v>
          </cell>
          <cell r="C45">
            <v>0</v>
          </cell>
          <cell r="D45">
            <v>0.17525627178425865</v>
          </cell>
          <cell r="E45">
            <v>175.49525760941899</v>
          </cell>
          <cell r="F45">
            <v>370.07725404117474</v>
          </cell>
          <cell r="G45">
            <v>263.90726588410791</v>
          </cell>
          <cell r="H45">
            <v>1979.7325574822812</v>
          </cell>
          <cell r="I45">
            <v>36.915343793102487</v>
          </cell>
          <cell r="J45">
            <v>180.73781538483294</v>
          </cell>
          <cell r="K45">
            <v>144.01285824162855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8.2191780821917818E-2</v>
          </cell>
        </row>
        <row r="21">
          <cell r="B21">
            <v>161.25034722222219</v>
          </cell>
          <cell r="C21">
            <v>225.9</v>
          </cell>
          <cell r="D21">
            <v>145.10249999999999</v>
          </cell>
          <cell r="E21">
            <v>297.52902777777774</v>
          </cell>
          <cell r="F21">
            <v>56.006666666666668</v>
          </cell>
          <cell r="G21">
            <v>0</v>
          </cell>
          <cell r="H21">
            <v>0.80208333333333337</v>
          </cell>
          <cell r="I21">
            <v>75.393055555555549</v>
          </cell>
          <cell r="J21">
            <v>98.030625000000001</v>
          </cell>
          <cell r="K21">
            <v>190.33701388888889</v>
          </cell>
        </row>
        <row r="22">
          <cell r="B22">
            <v>54.803055555555559</v>
          </cell>
          <cell r="C22">
            <v>0</v>
          </cell>
          <cell r="D22">
            <v>0.11604166666666667</v>
          </cell>
          <cell r="E22">
            <v>38.074652777777779</v>
          </cell>
          <cell r="F22">
            <v>171.66409722222224</v>
          </cell>
          <cell r="G22">
            <v>69.261458333333337</v>
          </cell>
          <cell r="H22">
            <v>752.95506944444446</v>
          </cell>
          <cell r="I22">
            <v>31.702916666666663</v>
          </cell>
          <cell r="J22">
            <v>117.84305555555558</v>
          </cell>
          <cell r="K22">
            <v>13.857777777777773</v>
          </cell>
        </row>
        <row r="24">
          <cell r="B24">
            <v>116.10024999999999</v>
          </cell>
          <cell r="C24">
            <v>162.648</v>
          </cell>
          <cell r="D24">
            <v>104.4738</v>
          </cell>
          <cell r="E24">
            <v>214.2209</v>
          </cell>
          <cell r="F24">
            <v>40.324800000000003</v>
          </cell>
          <cell r="G24">
            <v>0</v>
          </cell>
          <cell r="H24">
            <v>0.57750000000000001</v>
          </cell>
          <cell r="I24">
            <v>54.283000000000001</v>
          </cell>
          <cell r="J24">
            <v>70.58205000000001</v>
          </cell>
          <cell r="K24">
            <v>137.04264999999998</v>
          </cell>
        </row>
        <row r="25">
          <cell r="B25">
            <v>39.458200000000005</v>
          </cell>
          <cell r="C25">
            <v>0</v>
          </cell>
          <cell r="D25">
            <v>8.3549999999999999E-2</v>
          </cell>
          <cell r="E25">
            <v>27.41375</v>
          </cell>
          <cell r="F25">
            <v>123.59815</v>
          </cell>
          <cell r="G25">
            <v>49.868250000000003</v>
          </cell>
          <cell r="H25">
            <v>542.12765000000002</v>
          </cell>
          <cell r="I25">
            <v>22.8261</v>
          </cell>
          <cell r="J25">
            <v>84.847000000000008</v>
          </cell>
          <cell r="K25">
            <v>9.9775999999999971</v>
          </cell>
        </row>
        <row r="27">
          <cell r="B27">
            <v>1.6083867496744668</v>
          </cell>
          <cell r="C27">
            <v>1.9620734206211488</v>
          </cell>
          <cell r="D27">
            <v>2.4223944728318045</v>
          </cell>
          <cell r="E27">
            <v>1.5393738585830896</v>
          </cell>
          <cell r="F27">
            <v>0.78109709112704595</v>
          </cell>
          <cell r="G27">
            <v>0</v>
          </cell>
          <cell r="H27">
            <v>1.4752358860210434E-2</v>
          </cell>
          <cell r="I27">
            <v>0.99375486343120767</v>
          </cell>
          <cell r="J27">
            <v>0.16236627076110474</v>
          </cell>
          <cell r="K27">
            <v>2.8102232050712121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9.9008325193617075E-2</v>
          </cell>
          <cell r="F28">
            <v>0.63606831727059887</v>
          </cell>
          <cell r="G28">
            <v>0.82273972479482438</v>
          </cell>
          <cell r="H28">
            <v>0.94199459589597567</v>
          </cell>
          <cell r="I28">
            <v>0.85925770116268008</v>
          </cell>
          <cell r="J28">
            <v>0.33989704510821772</v>
          </cell>
          <cell r="K28">
            <v>3.2439012593329125E-2</v>
          </cell>
        </row>
        <row r="30">
          <cell r="B30">
            <v>0.4299211480495661</v>
          </cell>
        </row>
        <row r="31">
          <cell r="B31">
            <v>0.29617757173330961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0.77127175323042207</v>
          </cell>
          <cell r="G33">
            <v>2.7215566089254604</v>
          </cell>
          <cell r="H33">
            <v>2.2679957146809935</v>
          </cell>
          <cell r="I33">
            <v>0.3402265614469383</v>
          </cell>
          <cell r="J33">
            <v>0.44267784894887069</v>
          </cell>
          <cell r="K33">
            <v>0</v>
          </cell>
        </row>
        <row r="34">
          <cell r="I34">
            <v>1.5418440332925987</v>
          </cell>
        </row>
        <row r="38">
          <cell r="B38">
            <v>185.11044560101084</v>
          </cell>
          <cell r="C38">
            <v>319.12731771718865</v>
          </cell>
          <cell r="D38">
            <v>252.87524893525145</v>
          </cell>
          <cell r="E38">
            <v>326.0877115376432</v>
          </cell>
          <cell r="F38">
            <v>29.412277170266783</v>
          </cell>
          <cell r="G38">
            <v>0</v>
          </cell>
          <cell r="H38">
            <v>5.3108491896757565E-2</v>
          </cell>
          <cell r="I38">
            <v>63.129463679780002</v>
          </cell>
          <cell r="J38">
            <v>11.280486908594556</v>
          </cell>
          <cell r="K38">
            <v>366.3161675369995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2.7119939996364928</v>
          </cell>
          <cell r="F39">
            <v>77.331076768479846</v>
          </cell>
          <cell r="G39">
            <v>40.301448871994445</v>
          </cell>
          <cell r="H39">
            <v>499.28397182621563</v>
          </cell>
          <cell r="I39">
            <v>17.895085381879195</v>
          </cell>
          <cell r="J39">
            <v>27.908386631286902</v>
          </cell>
          <cell r="K39">
            <v>0.30756262563537756</v>
          </cell>
        </row>
        <row r="41">
          <cell r="B41">
            <v>87.231000939256973</v>
          </cell>
          <cell r="C41">
            <v>231.21159342105659</v>
          </cell>
          <cell r="D41">
            <v>66.753856657656101</v>
          </cell>
          <cell r="E41">
            <v>129.16550972001161</v>
          </cell>
          <cell r="F41">
            <v>6.9862186558054473</v>
          </cell>
          <cell r="G41">
            <v>63.198408763286217</v>
          </cell>
          <cell r="H41">
            <v>248.05590400163862</v>
          </cell>
          <cell r="I41">
            <v>111.77949849288716</v>
          </cell>
          <cell r="J41">
            <v>340.7254074637226</v>
          </cell>
          <cell r="K41">
            <v>108.41321590365905</v>
          </cell>
        </row>
        <row r="42">
          <cell r="B42">
            <v>11.453186698927084</v>
          </cell>
          <cell r="C42">
            <v>0</v>
          </cell>
          <cell r="D42">
            <v>3.2579532890664051E-2</v>
          </cell>
          <cell r="E42">
            <v>32.623959526424052</v>
          </cell>
          <cell r="F42">
            <v>68.796077580397508</v>
          </cell>
          <cell r="G42">
            <v>49.05944512810742</v>
          </cell>
          <cell r="H42">
            <v>368.02541395272146</v>
          </cell>
          <cell r="I42">
            <v>6.8624343370607841</v>
          </cell>
          <cell r="J42">
            <v>33.598532828345945</v>
          </cell>
          <cell r="K42">
            <v>26.771490708973854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93.665976014324997</v>
          </cell>
          <cell r="G44">
            <v>133.26325349282286</v>
          </cell>
          <cell r="H44">
            <v>1192.8343763483551</v>
          </cell>
          <cell r="I44">
            <v>6.32331798503263</v>
          </cell>
          <cell r="J44">
            <v>38.202764806589997</v>
          </cell>
          <cell r="K44">
            <v>0</v>
          </cell>
        </row>
        <row r="45">
          <cell r="B45">
            <v>59.623108767424782</v>
          </cell>
          <cell r="C45">
            <v>0</v>
          </cell>
          <cell r="D45">
            <v>0.16960284366218581</v>
          </cell>
          <cell r="E45">
            <v>169.83412026717969</v>
          </cell>
          <cell r="F45">
            <v>358.13927810436269</v>
          </cell>
          <cell r="G45">
            <v>255.3941282749432</v>
          </cell>
          <cell r="H45">
            <v>1915.8702169183366</v>
          </cell>
          <cell r="I45">
            <v>35.724526251389506</v>
          </cell>
          <cell r="J45">
            <v>174.9075632756448</v>
          </cell>
          <cell r="K45">
            <v>139.36728216931797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8.493150684931508E-2</v>
          </cell>
        </row>
        <row r="21">
          <cell r="B21">
            <v>160.9130376344086</v>
          </cell>
          <cell r="C21">
            <v>225.90000000000003</v>
          </cell>
          <cell r="D21">
            <v>144.93528225806452</v>
          </cell>
          <cell r="E21">
            <v>296.66081989247311</v>
          </cell>
          <cell r="F21">
            <v>56.047177419354838</v>
          </cell>
          <cell r="G21">
            <v>0</v>
          </cell>
          <cell r="H21">
            <v>0.81317204301075274</v>
          </cell>
          <cell r="I21">
            <v>75.067204301075265</v>
          </cell>
          <cell r="J21">
            <v>98.079099462365605</v>
          </cell>
          <cell r="K21">
            <v>188.73508064516128</v>
          </cell>
        </row>
        <row r="22">
          <cell r="B22">
            <v>55.125067204301082</v>
          </cell>
          <cell r="C22">
            <v>0</v>
          </cell>
          <cell r="D22">
            <v>0.11626344086021505</v>
          </cell>
          <cell r="E22">
            <v>37.978965053763439</v>
          </cell>
          <cell r="F22">
            <v>171.1877688172043</v>
          </cell>
          <cell r="G22">
            <v>69.087096774193554</v>
          </cell>
          <cell r="H22">
            <v>750.57358870967744</v>
          </cell>
          <cell r="I22">
            <v>31.622849462365593</v>
          </cell>
          <cell r="J22">
            <v>117.57318548387099</v>
          </cell>
          <cell r="K22">
            <v>13.82244623655914</v>
          </cell>
        </row>
        <row r="24">
          <cell r="B24">
            <v>119.71929999999999</v>
          </cell>
          <cell r="C24">
            <v>168.06960000000004</v>
          </cell>
          <cell r="D24">
            <v>107.83185</v>
          </cell>
          <cell r="E24">
            <v>220.71564999999998</v>
          </cell>
          <cell r="F24">
            <v>41.699100000000001</v>
          </cell>
          <cell r="G24">
            <v>0</v>
          </cell>
          <cell r="H24">
            <v>0.60499999999999998</v>
          </cell>
          <cell r="I24">
            <v>55.85</v>
          </cell>
          <cell r="J24">
            <v>72.970850000000013</v>
          </cell>
          <cell r="K24">
            <v>140.41890000000001</v>
          </cell>
        </row>
        <row r="25">
          <cell r="B25">
            <v>41.01305</v>
          </cell>
          <cell r="C25">
            <v>0</v>
          </cell>
          <cell r="D25">
            <v>8.6499999999999994E-2</v>
          </cell>
          <cell r="E25">
            <v>28.256349999999998</v>
          </cell>
          <cell r="F25">
            <v>127.36369999999999</v>
          </cell>
          <cell r="G25">
            <v>51.400800000000004</v>
          </cell>
          <cell r="H25">
            <v>558.42674999999997</v>
          </cell>
          <cell r="I25">
            <v>23.5274</v>
          </cell>
          <cell r="J25">
            <v>87.474450000000019</v>
          </cell>
          <cell r="K25">
            <v>10.283899999999999</v>
          </cell>
        </row>
        <row r="27">
          <cell r="B27">
            <v>1.6042632880046364</v>
          </cell>
          <cell r="C27">
            <v>1.9698284407812472</v>
          </cell>
          <cell r="D27">
            <v>2.4308695568869614</v>
          </cell>
          <cell r="E27">
            <v>1.5468033704930293</v>
          </cell>
          <cell r="F27">
            <v>0.78465130958923746</v>
          </cell>
          <cell r="G27">
            <v>0</v>
          </cell>
          <cell r="H27">
            <v>1.4956308521872328E-2</v>
          </cell>
          <cell r="I27">
            <v>0.95230052640433116</v>
          </cell>
          <cell r="J27">
            <v>0.16278960308772461</v>
          </cell>
          <cell r="K27">
            <v>2.8271437913757964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9.9152915962781626E-2</v>
          </cell>
          <cell r="F28">
            <v>0.63817202539130036</v>
          </cell>
          <cell r="G28">
            <v>0.82607917408114739</v>
          </cell>
          <cell r="H28">
            <v>0.94507597058008141</v>
          </cell>
          <cell r="I28">
            <v>0.86083852043702713</v>
          </cell>
          <cell r="J28">
            <v>0.3398628690472219</v>
          </cell>
          <cell r="K28">
            <v>3.2813682761202605E-2</v>
          </cell>
        </row>
        <row r="30">
          <cell r="B30">
            <v>0.44458955273499184</v>
          </cell>
        </row>
        <row r="31">
          <cell r="B31">
            <v>0.30628280265912133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0.77367113414862598</v>
          </cell>
          <cell r="G33">
            <v>2.7322589834003166</v>
          </cell>
          <cell r="H33">
            <v>2.2774369299871795</v>
          </cell>
          <cell r="I33">
            <v>0.3493502319296139</v>
          </cell>
          <cell r="J33">
            <v>0.43990662148724707</v>
          </cell>
          <cell r="K33">
            <v>0</v>
          </cell>
        </row>
        <row r="34">
          <cell r="I34">
            <v>1.5932388344023518</v>
          </cell>
        </row>
        <row r="38">
          <cell r="B38">
            <v>190.5554007048855</v>
          </cell>
          <cell r="C38">
            <v>331.06827811072799</v>
          </cell>
          <cell r="D38">
            <v>261.87936099377691</v>
          </cell>
          <cell r="E38">
            <v>337.36757265587977</v>
          </cell>
          <cell r="F38">
            <v>30.574983018785382</v>
          </cell>
          <cell r="G38">
            <v>0</v>
          </cell>
          <cell r="H38">
            <v>5.5637467701365052E-2</v>
          </cell>
          <cell r="I38">
            <v>63.971589928780801</v>
          </cell>
          <cell r="J38">
            <v>11.68851106982288</v>
          </cell>
          <cell r="K38">
            <v>376.91603483846649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2.7990267474075154</v>
          </cell>
          <cell r="F39">
            <v>79.90114120543025</v>
          </cell>
          <cell r="G39">
            <v>41.678675786392944</v>
          </cell>
          <cell r="H39">
            <v>515.57196133446325</v>
          </cell>
          <cell r="I39">
            <v>18.440055245575941</v>
          </cell>
          <cell r="J39">
            <v>28.750616634627345</v>
          </cell>
          <cell r="K39">
            <v>0.32025252702868062</v>
          </cell>
        </row>
        <row r="41">
          <cell r="B41">
            <v>90.207220249929847</v>
          </cell>
          <cell r="C41">
            <v>239.10026146087858</v>
          </cell>
          <cell r="D41">
            <v>69.031419853162177</v>
          </cell>
          <cell r="E41">
            <v>133.57248522370094</v>
          </cell>
          <cell r="F41">
            <v>7.2245802319436185</v>
          </cell>
          <cell r="G41">
            <v>65.354664252043804</v>
          </cell>
          <cell r="H41">
            <v>256.51928013703559</v>
          </cell>
          <cell r="I41">
            <v>115.5932837110979</v>
          </cell>
          <cell r="J41">
            <v>352.35055822906304</v>
          </cell>
          <cell r="K41">
            <v>112.11214751318289</v>
          </cell>
        </row>
        <row r="42">
          <cell r="B42">
            <v>11.84395597882822</v>
          </cell>
          <cell r="C42">
            <v>0</v>
          </cell>
          <cell r="D42">
            <v>3.3691108292503338E-2</v>
          </cell>
          <cell r="E42">
            <v>33.737050712902203</v>
          </cell>
          <cell r="F42">
            <v>71.143318955466782</v>
          </cell>
          <cell r="G42">
            <v>50.733295781991878</v>
          </cell>
          <cell r="H42">
            <v>380.58200887918804</v>
          </cell>
          <cell r="I42">
            <v>7.0965725376118405</v>
          </cell>
          <cell r="J42">
            <v>34.744875311377101</v>
          </cell>
          <cell r="K42">
            <v>27.684902532357977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96.765495143949352</v>
          </cell>
          <cell r="G44">
            <v>137.80616978142757</v>
          </cell>
          <cell r="H44">
            <v>1232.6593794995445</v>
          </cell>
          <cell r="I44">
            <v>6.6896925643939946</v>
          </cell>
          <cell r="J44">
            <v>39.178607946047627</v>
          </cell>
          <cell r="K44">
            <v>0</v>
          </cell>
        </row>
        <row r="45">
          <cell r="B45">
            <v>61.610545726338934</v>
          </cell>
          <cell r="C45">
            <v>0</v>
          </cell>
          <cell r="D45">
            <v>0.17525627178425865</v>
          </cell>
          <cell r="E45">
            <v>175.49525760941899</v>
          </cell>
          <cell r="F45">
            <v>370.0772540411748</v>
          </cell>
          <cell r="G45">
            <v>263.90726588410797</v>
          </cell>
          <cell r="H45">
            <v>1979.732557482281</v>
          </cell>
          <cell r="I45">
            <v>36.915343793102487</v>
          </cell>
          <cell r="J45">
            <v>180.73781538483297</v>
          </cell>
          <cell r="K45">
            <v>144.01285824162855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8.2191780821917818E-2</v>
          </cell>
        </row>
        <row r="21">
          <cell r="B21">
            <v>155.62534722222222</v>
          </cell>
          <cell r="C21">
            <v>225.90000000000003</v>
          </cell>
          <cell r="D21">
            <v>144.50437500000001</v>
          </cell>
          <cell r="E21">
            <v>293.21590277777773</v>
          </cell>
          <cell r="F21">
            <v>56.373125000000002</v>
          </cell>
          <cell r="G21">
            <v>0</v>
          </cell>
          <cell r="H21">
            <v>0.6875</v>
          </cell>
          <cell r="I21">
            <v>66.672222222222217</v>
          </cell>
          <cell r="J21">
            <v>97.097083333333345</v>
          </cell>
          <cell r="K21">
            <v>182.66659722222224</v>
          </cell>
        </row>
        <row r="22">
          <cell r="B22">
            <v>55.086597222222217</v>
          </cell>
          <cell r="C22">
            <v>0</v>
          </cell>
          <cell r="D22">
            <v>0.11374999999999999</v>
          </cell>
          <cell r="E22">
            <v>37.212152777777781</v>
          </cell>
          <cell r="F22">
            <v>167.36868055555558</v>
          </cell>
          <cell r="G22">
            <v>67.689583333333331</v>
          </cell>
          <cell r="H22">
            <v>735.69090277777775</v>
          </cell>
          <cell r="I22">
            <v>30.979583333333331</v>
          </cell>
          <cell r="J22">
            <v>114.97743055555556</v>
          </cell>
          <cell r="K22">
            <v>13.540694444444444</v>
          </cell>
        </row>
        <row r="24">
          <cell r="B24">
            <v>112.05025000000001</v>
          </cell>
          <cell r="C24">
            <v>162.64800000000002</v>
          </cell>
          <cell r="D24">
            <v>104.04315000000001</v>
          </cell>
          <cell r="E24">
            <v>211.11544999999998</v>
          </cell>
          <cell r="F24">
            <v>40.588650000000001</v>
          </cell>
          <cell r="G24">
            <v>0</v>
          </cell>
          <cell r="H24">
            <v>0.495</v>
          </cell>
          <cell r="I24">
            <v>48.003999999999998</v>
          </cell>
          <cell r="J24">
            <v>69.909900000000007</v>
          </cell>
          <cell r="K24">
            <v>131.51995000000002</v>
          </cell>
        </row>
        <row r="25">
          <cell r="B25">
            <v>39.662349999999996</v>
          </cell>
          <cell r="C25">
            <v>0</v>
          </cell>
          <cell r="D25">
            <v>8.1899999999999987E-2</v>
          </cell>
          <cell r="E25">
            <v>26.792750000000005</v>
          </cell>
          <cell r="F25">
            <v>120.50545000000001</v>
          </cell>
          <cell r="G25">
            <v>48.736499999999999</v>
          </cell>
          <cell r="H25">
            <v>529.69745</v>
          </cell>
          <cell r="I25">
            <v>22.305299999999999</v>
          </cell>
          <cell r="J25">
            <v>82.783749999999998</v>
          </cell>
          <cell r="K25">
            <v>9.7492999999999999</v>
          </cell>
        </row>
        <row r="27">
          <cell r="B27">
            <v>1.6016486823212239</v>
          </cell>
          <cell r="C27">
            <v>2.0012133967526951</v>
          </cell>
          <cell r="D27">
            <v>2.4667419656018659</v>
          </cell>
          <cell r="E27">
            <v>1.579769588970249</v>
          </cell>
          <cell r="F27">
            <v>0.79872699337543984</v>
          </cell>
          <cell r="G27">
            <v>0</v>
          </cell>
          <cell r="H27">
            <v>1.2644879023037512E-2</v>
          </cell>
          <cell r="I27">
            <v>0.98266586665700684</v>
          </cell>
          <cell r="J27">
            <v>0.1657062264811095</v>
          </cell>
          <cell r="K27">
            <v>2.8884572969851381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9.9515146909592483E-2</v>
          </cell>
          <cell r="F28">
            <v>0.64607669165568216</v>
          </cell>
          <cell r="G28">
            <v>0.83943699910369984</v>
          </cell>
          <cell r="H28">
            <v>0.96214427477647291</v>
          </cell>
          <cell r="I28">
            <v>0.92421491244711673</v>
          </cell>
          <cell r="J28">
            <v>0.34611093986983832</v>
          </cell>
          <cell r="K28">
            <v>3.3963626591334319E-2</v>
          </cell>
        </row>
        <row r="30">
          <cell r="B30">
            <v>0.43109010872416698</v>
          </cell>
        </row>
        <row r="31">
          <cell r="B31">
            <v>0.29698288204573731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0.78255313816964911</v>
          </cell>
          <cell r="G33">
            <v>2.7733850774212021</v>
          </cell>
          <cell r="H33">
            <v>2.3282238238451076</v>
          </cell>
          <cell r="I33">
            <v>0.38861851301881689</v>
          </cell>
          <cell r="J33">
            <v>0.4314635210554647</v>
          </cell>
          <cell r="K33">
            <v>0</v>
          </cell>
        </row>
        <row r="34">
          <cell r="I34">
            <v>1.5418440332925984</v>
          </cell>
        </row>
        <row r="38">
          <cell r="B38">
            <v>178.37747181741037</v>
          </cell>
          <cell r="C38">
            <v>325.49335655503239</v>
          </cell>
          <cell r="D38">
            <v>256.33953012067286</v>
          </cell>
          <cell r="E38">
            <v>329.2309957551293</v>
          </cell>
          <cell r="F38">
            <v>30.347068063874062</v>
          </cell>
          <cell r="G38">
            <v>0</v>
          </cell>
          <cell r="H38">
            <v>4.5521564482935047E-2</v>
          </cell>
          <cell r="I38">
            <v>58.181061703864387</v>
          </cell>
          <cell r="J38">
            <v>11.415970823345997</v>
          </cell>
          <cell r="K38">
            <v>360.17225218180801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2.6633046341448785</v>
          </cell>
          <cell r="F39">
            <v>76.523373105442317</v>
          </cell>
          <cell r="G39">
            <v>40.133060830174884</v>
          </cell>
          <cell r="H39">
            <v>497.81223307360796</v>
          </cell>
          <cell r="I39">
            <v>18.899065712575901</v>
          </cell>
          <cell r="J39">
            <v>27.770061028131686</v>
          </cell>
          <cell r="K39">
            <v>0.31457100975976482</v>
          </cell>
        </row>
        <row r="41">
          <cell r="B41">
            <v>87.468183060133484</v>
          </cell>
          <cell r="C41">
            <v>231.84026047185702</v>
          </cell>
          <cell r="D41">
            <v>66.935361181601408</v>
          </cell>
          <cell r="E41">
            <v>129.51671226508876</v>
          </cell>
          <cell r="F41">
            <v>7.0052142667677142</v>
          </cell>
          <cell r="G41">
            <v>63.370245982452559</v>
          </cell>
          <cell r="H41">
            <v>248.73037093166994</v>
          </cell>
          <cell r="I41">
            <v>112.08342826828343</v>
          </cell>
          <cell r="J41">
            <v>341.65184386716408</v>
          </cell>
          <cell r="K41">
            <v>108.70799271697319</v>
          </cell>
        </row>
        <row r="42">
          <cell r="B42">
            <v>11.484328048708663</v>
          </cell>
          <cell r="C42">
            <v>0</v>
          </cell>
          <cell r="D42">
            <v>3.2668117025031099E-2</v>
          </cell>
          <cell r="E42">
            <v>32.712664457337965</v>
          </cell>
          <cell r="F42">
            <v>68.983134927129868</v>
          </cell>
          <cell r="G42">
            <v>49.192838338310459</v>
          </cell>
          <cell r="H42">
            <v>369.02607939594571</v>
          </cell>
          <cell r="I42">
            <v>6.8810933769997336</v>
          </cell>
          <cell r="J42">
            <v>33.689887635567715</v>
          </cell>
          <cell r="K42">
            <v>26.8442827081142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92.61393057378767</v>
          </cell>
          <cell r="G44">
            <v>132.55786576742108</v>
          </cell>
          <cell r="H44">
            <v>1195.4211755622748</v>
          </cell>
          <cell r="I44">
            <v>7.2053096087649404</v>
          </cell>
          <cell r="J44">
            <v>36.491407134876866</v>
          </cell>
          <cell r="K44">
            <v>0</v>
          </cell>
        </row>
        <row r="45">
          <cell r="B45">
            <v>59.623108767424782</v>
          </cell>
          <cell r="C45">
            <v>0</v>
          </cell>
          <cell r="D45">
            <v>0.16960284366218584</v>
          </cell>
          <cell r="E45">
            <v>169.83412026717969</v>
          </cell>
          <cell r="F45">
            <v>358.13927810436257</v>
          </cell>
          <cell r="G45">
            <v>255.39412827494317</v>
          </cell>
          <cell r="H45">
            <v>1915.8702169183366</v>
          </cell>
          <cell r="I45">
            <v>35.724526251389513</v>
          </cell>
          <cell r="J45">
            <v>174.90756327564483</v>
          </cell>
          <cell r="K45">
            <v>139.36728216931797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8.4931506849315067E-2</v>
          </cell>
        </row>
        <row r="21">
          <cell r="B21">
            <v>156.22520161290322</v>
          </cell>
          <cell r="C21">
            <v>225.90000000000003</v>
          </cell>
          <cell r="D21">
            <v>144.54939516129033</v>
          </cell>
          <cell r="E21">
            <v>293.58877688172043</v>
          </cell>
          <cell r="F21">
            <v>56.336693548387103</v>
          </cell>
          <cell r="G21">
            <v>0</v>
          </cell>
          <cell r="H21">
            <v>0.70228494623655902</v>
          </cell>
          <cell r="I21">
            <v>67.630376344086017</v>
          </cell>
          <cell r="J21">
            <v>97.211559139784953</v>
          </cell>
          <cell r="K21">
            <v>183.321438172043</v>
          </cell>
        </row>
        <row r="22">
          <cell r="B22">
            <v>55.099932795698926</v>
          </cell>
          <cell r="C22">
            <v>0</v>
          </cell>
          <cell r="D22">
            <v>0.11404569892473118</v>
          </cell>
          <cell r="E22">
            <v>37.297849462365598</v>
          </cell>
          <cell r="F22">
            <v>167.79549731182797</v>
          </cell>
          <cell r="G22">
            <v>67.845766129032256</v>
          </cell>
          <cell r="H22">
            <v>737.3396505376345</v>
          </cell>
          <cell r="I22">
            <v>31.051478494623655</v>
          </cell>
          <cell r="J22">
            <v>115.2690188172043</v>
          </cell>
          <cell r="K22">
            <v>13.572177419354837</v>
          </cell>
        </row>
        <row r="24">
          <cell r="B24">
            <v>116.23155</v>
          </cell>
          <cell r="C24">
            <v>168.06960000000004</v>
          </cell>
          <cell r="D24">
            <v>107.54475000000001</v>
          </cell>
          <cell r="E24">
            <v>218.43005000000002</v>
          </cell>
          <cell r="F24">
            <v>41.914500000000004</v>
          </cell>
          <cell r="G24">
            <v>0</v>
          </cell>
          <cell r="H24">
            <v>0.52249999999999985</v>
          </cell>
          <cell r="I24">
            <v>50.317</v>
          </cell>
          <cell r="J24">
            <v>72.325400000000002</v>
          </cell>
          <cell r="K24">
            <v>136.39114999999998</v>
          </cell>
        </row>
        <row r="25">
          <cell r="B25">
            <v>40.994349999999997</v>
          </cell>
          <cell r="C25">
            <v>0</v>
          </cell>
          <cell r="D25">
            <v>8.4849999999999995E-2</v>
          </cell>
          <cell r="E25">
            <v>27.749600000000001</v>
          </cell>
          <cell r="F25">
            <v>124.83985000000001</v>
          </cell>
          <cell r="G25">
            <v>50.477249999999998</v>
          </cell>
          <cell r="H25">
            <v>548.58070000000009</v>
          </cell>
          <cell r="I25">
            <v>23.1023</v>
          </cell>
          <cell r="J25">
            <v>85.760149999999996</v>
          </cell>
          <cell r="K25">
            <v>10.0977</v>
          </cell>
        </row>
        <row r="27">
          <cell r="B27">
            <v>1.6018358914090873</v>
          </cell>
          <cell r="C27">
            <v>1.9978120429355266</v>
          </cell>
          <cell r="D27">
            <v>2.4628435337422268</v>
          </cell>
          <cell r="E27">
            <v>1.576177061825222</v>
          </cell>
          <cell r="F27">
            <v>0.7972036441409609</v>
          </cell>
          <cell r="G27">
            <v>0</v>
          </cell>
          <cell r="H27">
            <v>1.2916811905253374E-2</v>
          </cell>
          <cell r="I27">
            <v>0.9780213527008863</v>
          </cell>
          <cell r="J27">
            <v>0.1653819150024233</v>
          </cell>
          <cell r="K27">
            <v>2.8818613793703642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9.9477413135144174E-2</v>
          </cell>
          <cell r="F28">
            <v>0.64522418286358396</v>
          </cell>
          <cell r="G28">
            <v>0.83799041417353448</v>
          </cell>
          <cell r="H28">
            <v>0.9602630795838224</v>
          </cell>
          <cell r="I28">
            <v>0.9169571940848763</v>
          </cell>
          <cell r="J28">
            <v>0.34539017108213615</v>
          </cell>
          <cell r="K28">
            <v>3.3841504127066803E-2</v>
          </cell>
        </row>
        <row r="30">
          <cell r="B30">
            <v>0.44536885985139246</v>
          </cell>
        </row>
        <row r="31">
          <cell r="B31">
            <v>0.30681967620073969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0.78159620814653241</v>
          </cell>
          <cell r="G33">
            <v>2.7689429663443681</v>
          </cell>
          <cell r="H33">
            <v>2.3226338466349183</v>
          </cell>
          <cell r="I33">
            <v>0.38434678488824531</v>
          </cell>
          <cell r="J33">
            <v>0.43235960467769879</v>
          </cell>
          <cell r="K33">
            <v>0</v>
          </cell>
        </row>
        <row r="34">
          <cell r="I34">
            <v>1.5932388344023518</v>
          </cell>
        </row>
        <row r="38">
          <cell r="B38">
            <v>185.02130445944428</v>
          </cell>
          <cell r="C38">
            <v>335.77147093135682</v>
          </cell>
          <cell r="D38">
            <v>264.55390056843328</v>
          </cell>
          <cell r="E38">
            <v>339.8897718830255</v>
          </cell>
          <cell r="F38">
            <v>31.27339474193229</v>
          </cell>
          <cell r="G38">
            <v>0</v>
          </cell>
          <cell r="H38">
            <v>4.8050540287542548E-2</v>
          </cell>
          <cell r="I38">
            <v>60.529213156793844</v>
          </cell>
          <cell r="J38">
            <v>11.784946708216909</v>
          </cell>
          <cell r="K38">
            <v>372.67931647066251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2.7573968008582055</v>
          </cell>
          <cell r="F39">
            <v>79.169216246652155</v>
          </cell>
          <cell r="G39">
            <v>41.495710760730475</v>
          </cell>
          <cell r="H39">
            <v>514.53049409147297</v>
          </cell>
          <cell r="I39">
            <v>19.402151247097979</v>
          </cell>
          <cell r="J39">
            <v>28.69961855548754</v>
          </cell>
          <cell r="K39">
            <v>0.32457063776629991</v>
          </cell>
        </row>
        <row r="41">
          <cell r="B41">
            <v>90.365341663847559</v>
          </cell>
          <cell r="C41">
            <v>239.51937282807887</v>
          </cell>
          <cell r="D41">
            <v>69.152422869125715</v>
          </cell>
          <cell r="E41">
            <v>133.80662025375238</v>
          </cell>
          <cell r="F41">
            <v>7.2372439725851283</v>
          </cell>
          <cell r="G41">
            <v>65.469222398154699</v>
          </cell>
          <cell r="H41">
            <v>256.96892475705647</v>
          </cell>
          <cell r="I41">
            <v>115.79590356136205</v>
          </cell>
          <cell r="J41">
            <v>352.96818249802408</v>
          </cell>
          <cell r="K41">
            <v>112.30866538872564</v>
          </cell>
        </row>
        <row r="42">
          <cell r="B42">
            <v>11.864716878682605</v>
          </cell>
          <cell r="C42">
            <v>0</v>
          </cell>
          <cell r="D42">
            <v>3.3750164382081366E-2</v>
          </cell>
          <cell r="E42">
            <v>33.796187333511476</v>
          </cell>
          <cell r="F42">
            <v>71.268023853288341</v>
          </cell>
          <cell r="G42">
            <v>50.822224588793894</v>
          </cell>
          <cell r="H42">
            <v>381.24911917467091</v>
          </cell>
          <cell r="I42">
            <v>7.1090118975711389</v>
          </cell>
          <cell r="J42">
            <v>34.805778516191609</v>
          </cell>
          <cell r="K42">
            <v>27.733430531784869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95.82306508761792</v>
          </cell>
          <cell r="G44">
            <v>137.07483714205114</v>
          </cell>
          <cell r="H44">
            <v>1234.9697182612044</v>
          </cell>
          <cell r="I44">
            <v>7.3627157804975836</v>
          </cell>
          <cell r="J44">
            <v>37.869008663991643</v>
          </cell>
          <cell r="K44">
            <v>0</v>
          </cell>
        </row>
        <row r="45">
          <cell r="B45">
            <v>61.610545726338941</v>
          </cell>
          <cell r="C45">
            <v>0</v>
          </cell>
          <cell r="D45">
            <v>0.1752562717842587</v>
          </cell>
          <cell r="E45">
            <v>175.49525760941901</v>
          </cell>
          <cell r="F45">
            <v>370.07725404117468</v>
          </cell>
          <cell r="G45">
            <v>263.90726588410797</v>
          </cell>
          <cell r="H45">
            <v>1979.7325574822814</v>
          </cell>
          <cell r="I45">
            <v>36.915343793102501</v>
          </cell>
          <cell r="J45">
            <v>180.73781538483297</v>
          </cell>
          <cell r="K45">
            <v>144.01285824162858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103.41330645161293</v>
          </cell>
          <cell r="C21">
            <v>98</v>
          </cell>
          <cell r="D21">
            <v>59.8</v>
          </cell>
          <cell r="E21">
            <v>151.09986559139784</v>
          </cell>
          <cell r="F21">
            <v>334.80813172043008</v>
          </cell>
          <cell r="G21">
            <v>2.5149193548387094</v>
          </cell>
          <cell r="H21">
            <v>12.168279569892471</v>
          </cell>
          <cell r="I21">
            <v>186.0013440860215</v>
          </cell>
          <cell r="J21">
            <v>124.64200268817204</v>
          </cell>
          <cell r="K21">
            <v>171.84899193548387</v>
          </cell>
        </row>
        <row r="22">
          <cell r="B22">
            <v>26.133534946236558</v>
          </cell>
          <cell r="C22">
            <v>0</v>
          </cell>
          <cell r="D22">
            <v>0.11848118279569893</v>
          </cell>
          <cell r="E22">
            <v>42.070766129032258</v>
          </cell>
          <cell r="F22">
            <v>163.36760752688173</v>
          </cell>
          <cell r="G22">
            <v>71.399260752688164</v>
          </cell>
          <cell r="H22">
            <v>770.71606182795699</v>
          </cell>
          <cell r="I22">
            <v>33.019489247311832</v>
          </cell>
          <cell r="J22">
            <v>125.32278225806452</v>
          </cell>
          <cell r="K22">
            <v>12.079166666666664</v>
          </cell>
        </row>
        <row r="24">
          <cell r="B24">
            <v>76.93950000000001</v>
          </cell>
          <cell r="C24">
            <v>72.912000000000006</v>
          </cell>
          <cell r="D24">
            <v>44.491199999999999</v>
          </cell>
          <cell r="E24">
            <v>112.41829999999999</v>
          </cell>
          <cell r="F24">
            <v>249.09725</v>
          </cell>
          <cell r="G24">
            <v>1.8711</v>
          </cell>
          <cell r="H24">
            <v>9.0531999999999986</v>
          </cell>
          <cell r="I24">
            <v>138.38499999999999</v>
          </cell>
          <cell r="J24">
            <v>92.733649999999997</v>
          </cell>
          <cell r="K24">
            <v>127.85565</v>
          </cell>
        </row>
        <row r="25">
          <cell r="B25">
            <v>19.443349999999999</v>
          </cell>
          <cell r="C25">
            <v>0</v>
          </cell>
          <cell r="D25">
            <v>8.8150000000000006E-2</v>
          </cell>
          <cell r="E25">
            <v>31.300650000000001</v>
          </cell>
          <cell r="F25">
            <v>121.5455</v>
          </cell>
          <cell r="G25">
            <v>53.121049999999997</v>
          </cell>
          <cell r="H25">
            <v>573.41274999999996</v>
          </cell>
          <cell r="I25">
            <v>24.566500000000005</v>
          </cell>
          <cell r="J25">
            <v>93.240150000000014</v>
          </cell>
          <cell r="K25">
            <v>8.9868999999999986</v>
          </cell>
        </row>
        <row r="27">
          <cell r="B27">
            <v>2.7679976344560679</v>
          </cell>
          <cell r="C27">
            <v>2.8833145440040018</v>
          </cell>
          <cell r="D27">
            <v>3.2014028647267234</v>
          </cell>
          <cell r="E27">
            <v>2.0010431737072212</v>
          </cell>
          <cell r="F27">
            <v>1.0013033537176137</v>
          </cell>
          <cell r="G27">
            <v>2.6721931915155626E-2</v>
          </cell>
          <cell r="H27">
            <v>2.9650685121256373E-2</v>
          </cell>
          <cell r="I27">
            <v>0.95342481726469208</v>
          </cell>
          <cell r="J27">
            <v>0.16614799127472976</v>
          </cell>
          <cell r="K27">
            <v>3.7389585202086342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0.38356535288926735</v>
          </cell>
          <cell r="F28">
            <v>0.72204853334060615</v>
          </cell>
          <cell r="G28">
            <v>1.0504938317562382</v>
          </cell>
          <cell r="H28">
            <v>0.92718368144743413</v>
          </cell>
          <cell r="I28">
            <v>0.34914300059666109</v>
          </cell>
          <cell r="J28">
            <v>0.18641029608236631</v>
          </cell>
          <cell r="K28">
            <v>4.7867301152928012E-2</v>
          </cell>
        </row>
        <row r="30">
          <cell r="B30">
            <v>0.4353198155857807</v>
          </cell>
        </row>
        <row r="31">
          <cell r="B31">
            <v>0.29989677524010516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0.87901259470894244</v>
          </cell>
          <cell r="G33">
            <v>3.3898000515337809</v>
          </cell>
          <cell r="H33">
            <v>2.1504320072757168</v>
          </cell>
          <cell r="I33">
            <v>0</v>
          </cell>
          <cell r="J33">
            <v>0.24192787313262515</v>
          </cell>
          <cell r="K33">
            <v>0</v>
          </cell>
        </row>
        <row r="34">
          <cell r="I34">
            <v>1.5932388344023518</v>
          </cell>
        </row>
        <row r="38">
          <cell r="B38">
            <v>212.96912339274061</v>
          </cell>
          <cell r="C38">
            <v>210.22823003241973</v>
          </cell>
          <cell r="D38">
            <v>142.4342551351296</v>
          </cell>
          <cell r="E38">
            <v>224.81472973892403</v>
          </cell>
          <cell r="F38">
            <v>243.60744926441629</v>
          </cell>
          <cell r="G38">
            <v>0.32207410098698774</v>
          </cell>
          <cell r="H38">
            <v>0.44228728180419452</v>
          </cell>
          <cell r="I38">
            <v>105.44750812963547</v>
          </cell>
          <cell r="J38">
            <v>15.88087536774526</v>
          </cell>
          <cell r="K38">
            <v>477.97720615624934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11.960566744873944</v>
          </cell>
          <cell r="F39">
            <v>87.271123014755432</v>
          </cell>
          <cell r="G39">
            <v>55.12132390972068</v>
          </cell>
          <cell r="H39">
            <v>521.02682121981866</v>
          </cell>
          <cell r="I39">
            <v>7.9541776480250395</v>
          </cell>
          <cell r="J39">
            <v>16.56269683749403</v>
          </cell>
          <cell r="K39">
            <v>0.44203573962006815</v>
          </cell>
        </row>
        <row r="41">
          <cell r="B41">
            <v>88.326390582354918</v>
          </cell>
          <cell r="C41">
            <v>234.11499682203282</v>
          </cell>
          <cell r="D41">
            <v>67.592107766004148</v>
          </cell>
          <cell r="E41">
            <v>130.78748539459193</v>
          </cell>
          <cell r="F41">
            <v>7.0739470032689349</v>
          </cell>
          <cell r="G41">
            <v>63.992012891109759</v>
          </cell>
          <cell r="H41">
            <v>251.17082719668372</v>
          </cell>
          <cell r="I41">
            <v>113.18315205230296</v>
          </cell>
          <cell r="J41">
            <v>345.00401344619866</v>
          </cell>
          <cell r="K41">
            <v>109.77459789626629</v>
          </cell>
        </row>
        <row r="42">
          <cell r="B42">
            <v>11.597008298534867</v>
          </cell>
          <cell r="C42">
            <v>0</v>
          </cell>
          <cell r="D42">
            <v>3.2988645276411564E-2</v>
          </cell>
          <cell r="E42">
            <v>33.033629792697582</v>
          </cell>
          <cell r="F42">
            <v>69.659973558385957</v>
          </cell>
          <cell r="G42">
            <v>49.675501432756292</v>
          </cell>
          <cell r="H42">
            <v>372.64683549437461</v>
          </cell>
          <cell r="I42">
            <v>6.9486082823132369</v>
          </cell>
          <cell r="J42">
            <v>34.020441146342719</v>
          </cell>
          <cell r="K42">
            <v>27.107669513953105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106.27875821059723</v>
          </cell>
          <cell r="G44">
            <v>177.8969494123279</v>
          </cell>
          <cell r="H44">
            <v>1207.1812497760629</v>
          </cell>
          <cell r="I44">
            <v>0</v>
          </cell>
          <cell r="J44">
            <v>21.742387536375134</v>
          </cell>
          <cell r="K44">
            <v>0</v>
          </cell>
        </row>
        <row r="45">
          <cell r="B45">
            <v>61.610545726338941</v>
          </cell>
          <cell r="C45">
            <v>0</v>
          </cell>
          <cell r="D45">
            <v>0.17525627178425865</v>
          </cell>
          <cell r="E45">
            <v>175.49525760941901</v>
          </cell>
          <cell r="F45">
            <v>370.0772540411748</v>
          </cell>
          <cell r="G45">
            <v>263.90726588410797</v>
          </cell>
          <cell r="H45">
            <v>1979.7325574822812</v>
          </cell>
          <cell r="I45">
            <v>36.915343793102487</v>
          </cell>
          <cell r="J45">
            <v>180.73781538483303</v>
          </cell>
          <cell r="K45">
            <v>144.01285824162855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7.6712328767123306E-2</v>
          </cell>
        </row>
        <row r="21">
          <cell r="B21">
            <v>103.41227678571428</v>
          </cell>
          <cell r="C21">
            <v>98</v>
          </cell>
          <cell r="D21">
            <v>59.8</v>
          </cell>
          <cell r="E21">
            <v>151.15691964285713</v>
          </cell>
          <cell r="F21">
            <v>330.90461309523812</v>
          </cell>
          <cell r="G21">
            <v>2.2540178571428573</v>
          </cell>
          <cell r="H21">
            <v>11.525297619047617</v>
          </cell>
          <cell r="I21">
            <v>185.76041666666666</v>
          </cell>
          <cell r="J21">
            <v>123.71599702380954</v>
          </cell>
          <cell r="K21">
            <v>172.10059523809525</v>
          </cell>
        </row>
        <row r="22">
          <cell r="B22">
            <v>26.13936011904762</v>
          </cell>
          <cell r="C22">
            <v>0</v>
          </cell>
          <cell r="D22">
            <v>0.11882440476190476</v>
          </cell>
          <cell r="E22">
            <v>41.748065476190483</v>
          </cell>
          <cell r="F22">
            <v>162.30453869047619</v>
          </cell>
          <cell r="G22">
            <v>71.019419642857144</v>
          </cell>
          <cell r="H22">
            <v>767.28087797619048</v>
          </cell>
          <cell r="I22">
            <v>32.839732142857144</v>
          </cell>
          <cell r="J22">
            <v>125.10491071428571</v>
          </cell>
          <cell r="K22">
            <v>12.010044642857142</v>
          </cell>
        </row>
        <row r="24">
          <cell r="B24">
            <v>69.493049999999997</v>
          </cell>
          <cell r="C24">
            <v>65.855999999999995</v>
          </cell>
          <cell r="D24">
            <v>40.185600000000001</v>
          </cell>
          <cell r="E24">
            <v>101.57745</v>
          </cell>
          <cell r="F24">
            <v>222.36790000000002</v>
          </cell>
          <cell r="G24">
            <v>1.5146999999999999</v>
          </cell>
          <cell r="H24">
            <v>7.7449999999999992</v>
          </cell>
          <cell r="I24">
            <v>124.831</v>
          </cell>
          <cell r="J24">
            <v>83.137150000000005</v>
          </cell>
          <cell r="K24">
            <v>115.6516</v>
          </cell>
        </row>
        <row r="25">
          <cell r="B25">
            <v>17.565650000000002</v>
          </cell>
          <cell r="C25">
            <v>0</v>
          </cell>
          <cell r="D25">
            <v>7.984999999999999E-2</v>
          </cell>
          <cell r="E25">
            <v>28.054700000000004</v>
          </cell>
          <cell r="F25">
            <v>109.06864999999999</v>
          </cell>
          <cell r="G25">
            <v>47.725050000000003</v>
          </cell>
          <cell r="H25">
            <v>515.61275000000001</v>
          </cell>
          <cell r="I25">
            <v>22.068300000000001</v>
          </cell>
          <cell r="J25">
            <v>84.070499999999996</v>
          </cell>
          <cell r="K25">
            <v>8.0707500000000003</v>
          </cell>
        </row>
        <row r="27">
          <cell r="B27">
            <v>2.7709197999321198</v>
          </cell>
          <cell r="C27">
            <v>2.8846949858479412</v>
          </cell>
          <cell r="D27">
            <v>3.2124609471864654</v>
          </cell>
          <cell r="E27">
            <v>2.0034650550212736</v>
          </cell>
          <cell r="F27">
            <v>1.005138284687165</v>
          </cell>
          <cell r="G27">
            <v>2.3949758706270433E-2</v>
          </cell>
          <cell r="H27">
            <v>2.841404161671468E-2</v>
          </cell>
          <cell r="I27">
            <v>0.94149825712802637</v>
          </cell>
          <cell r="J27">
            <v>0.16495940517487642</v>
          </cell>
          <cell r="K27">
            <v>3.7399149145071795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0.38315808802791307</v>
          </cell>
          <cell r="F28">
            <v>0.72414473864907181</v>
          </cell>
          <cell r="G28">
            <v>1.0558477115040201</v>
          </cell>
          <cell r="H28">
            <v>0.93108659404592498</v>
          </cell>
          <cell r="I28">
            <v>0.34425546024198106</v>
          </cell>
          <cell r="J28">
            <v>0.18655342093465743</v>
          </cell>
          <cell r="K28">
            <v>4.7427497770502113E-2</v>
          </cell>
        </row>
        <row r="30">
          <cell r="B30">
            <v>0.39318991617255605</v>
          </cell>
        </row>
        <row r="31">
          <cell r="B31">
            <v>0.27087300806282999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0.88093075442917845</v>
          </cell>
          <cell r="G33">
            <v>3.4042172606827035</v>
          </cell>
          <cell r="H33">
            <v>2.1584409606996511</v>
          </cell>
          <cell r="I33">
            <v>0</v>
          </cell>
          <cell r="J33">
            <v>0.24146336652274519</v>
          </cell>
          <cell r="K33">
            <v>0</v>
          </cell>
        </row>
        <row r="34">
          <cell r="I34">
            <v>1.4390544310730922</v>
          </cell>
        </row>
        <row r="38">
          <cell r="B38">
            <v>192.56028525856428</v>
          </cell>
          <cell r="C38">
            <v>189.97447298800205</v>
          </cell>
          <cell r="D38">
            <v>129.09467063925641</v>
          </cell>
          <cell r="E38">
            <v>203.3814861545693</v>
          </cell>
          <cell r="F38">
            <v>218.45717264592787</v>
          </cell>
          <cell r="G38">
            <v>0.26072665317994242</v>
          </cell>
          <cell r="H38">
            <v>0.39190990730582898</v>
          </cell>
          <cell r="I38">
            <v>95.310086017646526</v>
          </cell>
          <cell r="J38">
            <v>14.087187443840286</v>
          </cell>
          <cell r="K38">
            <v>432.47178489605938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10.706027439447508</v>
          </cell>
          <cell r="F39">
            <v>78.573511305764171</v>
          </cell>
          <cell r="G39">
            <v>49.808359725646682</v>
          </cell>
          <cell r="H39">
            <v>471.01573784932646</v>
          </cell>
          <cell r="I39">
            <v>7.0787211767499665</v>
          </cell>
          <cell r="J39">
            <v>14.991688095665824</v>
          </cell>
          <cell r="K39">
            <v>0.39300409497866168</v>
          </cell>
        </row>
        <row r="41">
          <cell r="B41">
            <v>79.778233991411625</v>
          </cell>
          <cell r="C41">
            <v>211.45753691760061</v>
          </cell>
          <cell r="D41">
            <v>61.050598284112766</v>
          </cell>
          <cell r="E41">
            <v>118.12997841488273</v>
          </cell>
          <cell r="F41">
            <v>6.389336137804035</v>
          </cell>
          <cell r="G41">
            <v>57.798917677365736</v>
          </cell>
          <cell r="H41">
            <v>226.86271783324139</v>
          </cell>
          <cell r="I41">
            <v>102.22937820486456</v>
          </cell>
          <cell r="J41">
            <v>311.61480426423583</v>
          </cell>
          <cell r="K41">
            <v>99.150701161233442</v>
          </cell>
        </row>
        <row r="42">
          <cell r="B42">
            <v>10.47465922178964</v>
          </cell>
          <cell r="C42">
            <v>0</v>
          </cell>
          <cell r="D42">
            <v>2.9796030886911296E-2</v>
          </cell>
          <cell r="E42">
            <v>29.836661838120719</v>
          </cell>
          <cell r="F42">
            <v>62.918337698797146</v>
          </cell>
          <cell r="G42">
            <v>44.867946610453203</v>
          </cell>
          <cell r="H42">
            <v>336.58237636813749</v>
          </cell>
          <cell r="I42">
            <v>6.2761275968157717</v>
          </cell>
          <cell r="J42">
            <v>30.727970387665497</v>
          </cell>
          <cell r="K42">
            <v>24.484211198799205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95.623543188304907</v>
          </cell>
          <cell r="G44">
            <v>160.5934527223078</v>
          </cell>
          <cell r="H44">
            <v>1090.8382043834924</v>
          </cell>
          <cell r="I44">
            <v>0</v>
          </cell>
          <cell r="J44">
            <v>19.61517577654541</v>
          </cell>
          <cell r="K44">
            <v>0</v>
          </cell>
        </row>
        <row r="45">
          <cell r="B45">
            <v>55.64823484959647</v>
          </cell>
          <cell r="C45">
            <v>0</v>
          </cell>
          <cell r="D45">
            <v>0.1582959874180401</v>
          </cell>
          <cell r="E45">
            <v>158.51184558270106</v>
          </cell>
          <cell r="F45">
            <v>334.26332623073847</v>
          </cell>
          <cell r="G45">
            <v>238.36785305661365</v>
          </cell>
          <cell r="H45">
            <v>1788.1455357904479</v>
          </cell>
          <cell r="I45">
            <v>33.342891167963543</v>
          </cell>
          <cell r="J45">
            <v>163.24705905726853</v>
          </cell>
          <cell r="K45">
            <v>130.07613002469677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8.4931506849315067E-2</v>
          </cell>
        </row>
        <row r="21">
          <cell r="B21">
            <v>103.40887096774193</v>
          </cell>
          <cell r="C21">
            <v>98</v>
          </cell>
          <cell r="D21">
            <v>59.8</v>
          </cell>
          <cell r="E21">
            <v>150.86827956989248</v>
          </cell>
          <cell r="F21">
            <v>337.04818548387095</v>
          </cell>
          <cell r="G21">
            <v>2.6346774193548383</v>
          </cell>
          <cell r="H21">
            <v>12.911693548387095</v>
          </cell>
          <cell r="I21">
            <v>194.48622311827958</v>
          </cell>
          <cell r="J21">
            <v>126.26270161290324</v>
          </cell>
          <cell r="K21">
            <v>171.72547043010755</v>
          </cell>
        </row>
        <row r="22">
          <cell r="B22">
            <v>26.13978494623656</v>
          </cell>
          <cell r="C22">
            <v>0</v>
          </cell>
          <cell r="D22">
            <v>0.11995967741935484</v>
          </cell>
          <cell r="E22">
            <v>42.64872311827957</v>
          </cell>
          <cell r="F22">
            <v>165.61639784946237</v>
          </cell>
          <cell r="G22">
            <v>72.229368279569897</v>
          </cell>
          <cell r="H22">
            <v>777.91935483870952</v>
          </cell>
          <cell r="I22">
            <v>33.399462365591397</v>
          </cell>
          <cell r="J22">
            <v>126.77802419354838</v>
          </cell>
          <cell r="K22">
            <v>12.21619623655914</v>
          </cell>
        </row>
        <row r="24">
          <cell r="B24">
            <v>76.936199999999999</v>
          </cell>
          <cell r="C24">
            <v>72.912000000000006</v>
          </cell>
          <cell r="D24">
            <v>44.491199999999999</v>
          </cell>
          <cell r="E24">
            <v>112.246</v>
          </cell>
          <cell r="F24">
            <v>250.76384999999999</v>
          </cell>
          <cell r="G24">
            <v>1.9601999999999997</v>
          </cell>
          <cell r="H24">
            <v>9.6062999999999992</v>
          </cell>
          <cell r="I24">
            <v>144.69775000000001</v>
          </cell>
          <cell r="J24">
            <v>93.939450000000008</v>
          </cell>
          <cell r="K24">
            <v>127.76375000000002</v>
          </cell>
        </row>
        <row r="25">
          <cell r="B25">
            <v>19.448</v>
          </cell>
          <cell r="C25">
            <v>0</v>
          </cell>
          <cell r="D25">
            <v>8.9249999999999996E-2</v>
          </cell>
          <cell r="E25">
            <v>31.730649999999997</v>
          </cell>
          <cell r="F25">
            <v>123.21860000000001</v>
          </cell>
          <cell r="G25">
            <v>53.73865</v>
          </cell>
          <cell r="H25">
            <v>578.77199999999993</v>
          </cell>
          <cell r="I25">
            <v>24.849199999999996</v>
          </cell>
          <cell r="J25">
            <v>94.322849999999988</v>
          </cell>
          <cell r="K25">
            <v>9.0888500000000008</v>
          </cell>
        </row>
        <row r="27">
          <cell r="B27">
            <v>2.7672393288217525</v>
          </cell>
          <cell r="C27">
            <v>2.8841323233753249</v>
          </cell>
          <cell r="D27">
            <v>3.1788560258815903</v>
          </cell>
          <cell r="E27">
            <v>1.9995521470432243</v>
          </cell>
          <cell r="F27">
            <v>1.0008058966361653</v>
          </cell>
          <cell r="G27">
            <v>2.7994404863496369E-2</v>
          </cell>
          <cell r="H27">
            <v>3.1549572876099399E-2</v>
          </cell>
          <cell r="I27">
            <v>0.87186966260452103</v>
          </cell>
          <cell r="J27">
            <v>0.16534445933573449</v>
          </cell>
          <cell r="K27">
            <v>3.7386430706736036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0.38599773025629081</v>
          </cell>
          <cell r="F28">
            <v>0.72359263322535239</v>
          </cell>
          <cell r="G28">
            <v>1.0482324474043181</v>
          </cell>
          <cell r="H28">
            <v>0.91551318834219764</v>
          </cell>
          <cell r="I28">
            <v>0.31717003890990647</v>
          </cell>
          <cell r="J28">
            <v>0.18149407903079293</v>
          </cell>
          <cell r="K28">
            <v>4.8316124669155969E-2</v>
          </cell>
        </row>
        <row r="30">
          <cell r="B30">
            <v>0.43530944096230056</v>
          </cell>
        </row>
        <row r="31">
          <cell r="B31">
            <v>0.29988962804391822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0.88235369261790542</v>
          </cell>
          <cell r="G33">
            <v>3.3883045792202839</v>
          </cell>
          <cell r="H33">
            <v>2.1215559444342595</v>
          </cell>
          <cell r="I33">
            <v>0</v>
          </cell>
          <cell r="J33">
            <v>0.24059289595388184</v>
          </cell>
          <cell r="K33">
            <v>0</v>
          </cell>
        </row>
        <row r="34">
          <cell r="I34">
            <v>1.593238834402352</v>
          </cell>
        </row>
        <row r="38">
          <cell r="B38">
            <v>212.90139638591862</v>
          </cell>
          <cell r="C38">
            <v>210.28785596194169</v>
          </cell>
          <cell r="D38">
            <v>141.431119218703</v>
          </cell>
          <cell r="E38">
            <v>224.29844355810758</v>
          </cell>
          <cell r="F38">
            <v>244.96996578777166</v>
          </cell>
          <cell r="G38">
            <v>0.33741096293874906</v>
          </cell>
          <cell r="H38">
            <v>0.47327535636200413</v>
          </cell>
          <cell r="I38">
            <v>105.82477770162269</v>
          </cell>
          <cell r="J38">
            <v>16.043599313548835</v>
          </cell>
          <cell r="K38">
            <v>477.58952203520766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12.185490938720044</v>
          </cell>
          <cell r="F39">
            <v>88.558264115786059</v>
          </cell>
          <cell r="G39">
            <v>55.646661017570437</v>
          </cell>
          <cell r="H39">
            <v>519.78473354723235</v>
          </cell>
          <cell r="I39">
            <v>7.376306278617875</v>
          </cell>
          <cell r="J39">
            <v>16.350905378073207</v>
          </cell>
          <cell r="K39">
            <v>0.45079570205261099</v>
          </cell>
        </row>
        <row r="41">
          <cell r="B41">
            <v>88.324285571250769</v>
          </cell>
          <cell r="C41">
            <v>234.10941734952522</v>
          </cell>
          <cell r="D41">
            <v>67.590496898216387</v>
          </cell>
          <cell r="E41">
            <v>130.78436844271354</v>
          </cell>
          <cell r="F41">
            <v>7.0737784156373849</v>
          </cell>
          <cell r="G41">
            <v>63.990487821458167</v>
          </cell>
          <cell r="H41">
            <v>251.16484124642818</v>
          </cell>
          <cell r="I41">
            <v>113.18045465019816</v>
          </cell>
          <cell r="J41">
            <v>344.99579124585205</v>
          </cell>
          <cell r="K41">
            <v>109.77198172746331</v>
          </cell>
        </row>
        <row r="42">
          <cell r="B42">
            <v>11.596731916458319</v>
          </cell>
          <cell r="C42">
            <v>0</v>
          </cell>
          <cell r="D42">
            <v>3.2987859084831012E-2</v>
          </cell>
          <cell r="E42">
            <v>33.032842529037595</v>
          </cell>
          <cell r="F42">
            <v>69.658313408832839</v>
          </cell>
          <cell r="G42">
            <v>49.674317556890564</v>
          </cell>
          <cell r="H42">
            <v>372.63795450510901</v>
          </cell>
          <cell r="I42">
            <v>6.9484426817775873</v>
          </cell>
          <cell r="J42">
            <v>34.019630364809508</v>
          </cell>
          <cell r="K42">
            <v>27.107023478889769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107.96098983131375</v>
          </cell>
          <cell r="G44">
            <v>179.85312529429962</v>
          </cell>
          <cell r="H44">
            <v>1203.4077456613427</v>
          </cell>
          <cell r="I44">
            <v>0</v>
          </cell>
          <cell r="J44">
            <v>21.877484148406637</v>
          </cell>
          <cell r="K44">
            <v>0</v>
          </cell>
        </row>
        <row r="45">
          <cell r="B45">
            <v>61.610545726338934</v>
          </cell>
          <cell r="C45">
            <v>0</v>
          </cell>
          <cell r="D45">
            <v>0.17525627178425865</v>
          </cell>
          <cell r="E45">
            <v>175.49525760941901</v>
          </cell>
          <cell r="F45">
            <v>370.07725404117474</v>
          </cell>
          <cell r="G45">
            <v>263.90726588410791</v>
          </cell>
          <cell r="H45">
            <v>1979.732557482281</v>
          </cell>
          <cell r="I45">
            <v>36.915343793102487</v>
          </cell>
          <cell r="J45">
            <v>180.737815384833</v>
          </cell>
          <cell r="K45">
            <v>144.01285824162858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103.41375000000001</v>
          </cell>
          <cell r="C21">
            <v>98</v>
          </cell>
          <cell r="D21">
            <v>59.8</v>
          </cell>
          <cell r="E21">
            <v>151.18125000000001</v>
          </cell>
          <cell r="F21">
            <v>332.25986111111109</v>
          </cell>
          <cell r="G21">
            <v>2.3512499999999998</v>
          </cell>
          <cell r="H21">
            <v>11.665416666666667</v>
          </cell>
          <cell r="I21">
            <v>183.99131944444446</v>
          </cell>
          <cell r="J21">
            <v>123.79569444444444</v>
          </cell>
          <cell r="K21">
            <v>172.00861111111109</v>
          </cell>
        </row>
        <row r="22">
          <cell r="B22">
            <v>26.135208333333331</v>
          </cell>
          <cell r="C22">
            <v>0</v>
          </cell>
          <cell r="D22">
            <v>0.11833333333333333</v>
          </cell>
          <cell r="E22">
            <v>41.772916666666674</v>
          </cell>
          <cell r="F22">
            <v>162.3098611111111</v>
          </cell>
          <cell r="G22">
            <v>71.015416666666667</v>
          </cell>
          <cell r="H22">
            <v>767.31215277777778</v>
          </cell>
          <cell r="I22">
            <v>32.840694444444452</v>
          </cell>
          <cell r="J22">
            <v>124.88527777777779</v>
          </cell>
          <cell r="K22">
            <v>12.012430555555554</v>
          </cell>
        </row>
        <row r="24">
          <cell r="B24">
            <v>74.457900000000009</v>
          </cell>
          <cell r="C24">
            <v>70.56</v>
          </cell>
          <cell r="D24">
            <v>43.055999999999997</v>
          </cell>
          <cell r="E24">
            <v>108.8505</v>
          </cell>
          <cell r="F24">
            <v>239.22710000000001</v>
          </cell>
          <cell r="G24">
            <v>1.6928999999999998</v>
          </cell>
          <cell r="H24">
            <v>8.3991000000000007</v>
          </cell>
          <cell r="I24">
            <v>132.47375</v>
          </cell>
          <cell r="J24">
            <v>89.132899999999992</v>
          </cell>
          <cell r="K24">
            <v>123.8462</v>
          </cell>
        </row>
        <row r="25">
          <cell r="B25">
            <v>18.817349999999998</v>
          </cell>
          <cell r="C25">
            <v>0</v>
          </cell>
          <cell r="D25">
            <v>8.5199999999999998E-2</v>
          </cell>
          <cell r="E25">
            <v>30.076500000000003</v>
          </cell>
          <cell r="F25">
            <v>116.86309999999999</v>
          </cell>
          <cell r="G25">
            <v>51.131099999999996</v>
          </cell>
          <cell r="H25">
            <v>552.46474999999998</v>
          </cell>
          <cell r="I25">
            <v>23.645300000000002</v>
          </cell>
          <cell r="J25">
            <v>89.917400000000015</v>
          </cell>
          <cell r="K25">
            <v>8.6489499999999992</v>
          </cell>
        </row>
        <row r="27">
          <cell r="B27">
            <v>2.7697013591223123</v>
          </cell>
          <cell r="C27">
            <v>2.8838583456309355</v>
          </cell>
          <cell r="D27">
            <v>3.2122179777134168</v>
          </cell>
          <cell r="E27">
            <v>2.0026466789929582</v>
          </cell>
          <cell r="F27">
            <v>1.0034287727347562</v>
          </cell>
          <cell r="G27">
            <v>2.4982885552423274E-2</v>
          </cell>
          <cell r="H27">
            <v>2.8579406733782644E-2</v>
          </cell>
          <cell r="I27">
            <v>0.9652614503680671</v>
          </cell>
          <cell r="J27">
            <v>0.16570183423588258</v>
          </cell>
          <cell r="K27">
            <v>3.7395310624800655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0.38281143514163379</v>
          </cell>
          <cell r="F28">
            <v>0.72280719484678591</v>
          </cell>
          <cell r="G28">
            <v>1.0538089035181286</v>
          </cell>
          <cell r="H28">
            <v>0.93182495831439638</v>
          </cell>
          <cell r="I28">
            <v>0.35367213804891617</v>
          </cell>
          <cell r="J28">
            <v>0.18757677727126512</v>
          </cell>
          <cell r="K28">
            <v>4.7536586600115359E-2</v>
          </cell>
        </row>
        <row r="30">
          <cell r="B30">
            <v>0.42127824488528576</v>
          </cell>
        </row>
        <row r="31">
          <cell r="B31">
            <v>0.29022337738037784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0.87927881615696823</v>
          </cell>
          <cell r="G33">
            <v>3.3977072739235932</v>
          </cell>
          <cell r="H33">
            <v>2.1610499414437663</v>
          </cell>
          <cell r="I33">
            <v>0</v>
          </cell>
          <cell r="J33">
            <v>0.24198013842098701</v>
          </cell>
          <cell r="K33">
            <v>0</v>
          </cell>
        </row>
        <row r="34">
          <cell r="I34">
            <v>1.5418440332925987</v>
          </cell>
        </row>
        <row r="38">
          <cell r="B38">
            <v>206.22689935702701</v>
          </cell>
          <cell r="C38">
            <v>203.48504486771881</v>
          </cell>
          <cell r="D38">
            <v>138.30525724842883</v>
          </cell>
          <cell r="E38">
            <v>217.85539622817953</v>
          </cell>
          <cell r="F38">
            <v>234.56958515782981</v>
          </cell>
          <cell r="G38">
            <v>0.29140037708346506</v>
          </cell>
          <cell r="H38">
            <v>0.41709859455501175</v>
          </cell>
          <cell r="I38">
            <v>102.00274980585854</v>
          </cell>
          <cell r="J38">
            <v>15.18904832669455</v>
          </cell>
          <cell r="K38">
            <v>463.06433535776415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11.47178090339747</v>
          </cell>
          <cell r="F39">
            <v>84.037551068318692</v>
          </cell>
          <cell r="G39">
            <v>53.242389966105101</v>
          </cell>
          <cell r="H39">
            <v>504.71762618283395</v>
          </cell>
          <cell r="I39">
            <v>7.7622229135063527</v>
          </cell>
          <cell r="J39">
            <v>16.091832974210639</v>
          </cell>
          <cell r="K39">
            <v>0.42237398640206503</v>
          </cell>
        </row>
        <row r="41">
          <cell r="B41">
            <v>85.477355887224491</v>
          </cell>
          <cell r="C41">
            <v>226.56344009930669</v>
          </cell>
          <cell r="D41">
            <v>65.411873083338307</v>
          </cell>
          <cell r="E41">
            <v>126.56883589333528</v>
          </cell>
          <cell r="F41">
            <v>6.8457714793858937</v>
          </cell>
          <cell r="G41">
            <v>61.927901998137003</v>
          </cell>
          <cell r="H41">
            <v>243.06912173391225</v>
          </cell>
          <cell r="I41">
            <v>109.5323436701743</v>
          </cell>
          <cell r="J41">
            <v>333.8756474189355</v>
          </cell>
          <cell r="K41">
            <v>106.23373501272249</v>
          </cell>
        </row>
        <row r="42">
          <cell r="B42">
            <v>11.222938003299213</v>
          </cell>
          <cell r="C42">
            <v>0</v>
          </cell>
          <cell r="D42">
            <v>3.1924571511841568E-2</v>
          </cell>
          <cell r="E42">
            <v>31.968105018448618</v>
          </cell>
          <cell r="F42">
            <v>67.413038296781863</v>
          </cell>
          <cell r="G42">
            <v>48.073180471299544</v>
          </cell>
          <cell r="H42">
            <v>360.62682928383975</v>
          </cell>
          <cell r="I42">
            <v>6.7244756539033554</v>
          </cell>
          <cell r="J42">
            <v>32.923086023705849</v>
          </cell>
          <cell r="K42">
            <v>26.233291081412354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102.28064869901792</v>
          </cell>
          <cell r="G44">
            <v>171.68877162875958</v>
          </cell>
          <cell r="H44">
            <v>1169.3212788043568</v>
          </cell>
          <cell r="I44">
            <v>0</v>
          </cell>
          <cell r="J44">
            <v>20.998989514991081</v>
          </cell>
          <cell r="K44">
            <v>0</v>
          </cell>
        </row>
        <row r="45">
          <cell r="B45">
            <v>59.623108767424789</v>
          </cell>
          <cell r="C45">
            <v>0</v>
          </cell>
          <cell r="D45">
            <v>0.16960284366218581</v>
          </cell>
          <cell r="E45">
            <v>169.83412026717969</v>
          </cell>
          <cell r="F45">
            <v>358.13927810436269</v>
          </cell>
          <cell r="G45">
            <v>255.3941282749432</v>
          </cell>
          <cell r="H45">
            <v>1915.8702169183371</v>
          </cell>
          <cell r="I45">
            <v>35.724526251389506</v>
          </cell>
          <cell r="J45">
            <v>174.90756327564483</v>
          </cell>
          <cell r="K45">
            <v>139.367282169318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8.493150684931508E-2</v>
          </cell>
        </row>
        <row r="21">
          <cell r="B21">
            <v>103.41108870967743</v>
          </cell>
          <cell r="C21">
            <v>98</v>
          </cell>
          <cell r="D21">
            <v>59.8</v>
          </cell>
          <cell r="E21">
            <v>150.96108870967743</v>
          </cell>
          <cell r="F21">
            <v>336.84563172043005</v>
          </cell>
          <cell r="G21">
            <v>2.6346774193548383</v>
          </cell>
          <cell r="H21">
            <v>12.709139784946235</v>
          </cell>
          <cell r="I21">
            <v>190.70228494623655</v>
          </cell>
          <cell r="J21">
            <v>125.72244623655914</v>
          </cell>
          <cell r="K21">
            <v>171.72909946236561</v>
          </cell>
        </row>
        <row r="22">
          <cell r="B22">
            <v>26.135752688172044</v>
          </cell>
          <cell r="C22">
            <v>0</v>
          </cell>
          <cell r="D22">
            <v>0.11922043010752689</v>
          </cell>
          <cell r="E22">
            <v>42.454502688172042</v>
          </cell>
          <cell r="F22">
            <v>164.82076612903228</v>
          </cell>
          <cell r="G22">
            <v>71.933064516129022</v>
          </cell>
          <cell r="H22">
            <v>775.37701612903231</v>
          </cell>
          <cell r="I22">
            <v>33.265053763440861</v>
          </cell>
          <cell r="J22">
            <v>126.16565860215054</v>
          </cell>
          <cell r="K22">
            <v>12.168615591397849</v>
          </cell>
        </row>
        <row r="24">
          <cell r="B24">
            <v>76.937850000000012</v>
          </cell>
          <cell r="C24">
            <v>72.912000000000006</v>
          </cell>
          <cell r="D24">
            <v>44.491199999999999</v>
          </cell>
          <cell r="E24">
            <v>112.31505</v>
          </cell>
          <cell r="F24">
            <v>250.61314999999996</v>
          </cell>
          <cell r="G24">
            <v>1.9601999999999997</v>
          </cell>
          <cell r="H24">
            <v>9.4555999999999987</v>
          </cell>
          <cell r="I24">
            <v>141.88249999999999</v>
          </cell>
          <cell r="J24">
            <v>93.537499999999994</v>
          </cell>
          <cell r="K24">
            <v>127.76645000000001</v>
          </cell>
        </row>
        <row r="25">
          <cell r="B25">
            <v>19.445</v>
          </cell>
          <cell r="C25">
            <v>0</v>
          </cell>
          <cell r="D25">
            <v>8.8700000000000001E-2</v>
          </cell>
          <cell r="E25">
            <v>31.586149999999996</v>
          </cell>
          <cell r="F25">
            <v>122.62665000000001</v>
          </cell>
          <cell r="G25">
            <v>53.5182</v>
          </cell>
          <cell r="H25">
            <v>576.88049999999998</v>
          </cell>
          <cell r="I25">
            <v>24.749200000000002</v>
          </cell>
          <cell r="J25">
            <v>93.867249999999999</v>
          </cell>
          <cell r="K25">
            <v>9.0534499999999998</v>
          </cell>
        </row>
        <row r="27">
          <cell r="B27">
            <v>2.7669758918614842</v>
          </cell>
          <cell r="C27">
            <v>2.883476494388058</v>
          </cell>
          <cell r="D27">
            <v>3.1867503285532965</v>
          </cell>
          <cell r="E27">
            <v>1.999723554078116</v>
          </cell>
          <cell r="F27">
            <v>1.0002352804496533</v>
          </cell>
          <cell r="G27">
            <v>2.7994404863496369E-2</v>
          </cell>
          <cell r="H27">
            <v>3.0948045950778977E-2</v>
          </cell>
          <cell r="I27">
            <v>0.91119416718301793</v>
          </cell>
          <cell r="J27">
            <v>0.16595405829184268</v>
          </cell>
          <cell r="K27">
            <v>3.7385872438682535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0.38498312578762039</v>
          </cell>
          <cell r="F28">
            <v>0.72246016032456317</v>
          </cell>
          <cell r="G28">
            <v>1.0481438237934235</v>
          </cell>
          <cell r="H28">
            <v>0.91997702928043235</v>
          </cell>
          <cell r="I28">
            <v>0.3326307929308181</v>
          </cell>
          <cell r="J28">
            <v>0.18368579565510276</v>
          </cell>
          <cell r="K28">
            <v>4.8204541411511662E-2</v>
          </cell>
        </row>
        <row r="30">
          <cell r="B30">
            <v>0.4353146282740406</v>
          </cell>
        </row>
        <row r="31">
          <cell r="B31">
            <v>0.29989320164201166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0.88044617080595466</v>
          </cell>
          <cell r="G33">
            <v>3.3859900751829013</v>
          </cell>
          <cell r="H33">
            <v>2.1329425306376577</v>
          </cell>
          <cell r="I33">
            <v>0</v>
          </cell>
          <cell r="J33">
            <v>0.24129244997595573</v>
          </cell>
          <cell r="K33">
            <v>0</v>
          </cell>
        </row>
        <row r="34">
          <cell r="I34">
            <v>1.593238834402352</v>
          </cell>
        </row>
        <row r="38">
          <cell r="B38">
            <v>212.88582571478815</v>
          </cell>
          <cell r="C38">
            <v>210.24003815882207</v>
          </cell>
          <cell r="D38">
            <v>141.78234621773044</v>
          </cell>
          <cell r="E38">
            <v>224.45755332794479</v>
          </cell>
          <cell r="F38">
            <v>244.71606000595841</v>
          </cell>
          <cell r="G38">
            <v>0.33741096293874906</v>
          </cell>
          <cell r="H38">
            <v>0.46101286907319206</v>
          </cell>
          <cell r="I38">
            <v>105.63888227341181</v>
          </cell>
          <cell r="J38">
            <v>16.029047749428837</v>
          </cell>
          <cell r="K38">
            <v>477.59237516099051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12.106147549156972</v>
          </cell>
          <cell r="F39">
            <v>88.034538091871937</v>
          </cell>
          <cell r="G39">
            <v>55.404382161261523</v>
          </cell>
          <cell r="H39">
            <v>520.25162590911054</v>
          </cell>
          <cell r="I39">
            <v>7.6616897689829804</v>
          </cell>
          <cell r="J39">
            <v>16.439293967027748</v>
          </cell>
          <cell r="K39">
            <v>0.44827359876845013</v>
          </cell>
        </row>
        <row r="41">
          <cell r="B41">
            <v>88.325338076802836</v>
          </cell>
          <cell r="C41">
            <v>234.112207085779</v>
          </cell>
          <cell r="D41">
            <v>67.591302332110274</v>
          </cell>
          <cell r="E41">
            <v>130.78592691865276</v>
          </cell>
          <cell r="F41">
            <v>7.0738627094531594</v>
          </cell>
          <cell r="G41">
            <v>63.991250356283963</v>
          </cell>
          <cell r="H41">
            <v>251.16783422155595</v>
          </cell>
          <cell r="I41">
            <v>113.18180335125055</v>
          </cell>
          <cell r="J41">
            <v>344.99990234602529</v>
          </cell>
          <cell r="K41">
            <v>109.7732898118648</v>
          </cell>
        </row>
        <row r="42">
          <cell r="B42">
            <v>11.596870107496596</v>
          </cell>
          <cell r="C42">
            <v>0</v>
          </cell>
          <cell r="D42">
            <v>3.2988252180621284E-2</v>
          </cell>
          <cell r="E42">
            <v>33.033236160867588</v>
          </cell>
          <cell r="F42">
            <v>69.659143483609384</v>
          </cell>
          <cell r="G42">
            <v>49.674909494823424</v>
          </cell>
          <cell r="H42">
            <v>372.64239499974178</v>
          </cell>
          <cell r="I42">
            <v>6.9485254820454125</v>
          </cell>
          <cell r="J42">
            <v>34.02003575557611</v>
          </cell>
          <cell r="K42">
            <v>27.107346496421439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107.28587325498458</v>
          </cell>
          <cell r="G44">
            <v>178.98935359321345</v>
          </cell>
          <cell r="H44">
            <v>1205.0023709120051</v>
          </cell>
          <cell r="I44">
            <v>0</v>
          </cell>
          <cell r="J44">
            <v>21.821747175159775</v>
          </cell>
          <cell r="K44">
            <v>0</v>
          </cell>
        </row>
        <row r="45">
          <cell r="B45">
            <v>61.610545726338934</v>
          </cell>
          <cell r="C45">
            <v>0</v>
          </cell>
          <cell r="D45">
            <v>0.17525627178425865</v>
          </cell>
          <cell r="E45">
            <v>175.49525760941899</v>
          </cell>
          <cell r="F45">
            <v>370.0772540411748</v>
          </cell>
          <cell r="G45">
            <v>263.90726588410797</v>
          </cell>
          <cell r="H45">
            <v>1979.732557482281</v>
          </cell>
          <cell r="I45">
            <v>36.915343793102487</v>
          </cell>
          <cell r="J45">
            <v>180.73781538483297</v>
          </cell>
          <cell r="K45">
            <v>144.01285824162855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8.2191780821917818E-2</v>
          </cell>
        </row>
        <row r="21">
          <cell r="B21">
            <v>161.25034722222219</v>
          </cell>
          <cell r="C21">
            <v>225.9</v>
          </cell>
          <cell r="D21">
            <v>145.10249999999999</v>
          </cell>
          <cell r="E21">
            <v>297.52902777777774</v>
          </cell>
          <cell r="F21">
            <v>56.006666666666668</v>
          </cell>
          <cell r="G21">
            <v>0</v>
          </cell>
          <cell r="H21">
            <v>0.80208333333333337</v>
          </cell>
          <cell r="I21">
            <v>75.393055555555549</v>
          </cell>
          <cell r="J21">
            <v>98.030625000000001</v>
          </cell>
          <cell r="K21">
            <v>190.33701388888889</v>
          </cell>
        </row>
        <row r="22">
          <cell r="B22">
            <v>54.803055555555559</v>
          </cell>
          <cell r="C22">
            <v>0</v>
          </cell>
          <cell r="D22">
            <v>0.11604166666666667</v>
          </cell>
          <cell r="E22">
            <v>38.074652777777779</v>
          </cell>
          <cell r="F22">
            <v>171.66409722222224</v>
          </cell>
          <cell r="G22">
            <v>69.261458333333337</v>
          </cell>
          <cell r="H22">
            <v>752.95506944444446</v>
          </cell>
          <cell r="I22">
            <v>31.702916666666663</v>
          </cell>
          <cell r="J22">
            <v>117.84305555555558</v>
          </cell>
          <cell r="K22">
            <v>13.857777777777773</v>
          </cell>
        </row>
        <row r="24">
          <cell r="B24">
            <v>116.10024999999999</v>
          </cell>
          <cell r="C24">
            <v>162.648</v>
          </cell>
          <cell r="D24">
            <v>104.4738</v>
          </cell>
          <cell r="E24">
            <v>214.2209</v>
          </cell>
          <cell r="F24">
            <v>40.324800000000003</v>
          </cell>
          <cell r="G24">
            <v>0</v>
          </cell>
          <cell r="H24">
            <v>0.57750000000000001</v>
          </cell>
          <cell r="I24">
            <v>54.283000000000001</v>
          </cell>
          <cell r="J24">
            <v>70.58205000000001</v>
          </cell>
          <cell r="K24">
            <v>137.04264999999998</v>
          </cell>
        </row>
        <row r="25">
          <cell r="B25">
            <v>39.458200000000005</v>
          </cell>
          <cell r="C25">
            <v>0</v>
          </cell>
          <cell r="D25">
            <v>8.3549999999999999E-2</v>
          </cell>
          <cell r="E25">
            <v>27.41375</v>
          </cell>
          <cell r="F25">
            <v>123.59815</v>
          </cell>
          <cell r="G25">
            <v>49.868250000000003</v>
          </cell>
          <cell r="H25">
            <v>542.12765000000002</v>
          </cell>
          <cell r="I25">
            <v>22.8261</v>
          </cell>
          <cell r="J25">
            <v>84.847000000000008</v>
          </cell>
          <cell r="K25">
            <v>9.9775999999999971</v>
          </cell>
        </row>
        <row r="27">
          <cell r="B27">
            <v>1.6083867496744668</v>
          </cell>
          <cell r="C27">
            <v>1.9620734206211488</v>
          </cell>
          <cell r="D27">
            <v>2.4223944728318045</v>
          </cell>
          <cell r="E27">
            <v>1.5393738585830896</v>
          </cell>
          <cell r="F27">
            <v>0.78109709112704595</v>
          </cell>
          <cell r="G27">
            <v>0</v>
          </cell>
          <cell r="H27">
            <v>1.4752358860210434E-2</v>
          </cell>
          <cell r="I27">
            <v>0.99375486343120767</v>
          </cell>
          <cell r="J27">
            <v>0.16236627076110474</v>
          </cell>
          <cell r="K27">
            <v>2.8102232050712121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9.9008325193617075E-2</v>
          </cell>
          <cell r="F28">
            <v>0.63606831727059887</v>
          </cell>
          <cell r="G28">
            <v>0.82273972479482438</v>
          </cell>
          <cell r="H28">
            <v>0.94199459589597567</v>
          </cell>
          <cell r="I28">
            <v>0.85925770116268008</v>
          </cell>
          <cell r="J28">
            <v>0.33989704510821772</v>
          </cell>
          <cell r="K28">
            <v>3.2439012593329125E-2</v>
          </cell>
        </row>
        <row r="30">
          <cell r="B30">
            <v>0.4299211480495661</v>
          </cell>
        </row>
        <row r="31">
          <cell r="B31">
            <v>0.29617757173330961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0.77127175323042207</v>
          </cell>
          <cell r="G33">
            <v>2.7215566089254604</v>
          </cell>
          <cell r="H33">
            <v>2.2679957146809935</v>
          </cell>
          <cell r="I33">
            <v>0.3402265614469383</v>
          </cell>
          <cell r="J33">
            <v>0.44267784894887069</v>
          </cell>
          <cell r="K33">
            <v>0</v>
          </cell>
        </row>
        <row r="34">
          <cell r="I34">
            <v>1.5418440332925987</v>
          </cell>
        </row>
        <row r="38">
          <cell r="B38">
            <v>185.11044560101084</v>
          </cell>
          <cell r="C38">
            <v>319.12731771718865</v>
          </cell>
          <cell r="D38">
            <v>252.87524893525145</v>
          </cell>
          <cell r="E38">
            <v>326.0877115376432</v>
          </cell>
          <cell r="F38">
            <v>29.412277170266783</v>
          </cell>
          <cell r="G38">
            <v>0</v>
          </cell>
          <cell r="H38">
            <v>5.3108491896757565E-2</v>
          </cell>
          <cell r="I38">
            <v>63.129463679780002</v>
          </cell>
          <cell r="J38">
            <v>11.280486908594556</v>
          </cell>
          <cell r="K38">
            <v>366.3161675369995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2.7119939996364928</v>
          </cell>
          <cell r="F39">
            <v>77.331076768479846</v>
          </cell>
          <cell r="G39">
            <v>40.301448871994445</v>
          </cell>
          <cell r="H39">
            <v>499.28397182621563</v>
          </cell>
          <cell r="I39">
            <v>17.895085381879195</v>
          </cell>
          <cell r="J39">
            <v>27.908386631286902</v>
          </cell>
          <cell r="K39">
            <v>0.30756262563537756</v>
          </cell>
        </row>
        <row r="41">
          <cell r="B41">
            <v>87.231000939256973</v>
          </cell>
          <cell r="C41">
            <v>231.21159342105659</v>
          </cell>
          <cell r="D41">
            <v>66.753856657656101</v>
          </cell>
          <cell r="E41">
            <v>129.16550972001161</v>
          </cell>
          <cell r="F41">
            <v>6.9862186558054473</v>
          </cell>
          <cell r="G41">
            <v>63.198408763286217</v>
          </cell>
          <cell r="H41">
            <v>248.05590400163862</v>
          </cell>
          <cell r="I41">
            <v>111.77949849288716</v>
          </cell>
          <cell r="J41">
            <v>340.7254074637226</v>
          </cell>
          <cell r="K41">
            <v>108.41321590365905</v>
          </cell>
        </row>
        <row r="42">
          <cell r="B42">
            <v>11.453186698927084</v>
          </cell>
          <cell r="C42">
            <v>0</v>
          </cell>
          <cell r="D42">
            <v>3.2579532890664051E-2</v>
          </cell>
          <cell r="E42">
            <v>32.623959526424052</v>
          </cell>
          <cell r="F42">
            <v>68.796077580397508</v>
          </cell>
          <cell r="G42">
            <v>49.05944512810742</v>
          </cell>
          <cell r="H42">
            <v>368.02541395272146</v>
          </cell>
          <cell r="I42">
            <v>6.8624343370607841</v>
          </cell>
          <cell r="J42">
            <v>33.598532828345945</v>
          </cell>
          <cell r="K42">
            <v>26.771490708973854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93.665976014324997</v>
          </cell>
          <cell r="G44">
            <v>133.26325349282286</v>
          </cell>
          <cell r="H44">
            <v>1192.8343763483551</v>
          </cell>
          <cell r="I44">
            <v>6.32331798503263</v>
          </cell>
          <cell r="J44">
            <v>38.202764806589997</v>
          </cell>
          <cell r="K44">
            <v>0</v>
          </cell>
        </row>
        <row r="45">
          <cell r="B45">
            <v>59.623108767424782</v>
          </cell>
          <cell r="C45">
            <v>0</v>
          </cell>
          <cell r="D45">
            <v>0.16960284366218581</v>
          </cell>
          <cell r="E45">
            <v>169.83412026717969</v>
          </cell>
          <cell r="F45">
            <v>358.13927810436269</v>
          </cell>
          <cell r="G45">
            <v>255.3941282749432</v>
          </cell>
          <cell r="H45">
            <v>1915.8702169183366</v>
          </cell>
          <cell r="I45">
            <v>35.724526251389506</v>
          </cell>
          <cell r="J45">
            <v>174.9075632756448</v>
          </cell>
          <cell r="K45">
            <v>139.36728216931797</v>
          </cell>
        </row>
        <row r="46">
          <cell r="G4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2</v>
          </cell>
          <cell r="C1" t="str">
            <v>2018-2019</v>
          </cell>
        </row>
        <row r="3">
          <cell r="B3">
            <v>51220.151770625169</v>
          </cell>
          <cell r="D3">
            <v>2349.39</v>
          </cell>
        </row>
        <row r="4">
          <cell r="B4">
            <v>43806.034477544112</v>
          </cell>
          <cell r="D4">
            <v>2079.9899999999998</v>
          </cell>
          <cell r="F4">
            <v>21.060694752159442</v>
          </cell>
        </row>
        <row r="5">
          <cell r="B5">
            <v>7414.117293081059</v>
          </cell>
          <cell r="D5">
            <v>269.39999999999998</v>
          </cell>
          <cell r="F5">
            <v>27.520851125022492</v>
          </cell>
        </row>
        <row r="7">
          <cell r="B7">
            <v>55642.054105485877</v>
          </cell>
          <cell r="C7">
            <v>1</v>
          </cell>
          <cell r="D7">
            <v>605.29999999999995</v>
          </cell>
          <cell r="E7">
            <v>1</v>
          </cell>
          <cell r="F7">
            <v>91.924754841377634</v>
          </cell>
          <cell r="G7" t="str">
            <v>(230 kV)</v>
          </cell>
        </row>
        <row r="11">
          <cell r="B11">
            <v>229.20000000000002</v>
          </cell>
          <cell r="C11">
            <v>537.79999999999995</v>
          </cell>
          <cell r="D11">
            <v>155.26999999999998</v>
          </cell>
          <cell r="E11">
            <v>375.70699999999999</v>
          </cell>
          <cell r="F11">
            <v>595.19000000000005</v>
          </cell>
          <cell r="G11">
            <v>147</v>
          </cell>
          <cell r="H11">
            <v>576.98</v>
          </cell>
          <cell r="I11">
            <v>260</v>
          </cell>
          <cell r="J11">
            <v>792.53</v>
          </cell>
          <cell r="K11">
            <v>252.17</v>
          </cell>
        </row>
        <row r="12">
          <cell r="B12">
            <v>37.08</v>
          </cell>
          <cell r="C12">
            <v>0</v>
          </cell>
          <cell r="D12">
            <v>0.1</v>
          </cell>
          <cell r="E12">
            <v>106.42</v>
          </cell>
          <cell r="F12">
            <v>224.91983529537578</v>
          </cell>
          <cell r="G12">
            <v>160.70199929453995</v>
          </cell>
          <cell r="H12">
            <v>1035.1943582030553</v>
          </cell>
          <cell r="I12">
            <v>0</v>
          </cell>
          <cell r="J12">
            <v>139.75050338355615</v>
          </cell>
          <cell r="K12">
            <v>87.95</v>
          </cell>
        </row>
      </sheetData>
      <sheetData sheetId="1"/>
      <sheetData sheetId="2"/>
      <sheetData sheetId="3"/>
      <sheetData sheetId="4">
        <row r="3">
          <cell r="E3" t="str">
            <v xml:space="preserve"> 2.- Día Semihábil (sábado):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 refreshError="1"/>
      <sheetData sheetId="1">
        <row r="13">
          <cell r="H13">
            <v>744</v>
          </cell>
          <cell r="I13">
            <v>8.493150684931508E-2</v>
          </cell>
        </row>
        <row r="21">
          <cell r="B21">
            <v>169.91155913978497</v>
          </cell>
          <cell r="C21">
            <v>225.90000000000003</v>
          </cell>
          <cell r="D21">
            <v>145.9</v>
          </cell>
          <cell r="E21">
            <v>303.23837365591396</v>
          </cell>
          <cell r="F21">
            <v>68.068346774193543</v>
          </cell>
          <cell r="G21">
            <v>0</v>
          </cell>
          <cell r="H21">
            <v>13.94758064516129</v>
          </cell>
          <cell r="I21">
            <v>45.602150537634408</v>
          </cell>
          <cell r="J21">
            <v>120.47197580645162</v>
          </cell>
          <cell r="K21">
            <v>179.91276881720427</v>
          </cell>
        </row>
        <row r="22">
          <cell r="B22">
            <v>58.406989247311834</v>
          </cell>
          <cell r="C22">
            <v>0</v>
          </cell>
          <cell r="D22">
            <v>0.11922043010752689</v>
          </cell>
          <cell r="E22">
            <v>40.494892473118277</v>
          </cell>
          <cell r="F22">
            <v>170.77137096774194</v>
          </cell>
          <cell r="G22">
            <v>72.367741935483863</v>
          </cell>
          <cell r="H22">
            <v>760.97768817204292</v>
          </cell>
          <cell r="I22">
            <v>0</v>
          </cell>
          <cell r="J22">
            <v>157.59106182795699</v>
          </cell>
          <cell r="K22">
            <v>12.196034946236557</v>
          </cell>
        </row>
        <row r="24">
          <cell r="B24">
            <v>126.41420000000001</v>
          </cell>
          <cell r="C24">
            <v>168.06960000000004</v>
          </cell>
          <cell r="D24">
            <v>108.54960000000001</v>
          </cell>
          <cell r="E24">
            <v>225.60934999999998</v>
          </cell>
          <cell r="F24">
            <v>50.642849999999989</v>
          </cell>
          <cell r="G24">
            <v>0</v>
          </cell>
          <cell r="H24">
            <v>10.377000000000001</v>
          </cell>
          <cell r="I24">
            <v>33.927999999999997</v>
          </cell>
          <cell r="J24">
            <v>89.631150000000005</v>
          </cell>
          <cell r="K24">
            <v>133.85509999999996</v>
          </cell>
        </row>
        <row r="25">
          <cell r="B25">
            <v>43.454800000000006</v>
          </cell>
          <cell r="C25">
            <v>0</v>
          </cell>
          <cell r="D25">
            <v>8.8700000000000001E-2</v>
          </cell>
          <cell r="E25">
            <v>30.1282</v>
          </cell>
          <cell r="F25">
            <v>127.05390000000001</v>
          </cell>
          <cell r="G25">
            <v>53.8416</v>
          </cell>
          <cell r="H25">
            <v>566.16739999999993</v>
          </cell>
          <cell r="I25">
            <v>0</v>
          </cell>
          <cell r="J25">
            <v>117.24775</v>
          </cell>
          <cell r="K25">
            <v>9.0738499999999984</v>
          </cell>
        </row>
        <row r="27">
          <cell r="B27">
            <v>1.6191618502848726</v>
          </cell>
          <cell r="C27">
            <v>2.00230867677646</v>
          </cell>
          <cell r="D27">
            <v>2.4370624949154842</v>
          </cell>
          <cell r="E27">
            <v>1.566940862543948</v>
          </cell>
          <cell r="F27">
            <v>0.83225321698777543</v>
          </cell>
          <cell r="G27">
            <v>0</v>
          </cell>
          <cell r="H27">
            <v>0.10037734137665646</v>
          </cell>
          <cell r="I27">
            <v>1.5433382167898702</v>
          </cell>
          <cell r="J27">
            <v>0.19638999389109804</v>
          </cell>
          <cell r="K27">
            <v>2.9273075239364243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9.832284919844278E-2</v>
          </cell>
          <cell r="F28">
            <v>0.61027113626461271</v>
          </cell>
          <cell r="G28">
            <v>0.80853037357425994</v>
          </cell>
          <cell r="H28">
            <v>0.92738805229432619</v>
          </cell>
          <cell r="I28">
            <v>0</v>
          </cell>
          <cell r="J28">
            <v>0.60789329645646384</v>
          </cell>
          <cell r="K28">
            <v>4.1782173220956641E-2</v>
          </cell>
        </row>
        <row r="30">
          <cell r="B30">
            <v>0.43291362304445291</v>
          </cell>
        </row>
        <row r="31">
          <cell r="B31">
            <v>0.33609430024729592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0.71672734972367325</v>
          </cell>
          <cell r="G33">
            <v>0.86882345311693177</v>
          </cell>
          <cell r="H33">
            <v>1.078505634952734</v>
          </cell>
          <cell r="I33">
            <v>0</v>
          </cell>
          <cell r="J33">
            <v>0.2069930109488711</v>
          </cell>
          <cell r="K33">
            <v>0</v>
          </cell>
        </row>
        <row r="34">
          <cell r="I34">
            <v>2.2164268952300938</v>
          </cell>
        </row>
        <row r="38">
          <cell r="B38">
            <v>202.35542521701041</v>
          </cell>
          <cell r="C38">
            <v>336.52721838234896</v>
          </cell>
          <cell r="D38">
            <v>264.54215899807792</v>
          </cell>
          <cell r="E38">
            <v>350.14466717525795</v>
          </cell>
          <cell r="F38">
            <v>37.529623294743445</v>
          </cell>
          <cell r="G38">
            <v>0</v>
          </cell>
          <cell r="H38">
            <v>0.74106980020281865</v>
          </cell>
          <cell r="I38">
            <v>61.063705840228245</v>
          </cell>
          <cell r="J38">
            <v>17.825806178309911</v>
          </cell>
          <cell r="K38">
            <v>368.99977851781284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2.9623436623104733</v>
          </cell>
          <cell r="F39">
            <v>76.491031521693699</v>
          </cell>
          <cell r="G39">
            <v>42.819823557269636</v>
          </cell>
          <cell r="H39">
            <v>514.39145184357562</v>
          </cell>
          <cell r="I39">
            <v>0</v>
          </cell>
          <cell r="J39">
            <v>65.716276265206389</v>
          </cell>
          <cell r="K39">
            <v>0.36026746594090142</v>
          </cell>
        </row>
        <row r="41">
          <cell r="B41">
            <v>87.838174115719511</v>
          </cell>
          <cell r="C41">
            <v>232.82094647330675</v>
          </cell>
          <cell r="D41">
            <v>67.218498250112177</v>
          </cell>
          <cell r="E41">
            <v>131.67370884433166</v>
          </cell>
          <cell r="F41">
            <v>7.6192797655823705</v>
          </cell>
          <cell r="G41">
            <v>63.638302587534568</v>
          </cell>
          <cell r="H41">
            <v>249.78250222418848</v>
          </cell>
          <cell r="I41">
            <v>112.55754199155776</v>
          </cell>
          <cell r="J41">
            <v>343.09703367142026</v>
          </cell>
          <cell r="K41">
            <v>109.16782832311968</v>
          </cell>
        </row>
        <row r="42">
          <cell r="B42">
            <v>12.462376653169732</v>
          </cell>
          <cell r="C42">
            <v>0</v>
          </cell>
          <cell r="D42">
            <v>3.3609430024729596E-2</v>
          </cell>
          <cell r="E42">
            <v>35.767155432317239</v>
          </cell>
          <cell r="F42">
            <v>75.594274655336378</v>
          </cell>
          <cell r="G42">
            <v>54.011026001239856</v>
          </cell>
          <cell r="H42">
            <v>347.9229234402045</v>
          </cell>
          <cell r="I42">
            <v>0</v>
          </cell>
          <cell r="J42">
            <v>46.969347643903667</v>
          </cell>
          <cell r="K42">
            <v>29.559493706749684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89.747799781911212</v>
          </cell>
          <cell r="G44">
            <v>46.052250284511288</v>
          </cell>
          <cell r="H44">
            <v>596.06455821027987</v>
          </cell>
          <cell r="I44">
            <v>0</v>
          </cell>
          <cell r="J44">
            <v>21.80324629677694</v>
          </cell>
          <cell r="K44">
            <v>0</v>
          </cell>
        </row>
        <row r="45">
          <cell r="B45">
            <v>82.185109275131893</v>
          </cell>
          <cell r="C45">
            <v>0</v>
          </cell>
          <cell r="D45">
            <v>0.22164268952300936</v>
          </cell>
          <cell r="E45">
            <v>235.87215019038663</v>
          </cell>
          <cell r="F45">
            <v>498.51837221939377</v>
          </cell>
          <cell r="G45">
            <v>356.18423335366595</v>
          </cell>
          <cell r="H45">
            <v>2294.4326173117079</v>
          </cell>
          <cell r="I45">
            <v>0</v>
          </cell>
          <cell r="J45">
            <v>309.7467743212581</v>
          </cell>
          <cell r="K45">
            <v>194.93474543548675</v>
          </cell>
        </row>
        <row r="46">
          <cell r="G46">
            <v>0</v>
          </cell>
        </row>
      </sheetData>
      <sheetData sheetId="2">
        <row r="13">
          <cell r="H13">
            <v>744</v>
          </cell>
          <cell r="I13">
            <v>8.4931506849315067E-2</v>
          </cell>
        </row>
        <row r="21">
          <cell r="B21">
            <v>171.1706989247312</v>
          </cell>
          <cell r="C21">
            <v>225.9</v>
          </cell>
          <cell r="D21">
            <v>145.9</v>
          </cell>
          <cell r="E21">
            <v>303.20725806451617</v>
          </cell>
          <cell r="F21">
            <v>67.995631720430111</v>
          </cell>
          <cell r="G21">
            <v>0</v>
          </cell>
          <cell r="H21">
            <v>14.300537634408602</v>
          </cell>
          <cell r="I21">
            <v>47.259408602150536</v>
          </cell>
          <cell r="J21">
            <v>120.74973118279568</v>
          </cell>
          <cell r="K21">
            <v>181.58655913978492</v>
          </cell>
        </row>
        <row r="22">
          <cell r="B22">
            <v>58.498588709677428</v>
          </cell>
          <cell r="C22">
            <v>0</v>
          </cell>
          <cell r="D22">
            <v>0.11995967741935484</v>
          </cell>
          <cell r="E22">
            <v>40.666935483870972</v>
          </cell>
          <cell r="F22">
            <v>171.60228494623658</v>
          </cell>
          <cell r="G22">
            <v>72.667943548387086</v>
          </cell>
          <cell r="H22">
            <v>763.93508064516118</v>
          </cell>
          <cell r="I22">
            <v>0</v>
          </cell>
          <cell r="J22">
            <v>158.30483870967743</v>
          </cell>
          <cell r="K22">
            <v>12.245295698924732</v>
          </cell>
        </row>
        <row r="24">
          <cell r="B24">
            <v>127.35100000000001</v>
          </cell>
          <cell r="C24">
            <v>168.06960000000001</v>
          </cell>
          <cell r="D24">
            <v>108.54960000000001</v>
          </cell>
          <cell r="E24">
            <v>225.58620000000002</v>
          </cell>
          <cell r="F24">
            <v>50.588749999999997</v>
          </cell>
          <cell r="G24">
            <v>0</v>
          </cell>
          <cell r="H24">
            <v>10.6396</v>
          </cell>
          <cell r="I24">
            <v>35.161000000000001</v>
          </cell>
          <cell r="J24">
            <v>89.837799999999987</v>
          </cell>
          <cell r="K24">
            <v>135.10040000000001</v>
          </cell>
        </row>
        <row r="25">
          <cell r="B25">
            <v>43.522950000000002</v>
          </cell>
          <cell r="C25">
            <v>0</v>
          </cell>
          <cell r="D25">
            <v>8.9249999999999996E-2</v>
          </cell>
          <cell r="E25">
            <v>30.2562</v>
          </cell>
          <cell r="F25">
            <v>127.6721</v>
          </cell>
          <cell r="G25">
            <v>54.064949999999996</v>
          </cell>
          <cell r="H25">
            <v>568.3676999999999</v>
          </cell>
          <cell r="I25">
            <v>0</v>
          </cell>
          <cell r="J25">
            <v>117.7788</v>
          </cell>
          <cell r="K25">
            <v>9.1105</v>
          </cell>
        </row>
        <row r="27">
          <cell r="B27">
            <v>1.6167632399365222</v>
          </cell>
          <cell r="C27">
            <v>1.9917767449977826</v>
          </cell>
          <cell r="D27">
            <v>2.4266958425674208</v>
          </cell>
          <cell r="E27">
            <v>1.5553893223213882</v>
          </cell>
          <cell r="F27">
            <v>0.82064861189857641</v>
          </cell>
          <cell r="G27">
            <v>0</v>
          </cell>
          <cell r="H27">
            <v>0.10070638485036537</v>
          </cell>
          <cell r="I27">
            <v>1.6237051525689514</v>
          </cell>
          <cell r="J27">
            <v>0.19533629634894617</v>
          </cell>
          <cell r="K27">
            <v>2.9034702499605394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9.8321378243455021E-2</v>
          </cell>
          <cell r="F28">
            <v>0.60923187841158355</v>
          </cell>
          <cell r="G28">
            <v>0.80606440928876111</v>
          </cell>
          <cell r="H28">
            <v>0.9249255285572523</v>
          </cell>
          <cell r="I28">
            <v>0</v>
          </cell>
          <cell r="J28">
            <v>0.5923814957257868</v>
          </cell>
          <cell r="K28">
            <v>4.1088192373358284E-2</v>
          </cell>
        </row>
        <row r="30">
          <cell r="B30">
            <v>0.43291362304445291</v>
          </cell>
        </row>
        <row r="31">
          <cell r="B31">
            <v>0.33609430024729597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0.71587266219263168</v>
          </cell>
          <cell r="G33">
            <v>0.86603072257064628</v>
          </cell>
          <cell r="H33">
            <v>1.0738406679129404</v>
          </cell>
          <cell r="I33">
            <v>0</v>
          </cell>
          <cell r="J33">
            <v>0.20017573434744776</v>
          </cell>
          <cell r="K33">
            <v>0</v>
          </cell>
        </row>
        <row r="34">
          <cell r="I34">
            <v>2.2164268952300938</v>
          </cell>
        </row>
        <row r="38">
          <cell r="B38">
            <v>203.72350706405248</v>
          </cell>
          <cell r="C38">
            <v>334.7571208210793</v>
          </cell>
          <cell r="D38">
            <v>263.41686303235656</v>
          </cell>
          <cell r="E38">
            <v>347.63574452138829</v>
          </cell>
          <cell r="F38">
            <v>36.908281912948368</v>
          </cell>
          <cell r="G38">
            <v>0</v>
          </cell>
          <cell r="H38">
            <v>0.77000077102807019</v>
          </cell>
          <cell r="I38">
            <v>64.128454239577877</v>
          </cell>
          <cell r="J38">
            <v>17.784619707563003</v>
          </cell>
          <cell r="K38">
            <v>370.60486133399866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2.9748945919165823</v>
          </cell>
          <cell r="F39">
            <v>76.754171451935619</v>
          </cell>
          <cell r="G39">
            <v>42.890147294312982</v>
          </cell>
          <cell r="H39">
            <v>515.28301147825709</v>
          </cell>
          <cell r="I39">
            <v>0</v>
          </cell>
          <cell r="J39">
            <v>64.482475984109271</v>
          </cell>
          <cell r="K39">
            <v>0.35649351546527291</v>
          </cell>
        </row>
        <row r="41">
          <cell r="B41">
            <v>87.838174115719511</v>
          </cell>
          <cell r="C41">
            <v>232.82094647330675</v>
          </cell>
          <cell r="D41">
            <v>67.218498250112205</v>
          </cell>
          <cell r="E41">
            <v>131.67370884433166</v>
          </cell>
          <cell r="F41">
            <v>7.6192797655823705</v>
          </cell>
          <cell r="G41">
            <v>63.638302587534575</v>
          </cell>
          <cell r="H41">
            <v>249.78250222418845</v>
          </cell>
          <cell r="I41">
            <v>112.55754199155774</v>
          </cell>
          <cell r="J41">
            <v>343.09703367142021</v>
          </cell>
          <cell r="K41">
            <v>109.16782832311968</v>
          </cell>
        </row>
        <row r="42">
          <cell r="B42">
            <v>12.462376653169732</v>
          </cell>
          <cell r="C42">
            <v>0</v>
          </cell>
          <cell r="D42">
            <v>3.3609430024729596E-2</v>
          </cell>
          <cell r="E42">
            <v>35.767155432317239</v>
          </cell>
          <cell r="F42">
            <v>75.594274655336392</v>
          </cell>
          <cell r="G42">
            <v>54.011026001239848</v>
          </cell>
          <cell r="H42">
            <v>347.92292344020456</v>
          </cell>
          <cell r="I42">
            <v>0</v>
          </cell>
          <cell r="J42">
            <v>46.969347643903667</v>
          </cell>
          <cell r="K42">
            <v>29.559493706749677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90.085433199155574</v>
          </cell>
          <cell r="G44">
            <v>46.122023008950777</v>
          </cell>
          <cell r="H44">
            <v>596.22476438450053</v>
          </cell>
          <cell r="I44">
            <v>0</v>
          </cell>
          <cell r="J44">
            <v>21.23563398087245</v>
          </cell>
          <cell r="K44">
            <v>0</v>
          </cell>
        </row>
        <row r="45">
          <cell r="B45">
            <v>82.185109275131879</v>
          </cell>
          <cell r="C45">
            <v>0</v>
          </cell>
          <cell r="D45">
            <v>0.22164268952300936</v>
          </cell>
          <cell r="E45">
            <v>235.87215019038661</v>
          </cell>
          <cell r="F45">
            <v>498.51837221939371</v>
          </cell>
          <cell r="G45">
            <v>356.18423335366589</v>
          </cell>
          <cell r="H45">
            <v>2294.432617311707</v>
          </cell>
          <cell r="I45">
            <v>0</v>
          </cell>
          <cell r="J45">
            <v>309.74677432125804</v>
          </cell>
          <cell r="K45">
            <v>194.93474543548675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8.2191780821917804E-2</v>
          </cell>
        </row>
        <row r="21">
          <cell r="B21">
            <v>168.83611111111111</v>
          </cell>
          <cell r="C21">
            <v>225.9</v>
          </cell>
          <cell r="D21">
            <v>145.9</v>
          </cell>
          <cell r="E21">
            <v>302.09965277777781</v>
          </cell>
          <cell r="F21">
            <v>68.155555555555551</v>
          </cell>
          <cell r="G21">
            <v>0</v>
          </cell>
          <cell r="H21">
            <v>13.681944444444444</v>
          </cell>
          <cell r="I21">
            <v>45.173611111111114</v>
          </cell>
          <cell r="J21">
            <v>119.14270833333333</v>
          </cell>
          <cell r="K21">
            <v>177.60208333333333</v>
          </cell>
        </row>
        <row r="22">
          <cell r="B22">
            <v>57.978819444444447</v>
          </cell>
          <cell r="C22">
            <v>0</v>
          </cell>
          <cell r="D22">
            <v>0.11909722222222222</v>
          </cell>
          <cell r="E22">
            <v>40.291666666666664</v>
          </cell>
          <cell r="F22">
            <v>169.76666666666668</v>
          </cell>
          <cell r="G22">
            <v>72.001041666666666</v>
          </cell>
          <cell r="H22">
            <v>757.28263888888887</v>
          </cell>
          <cell r="I22">
            <v>0</v>
          </cell>
          <cell r="J22">
            <v>156.88159722222221</v>
          </cell>
          <cell r="K22">
            <v>12.13298611111111</v>
          </cell>
        </row>
        <row r="24">
          <cell r="B24">
            <v>121.562</v>
          </cell>
          <cell r="C24">
            <v>162.648</v>
          </cell>
          <cell r="D24">
            <v>105.048</v>
          </cell>
          <cell r="E24">
            <v>217.51175000000001</v>
          </cell>
          <cell r="F24">
            <v>49.072000000000003</v>
          </cell>
          <cell r="G24">
            <v>0</v>
          </cell>
          <cell r="H24">
            <v>9.8510000000000009</v>
          </cell>
          <cell r="I24">
            <v>32.524999999999999</v>
          </cell>
          <cell r="J24">
            <v>85.782749999999993</v>
          </cell>
          <cell r="K24">
            <v>127.87350000000001</v>
          </cell>
        </row>
        <row r="25">
          <cell r="B25">
            <v>41.744750000000003</v>
          </cell>
          <cell r="C25">
            <v>0</v>
          </cell>
          <cell r="D25">
            <v>8.5750000000000007E-2</v>
          </cell>
          <cell r="E25">
            <v>29.01</v>
          </cell>
          <cell r="F25">
            <v>122.232</v>
          </cell>
          <cell r="G25">
            <v>51.84075</v>
          </cell>
          <cell r="H25">
            <v>545.24350000000004</v>
          </cell>
          <cell r="I25">
            <v>0</v>
          </cell>
          <cell r="J25">
            <v>112.95475</v>
          </cell>
          <cell r="K25">
            <v>8.7357499999999995</v>
          </cell>
        </row>
        <row r="27">
          <cell r="B27">
            <v>1.6273239275553923</v>
          </cell>
          <cell r="C27">
            <v>2.0100124763792651</v>
          </cell>
          <cell r="D27">
            <v>2.4451994396095813</v>
          </cell>
          <cell r="E27">
            <v>1.5727666026878868</v>
          </cell>
          <cell r="F27">
            <v>0.83270078752126564</v>
          </cell>
          <cell r="G27">
            <v>0</v>
          </cell>
          <cell r="H27">
            <v>0.10159058186044836</v>
          </cell>
          <cell r="I27">
            <v>1.5630468858852504</v>
          </cell>
          <cell r="J27">
            <v>0.19622856148867981</v>
          </cell>
          <cell r="K27">
            <v>2.9478912711849068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9.832285137735973E-2</v>
          </cell>
          <cell r="F28">
            <v>0.61219209000945596</v>
          </cell>
          <cell r="G28">
            <v>0.81189742001950727</v>
          </cell>
          <cell r="H28">
            <v>0.93217589051357774</v>
          </cell>
          <cell r="I28">
            <v>0</v>
          </cell>
          <cell r="J28">
            <v>0.60898044254179662</v>
          </cell>
          <cell r="K28">
            <v>4.2345889648678255E-2</v>
          </cell>
        </row>
        <row r="30">
          <cell r="B30">
            <v>0.41894866746237369</v>
          </cell>
        </row>
        <row r="31">
          <cell r="B31">
            <v>0.32525254862641551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0.71866541299340581</v>
          </cell>
          <cell r="G33">
            <v>0.87255212805127502</v>
          </cell>
          <cell r="H33">
            <v>1.0836570527213174</v>
          </cell>
          <cell r="I33">
            <v>0</v>
          </cell>
          <cell r="J33">
            <v>0.20815945669164199</v>
          </cell>
          <cell r="K33">
            <v>0</v>
          </cell>
        </row>
        <row r="34">
          <cell r="I34">
            <v>2.1449292534484781</v>
          </cell>
        </row>
        <row r="38">
          <cell r="B38">
            <v>195.52950025379829</v>
          </cell>
          <cell r="C38">
            <v>326.92450925813461</v>
          </cell>
          <cell r="D38">
            <v>256.86331073210738</v>
          </cell>
          <cell r="E38">
            <v>338.84771863591914</v>
          </cell>
          <cell r="F38">
            <v>36.461484907894352</v>
          </cell>
          <cell r="G38">
            <v>0</v>
          </cell>
          <cell r="H38">
            <v>0.72245705965140583</v>
          </cell>
          <cell r="I38">
            <v>59.691662217502454</v>
          </cell>
          <cell r="J38">
            <v>17.025468593101316</v>
          </cell>
          <cell r="K38">
            <v>354.7688432489806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2.8523940763449649</v>
          </cell>
          <cell r="F39">
            <v>73.838744132377215</v>
          </cell>
          <cell r="G39">
            <v>41.400235071029535</v>
          </cell>
          <cell r="H39">
            <v>498.01651424951501</v>
          </cell>
          <cell r="I39">
            <v>0</v>
          </cell>
          <cell r="J39">
            <v>63.612555712007115</v>
          </cell>
          <cell r="K39">
            <v>0.35168029033578085</v>
          </cell>
        </row>
        <row r="41">
          <cell r="B41">
            <v>85.004684628115641</v>
          </cell>
          <cell r="C41">
            <v>225.31059336126455</v>
          </cell>
          <cell r="D41">
            <v>65.05015959688275</v>
          </cell>
          <cell r="E41">
            <v>127.42616984935322</v>
          </cell>
          <cell r="F41">
            <v>7.3734965473377754</v>
          </cell>
          <cell r="G41">
            <v>61.585454116968933</v>
          </cell>
          <cell r="H41">
            <v>241.72500215244042</v>
          </cell>
          <cell r="I41">
            <v>108.92665354021713</v>
          </cell>
          <cell r="J41">
            <v>332.02938742395503</v>
          </cell>
          <cell r="K41">
            <v>105.64628547398675</v>
          </cell>
        </row>
        <row r="42">
          <cell r="B42">
            <v>12.060364503067484</v>
          </cell>
          <cell r="C42">
            <v>0</v>
          </cell>
          <cell r="D42">
            <v>3.2525254862641545E-2</v>
          </cell>
          <cell r="E42">
            <v>34.613376224823135</v>
          </cell>
          <cell r="F42">
            <v>73.155749666454568</v>
          </cell>
          <cell r="G42">
            <v>52.268734839909541</v>
          </cell>
          <cell r="H42">
            <v>336.69960332923023</v>
          </cell>
          <cell r="I42">
            <v>0</v>
          </cell>
          <cell r="J42">
            <v>45.45420739732613</v>
          </cell>
          <cell r="K42">
            <v>28.605961651693242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86.606503101778927</v>
          </cell>
          <cell r="G44">
            <v>44.530627265838831</v>
          </cell>
          <cell r="H44">
            <v>576.99254660546467</v>
          </cell>
          <cell r="I44">
            <v>0</v>
          </cell>
          <cell r="J44">
            <v>21.226311323833251</v>
          </cell>
          <cell r="K44">
            <v>0</v>
          </cell>
        </row>
        <row r="45">
          <cell r="B45">
            <v>79.533976717869564</v>
          </cell>
          <cell r="C45">
            <v>0</v>
          </cell>
          <cell r="D45">
            <v>0.21449292534484787</v>
          </cell>
          <cell r="E45">
            <v>228.26337115198703</v>
          </cell>
          <cell r="F45">
            <v>482.43713440586487</v>
          </cell>
          <cell r="G45">
            <v>344.69441937451541</v>
          </cell>
          <cell r="H45">
            <v>2220.4186619145562</v>
          </cell>
          <cell r="I45">
            <v>0</v>
          </cell>
          <cell r="J45">
            <v>299.75494289154011</v>
          </cell>
          <cell r="K45">
            <v>188.64652784079365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8.4931506849315067E-2</v>
          </cell>
        </row>
        <row r="21">
          <cell r="B21">
            <v>171.8198924731183</v>
          </cell>
          <cell r="C21">
            <v>225.90000000000003</v>
          </cell>
          <cell r="D21">
            <v>145.9</v>
          </cell>
          <cell r="E21">
            <v>304.06518817204301</v>
          </cell>
          <cell r="F21">
            <v>67.939314516129031</v>
          </cell>
          <cell r="G21">
            <v>0</v>
          </cell>
          <cell r="H21">
            <v>14.455645161290322</v>
          </cell>
          <cell r="I21">
            <v>47.373655913978496</v>
          </cell>
          <cell r="J21">
            <v>121.71196236559139</v>
          </cell>
          <cell r="K21">
            <v>183.11034946236555</v>
          </cell>
        </row>
        <row r="22">
          <cell r="B22">
            <v>58.808266129032255</v>
          </cell>
          <cell r="C22">
            <v>0</v>
          </cell>
          <cell r="D22">
            <v>0.11995967741935482</v>
          </cell>
          <cell r="E22">
            <v>40.797849462365598</v>
          </cell>
          <cell r="F22">
            <v>172.25194892473118</v>
          </cell>
          <cell r="G22">
            <v>72.905443548387098</v>
          </cell>
          <cell r="H22">
            <v>766.33669354838696</v>
          </cell>
          <cell r="I22">
            <v>0</v>
          </cell>
          <cell r="J22">
            <v>158.74771505376344</v>
          </cell>
          <cell r="K22">
            <v>12.286424731182795</v>
          </cell>
        </row>
        <row r="24">
          <cell r="B24">
            <v>127.83400000000002</v>
          </cell>
          <cell r="C24">
            <v>168.06960000000004</v>
          </cell>
          <cell r="D24">
            <v>108.54960000000001</v>
          </cell>
          <cell r="E24">
            <v>226.22450000000001</v>
          </cell>
          <cell r="F24">
            <v>50.546849999999999</v>
          </cell>
          <cell r="G24">
            <v>0</v>
          </cell>
          <cell r="H24">
            <v>10.755000000000001</v>
          </cell>
          <cell r="I24">
            <v>35.246000000000002</v>
          </cell>
          <cell r="J24">
            <v>90.553699999999992</v>
          </cell>
          <cell r="K24">
            <v>136.23409999999998</v>
          </cell>
        </row>
        <row r="25">
          <cell r="B25">
            <v>43.753349999999998</v>
          </cell>
          <cell r="C25">
            <v>0</v>
          </cell>
          <cell r="D25">
            <v>8.9249999999999982E-2</v>
          </cell>
          <cell r="E25">
            <v>30.353600000000007</v>
          </cell>
          <cell r="F25">
            <v>128.15545</v>
          </cell>
          <cell r="G25">
            <v>54.24165</v>
          </cell>
          <cell r="H25">
            <v>570.15449999999987</v>
          </cell>
          <cell r="I25">
            <v>0</v>
          </cell>
          <cell r="J25">
            <v>118.1083</v>
          </cell>
          <cell r="K25">
            <v>9.141099999999998</v>
          </cell>
        </row>
        <row r="27">
          <cell r="B27">
            <v>1.6109415082771761</v>
          </cell>
          <cell r="C27">
            <v>1.9873153867680133</v>
          </cell>
          <cell r="D27">
            <v>2.4218889655903562</v>
          </cell>
          <cell r="E27">
            <v>1.5524639597412537</v>
          </cell>
          <cell r="F27">
            <v>0.82176350963460842</v>
          </cell>
          <cell r="G27">
            <v>0</v>
          </cell>
          <cell r="H27">
            <v>9.9755324053307809E-2</v>
          </cell>
          <cell r="I27">
            <v>1.5988777837750312</v>
          </cell>
          <cell r="J27">
            <v>0.19558908284352886</v>
          </cell>
          <cell r="K27">
            <v>2.8910120987711627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9.8321560478640782E-2</v>
          </cell>
          <cell r="F28">
            <v>0.60792107033457976</v>
          </cell>
          <cell r="G28">
            <v>0.80384736999051298</v>
          </cell>
          <cell r="H28">
            <v>0.92164246535994798</v>
          </cell>
          <cell r="I28">
            <v>0</v>
          </cell>
          <cell r="J28">
            <v>0.59350511125312178</v>
          </cell>
          <cell r="K28">
            <v>4.0752152658516873E-2</v>
          </cell>
        </row>
        <row r="30">
          <cell r="B30">
            <v>0.4329136230444528</v>
          </cell>
        </row>
        <row r="31">
          <cell r="B31">
            <v>0.33609430024729592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0.71452595068171254</v>
          </cell>
          <cell r="G33">
            <v>0.8635833076881746</v>
          </cell>
          <cell r="H33">
            <v>1.070560225466477</v>
          </cell>
          <cell r="I33">
            <v>0</v>
          </cell>
          <cell r="J33">
            <v>0.20015305961554752</v>
          </cell>
          <cell r="K33">
            <v>0</v>
          </cell>
        </row>
        <row r="34">
          <cell r="I34">
            <v>2.2164268952300938</v>
          </cell>
        </row>
        <row r="38">
          <cell r="B38">
            <v>203.78370304923632</v>
          </cell>
          <cell r="C38">
            <v>334.00730212794531</v>
          </cell>
          <cell r="D38">
            <v>262.89507845924692</v>
          </cell>
          <cell r="E38">
            <v>347.95087829172815</v>
          </cell>
          <cell r="F38">
            <v>36.875516253112217</v>
          </cell>
          <cell r="G38">
            <v>0</v>
          </cell>
          <cell r="H38">
            <v>0.76228252859718804</v>
          </cell>
          <cell r="I38">
            <v>63.282101851265956</v>
          </cell>
          <cell r="J38">
            <v>17.96438449048528</v>
          </cell>
          <cell r="K38">
            <v>372.20820635237516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2.9844780632813261</v>
          </cell>
          <cell r="F39">
            <v>76.864525899333316</v>
          </cell>
          <cell r="G39">
            <v>42.911042315086902</v>
          </cell>
          <cell r="H39">
            <v>515.00235686322935</v>
          </cell>
          <cell r="I39">
            <v>0</v>
          </cell>
          <cell r="J39">
            <v>64.624177541345659</v>
          </cell>
          <cell r="K39">
            <v>0.35461363372017241</v>
          </cell>
        </row>
        <row r="41">
          <cell r="B41">
            <v>87.838174115719497</v>
          </cell>
          <cell r="C41">
            <v>232.82094647330672</v>
          </cell>
          <cell r="D41">
            <v>67.218498250112191</v>
          </cell>
          <cell r="E41">
            <v>131.67370884433163</v>
          </cell>
          <cell r="F41">
            <v>7.6192797655823696</v>
          </cell>
          <cell r="G41">
            <v>63.638302587534575</v>
          </cell>
          <cell r="H41">
            <v>249.78250222418842</v>
          </cell>
          <cell r="I41">
            <v>112.55754199155774</v>
          </cell>
          <cell r="J41">
            <v>343.09703367142021</v>
          </cell>
          <cell r="K41">
            <v>109.16782832311969</v>
          </cell>
        </row>
        <row r="42">
          <cell r="B42">
            <v>12.462376653169732</v>
          </cell>
          <cell r="C42">
            <v>0</v>
          </cell>
          <cell r="D42">
            <v>3.3609430024729589E-2</v>
          </cell>
          <cell r="E42">
            <v>35.767155432317239</v>
          </cell>
          <cell r="F42">
            <v>75.594274655336392</v>
          </cell>
          <cell r="G42">
            <v>54.011026001239841</v>
          </cell>
          <cell r="H42">
            <v>347.92292344020456</v>
          </cell>
          <cell r="I42">
            <v>0</v>
          </cell>
          <cell r="J42">
            <v>46.969347643903674</v>
          </cell>
          <cell r="K42">
            <v>29.559493706749684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90.234038954554791</v>
          </cell>
          <cell r="G44">
            <v>46.141253000754212</v>
          </cell>
          <cell r="H44">
            <v>596.08393365119787</v>
          </cell>
          <cell r="I44">
            <v>0</v>
          </cell>
          <cell r="J44">
            <v>21.208628966972448</v>
          </cell>
          <cell r="K44">
            <v>0</v>
          </cell>
        </row>
        <row r="45">
          <cell r="B45">
            <v>82.185109275131893</v>
          </cell>
          <cell r="C45">
            <v>0</v>
          </cell>
          <cell r="D45">
            <v>0.22164268952300933</v>
          </cell>
          <cell r="E45">
            <v>235.87215019038666</v>
          </cell>
          <cell r="F45">
            <v>498.51837221939377</v>
          </cell>
          <cell r="G45">
            <v>356.18423335366589</v>
          </cell>
          <cell r="H45">
            <v>2294.4326173117074</v>
          </cell>
          <cell r="I45">
            <v>0</v>
          </cell>
          <cell r="J45">
            <v>309.7467743212581</v>
          </cell>
          <cell r="K45">
            <v>194.93474543548675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8.2191780821917804E-2</v>
          </cell>
        </row>
        <row r="21">
          <cell r="B21">
            <v>165.56305555555556</v>
          </cell>
          <cell r="C21">
            <v>225.9</v>
          </cell>
          <cell r="D21">
            <v>145.9</v>
          </cell>
          <cell r="E21">
            <v>301.27743055555555</v>
          </cell>
          <cell r="F21">
            <v>68.364027777777764</v>
          </cell>
          <cell r="G21">
            <v>0</v>
          </cell>
          <cell r="H21">
            <v>12.792222222222223</v>
          </cell>
          <cell r="I21">
            <v>41.630555555555553</v>
          </cell>
          <cell r="J21">
            <v>117.574375</v>
          </cell>
          <cell r="K21">
            <v>172.56833333333336</v>
          </cell>
        </row>
        <row r="22">
          <cell r="B22">
            <v>57.469513888888891</v>
          </cell>
          <cell r="C22">
            <v>0</v>
          </cell>
          <cell r="D22">
            <v>0.11756944444444443</v>
          </cell>
          <cell r="E22">
            <v>39.80083333333333</v>
          </cell>
          <cell r="F22">
            <v>167.37812499999998</v>
          </cell>
          <cell r="G22">
            <v>71.135208333333352</v>
          </cell>
          <cell r="H22">
            <v>748.68902777777771</v>
          </cell>
          <cell r="I22">
            <v>0</v>
          </cell>
          <cell r="J22">
            <v>154.94881944444444</v>
          </cell>
          <cell r="K22">
            <v>11.988680555555554</v>
          </cell>
        </row>
        <row r="24">
          <cell r="B24">
            <v>119.20540000000001</v>
          </cell>
          <cell r="C24">
            <v>162.648</v>
          </cell>
          <cell r="D24">
            <v>105.048</v>
          </cell>
          <cell r="E24">
            <v>216.91974999999999</v>
          </cell>
          <cell r="F24">
            <v>49.22209999999999</v>
          </cell>
          <cell r="G24">
            <v>0</v>
          </cell>
          <cell r="H24">
            <v>9.2104000000000017</v>
          </cell>
          <cell r="I24">
            <v>29.974</v>
          </cell>
          <cell r="J24">
            <v>84.65355000000001</v>
          </cell>
          <cell r="K24">
            <v>124.24920000000002</v>
          </cell>
        </row>
        <row r="25">
          <cell r="B25">
            <v>41.378050000000002</v>
          </cell>
          <cell r="C25">
            <v>0</v>
          </cell>
          <cell r="D25">
            <v>8.4649999999999989E-2</v>
          </cell>
          <cell r="E25">
            <v>28.656599999999997</v>
          </cell>
          <cell r="F25">
            <v>120.51224999999998</v>
          </cell>
          <cell r="G25">
            <v>51.21735000000001</v>
          </cell>
          <cell r="H25">
            <v>539.05610000000001</v>
          </cell>
          <cell r="I25">
            <v>0</v>
          </cell>
          <cell r="J25">
            <v>111.56314999999999</v>
          </cell>
          <cell r="K25">
            <v>8.6318499999999982</v>
          </cell>
        </row>
        <row r="27">
          <cell r="B27">
            <v>1.638296844989974</v>
          </cell>
          <cell r="C27">
            <v>2.0363885388926266</v>
          </cell>
          <cell r="D27">
            <v>2.4715909606718802</v>
          </cell>
          <cell r="E27">
            <v>1.5996626604806496</v>
          </cell>
          <cell r="F27">
            <v>0.85553157704504468</v>
          </cell>
          <cell r="G27">
            <v>0</v>
          </cell>
          <cell r="H27">
            <v>0.1018933215050761</v>
          </cell>
          <cell r="I27">
            <v>1.4226101663621999</v>
          </cell>
          <cell r="J27">
            <v>0.19814499036472485</v>
          </cell>
          <cell r="K27">
            <v>3.0100283936307575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9.8325703041309193E-2</v>
          </cell>
          <cell r="F28">
            <v>0.61569439125195324</v>
          </cell>
          <cell r="G28">
            <v>0.81928468681772793</v>
          </cell>
          <cell r="H28">
            <v>0.94065760487407868</v>
          </cell>
          <cell r="I28">
            <v>0</v>
          </cell>
          <cell r="J28">
            <v>0.63987709467361642</v>
          </cell>
          <cell r="K28">
            <v>4.4127357772384322E-2</v>
          </cell>
        </row>
        <row r="30">
          <cell r="B30">
            <v>0.41894866746237375</v>
          </cell>
        </row>
        <row r="31">
          <cell r="B31">
            <v>0.32525254862641545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0.72182336911884137</v>
          </cell>
          <cell r="G33">
            <v>0.8808527665588195</v>
          </cell>
          <cell r="H33">
            <v>1.0966877751315693</v>
          </cell>
          <cell r="I33">
            <v>0</v>
          </cell>
          <cell r="J33">
            <v>0.22227192555754699</v>
          </cell>
          <cell r="K33">
            <v>0</v>
          </cell>
        </row>
        <row r="34">
          <cell r="I34">
            <v>2.1449292534484781</v>
          </cell>
        </row>
        <row r="38">
          <cell r="B38">
            <v>192.73314057453027</v>
          </cell>
          <cell r="C38">
            <v>331.21452307380792</v>
          </cell>
          <cell r="D38">
            <v>259.63568723665969</v>
          </cell>
          <cell r="E38">
            <v>343.5504301733186</v>
          </cell>
          <cell r="F38">
            <v>37.736933331320671</v>
          </cell>
          <cell r="G38">
            <v>0</v>
          </cell>
          <cell r="H38">
            <v>0.67231336043178502</v>
          </cell>
          <cell r="I38">
            <v>54.408517807115111</v>
          </cell>
          <cell r="J38">
            <v>16.928076751672858</v>
          </cell>
          <cell r="K38">
            <v>349.95533259823247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2.817708745768003</v>
          </cell>
          <cell r="F39">
            <v>73.202109824495707</v>
          </cell>
          <cell r="G39">
            <v>41.238692576168972</v>
          </cell>
          <cell r="H39">
            <v>496.51404959517998</v>
          </cell>
          <cell r="I39">
            <v>0</v>
          </cell>
          <cell r="J39">
            <v>65.938454716964941</v>
          </cell>
          <cell r="K39">
            <v>0.36110807303213854</v>
          </cell>
        </row>
        <row r="41">
          <cell r="B41">
            <v>85.004684628115641</v>
          </cell>
          <cell r="C41">
            <v>225.31059336126458</v>
          </cell>
          <cell r="D41">
            <v>65.050159596882764</v>
          </cell>
          <cell r="E41">
            <v>127.42616984935322</v>
          </cell>
          <cell r="F41">
            <v>7.3734965473377772</v>
          </cell>
          <cell r="G41">
            <v>61.585454116968947</v>
          </cell>
          <cell r="H41">
            <v>241.72500215244042</v>
          </cell>
          <cell r="I41">
            <v>108.92665354021717</v>
          </cell>
          <cell r="J41">
            <v>332.02938742395509</v>
          </cell>
          <cell r="K41">
            <v>105.64628547398679</v>
          </cell>
        </row>
        <row r="42">
          <cell r="B42">
            <v>12.060364503067483</v>
          </cell>
          <cell r="C42">
            <v>0</v>
          </cell>
          <cell r="D42">
            <v>3.2525254862641545E-2</v>
          </cell>
          <cell r="E42">
            <v>34.613376224823135</v>
          </cell>
          <cell r="F42">
            <v>73.155749666454568</v>
          </cell>
          <cell r="G42">
            <v>52.268734839909534</v>
          </cell>
          <cell r="H42">
            <v>336.69960332923023</v>
          </cell>
          <cell r="I42">
            <v>0</v>
          </cell>
          <cell r="J42">
            <v>45.454207397326144</v>
          </cell>
          <cell r="K42">
            <v>28.605961651693242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85.782630511891</v>
          </cell>
          <cell r="G44">
            <v>44.371851825156419</v>
          </cell>
          <cell r="H44">
            <v>576.81296499032601</v>
          </cell>
          <cell r="I44">
            <v>0</v>
          </cell>
          <cell r="J44">
            <v>22.388540969542234</v>
          </cell>
          <cell r="K44">
            <v>0</v>
          </cell>
        </row>
        <row r="45">
          <cell r="B45">
            <v>79.53397671786955</v>
          </cell>
          <cell r="C45">
            <v>0</v>
          </cell>
          <cell r="D45">
            <v>0.21449292534484776</v>
          </cell>
          <cell r="E45">
            <v>228.26337115198706</v>
          </cell>
          <cell r="F45">
            <v>482.43713440586498</v>
          </cell>
          <cell r="G45">
            <v>344.69441937451541</v>
          </cell>
          <cell r="H45">
            <v>2220.4186619145562</v>
          </cell>
          <cell r="I45">
            <v>0</v>
          </cell>
          <cell r="J45">
            <v>299.75494289154011</v>
          </cell>
          <cell r="K45">
            <v>188.64652784079362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8.4931506849315067E-2</v>
          </cell>
        </row>
        <row r="21">
          <cell r="B21">
            <v>166.09489247311828</v>
          </cell>
          <cell r="C21">
            <v>225.9</v>
          </cell>
          <cell r="D21">
            <v>145.89999999999998</v>
          </cell>
          <cell r="E21">
            <v>301.58474462365592</v>
          </cell>
          <cell r="F21">
            <v>68.326411290322568</v>
          </cell>
          <cell r="G21">
            <v>0</v>
          </cell>
          <cell r="H21">
            <v>12.931451612903226</v>
          </cell>
          <cell r="I21">
            <v>42.05913978494624</v>
          </cell>
          <cell r="J21">
            <v>117.99200268817206</v>
          </cell>
          <cell r="K21">
            <v>173.51760752688173</v>
          </cell>
        </row>
        <row r="22">
          <cell r="B22">
            <v>57.604435483870972</v>
          </cell>
          <cell r="C22">
            <v>0</v>
          </cell>
          <cell r="D22">
            <v>0.11774193548387096</v>
          </cell>
          <cell r="E22">
            <v>39.888978494623657</v>
          </cell>
          <cell r="F22">
            <v>167.81021505376344</v>
          </cell>
          <cell r="G22">
            <v>71.292338709677423</v>
          </cell>
          <cell r="H22">
            <v>750.25967741935483</v>
          </cell>
          <cell r="I22">
            <v>0</v>
          </cell>
          <cell r="J22">
            <v>155.27775537634409</v>
          </cell>
          <cell r="K22">
            <v>12.015255376344085</v>
          </cell>
        </row>
        <row r="24">
          <cell r="B24">
            <v>123.5746</v>
          </cell>
          <cell r="C24">
            <v>168.06960000000001</v>
          </cell>
          <cell r="D24">
            <v>108.54959999999997</v>
          </cell>
          <cell r="E24">
            <v>224.37905000000001</v>
          </cell>
          <cell r="F24">
            <v>50.834849999999989</v>
          </cell>
          <cell r="G24">
            <v>0</v>
          </cell>
          <cell r="H24">
            <v>9.6210000000000004</v>
          </cell>
          <cell r="I24">
            <v>31.292000000000002</v>
          </cell>
          <cell r="J24">
            <v>87.786050000000017</v>
          </cell>
          <cell r="K24">
            <v>129.09710000000001</v>
          </cell>
        </row>
        <row r="25">
          <cell r="B25">
            <v>42.857700000000001</v>
          </cell>
          <cell r="C25">
            <v>0</v>
          </cell>
          <cell r="D25">
            <v>8.7599999999999997E-2</v>
          </cell>
          <cell r="E25">
            <v>29.677400000000002</v>
          </cell>
          <cell r="F25">
            <v>124.85080000000001</v>
          </cell>
          <cell r="G25">
            <v>53.041500000000006</v>
          </cell>
          <cell r="H25">
            <v>558.19319999999993</v>
          </cell>
          <cell r="I25">
            <v>0</v>
          </cell>
          <cell r="J25">
            <v>115.52664999999999</v>
          </cell>
          <cell r="K25">
            <v>8.9393499999999992</v>
          </cell>
        </row>
        <row r="27">
          <cell r="B27">
            <v>1.6356025343002654</v>
          </cell>
          <cell r="C27">
            <v>2.0322952567933532</v>
          </cell>
          <cell r="D27">
            <v>2.4674095535657417</v>
          </cell>
          <cell r="E27">
            <v>1.5958946681493364</v>
          </cell>
          <cell r="F27">
            <v>0.8532326316941099</v>
          </cell>
          <cell r="G27">
            <v>0</v>
          </cell>
          <cell r="H27">
            <v>0.10162137602335375</v>
          </cell>
          <cell r="I27">
            <v>1.4322590828195481</v>
          </cell>
          <cell r="J27">
            <v>0.19799181598623644</v>
          </cell>
          <cell r="K27">
            <v>2.9998983742669463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9.8325426638046817E-2</v>
          </cell>
          <cell r="F28">
            <v>0.61497126812467839</v>
          </cell>
          <cell r="G28">
            <v>0.81789638074175375</v>
          </cell>
          <cell r="H28">
            <v>0.93887922616308317</v>
          </cell>
          <cell r="I28">
            <v>0</v>
          </cell>
          <cell r="J28">
            <v>0.63666966686314796</v>
          </cell>
          <cell r="K28">
            <v>4.3842214345836183E-2</v>
          </cell>
        </row>
        <row r="30">
          <cell r="B30">
            <v>0.43291362304445286</v>
          </cell>
        </row>
        <row r="31">
          <cell r="B31">
            <v>0.33609430024729597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0.72113014780759466</v>
          </cell>
          <cell r="G33">
            <v>0.87930374397444666</v>
          </cell>
          <cell r="H33">
            <v>1.0943964539252478</v>
          </cell>
          <cell r="I33">
            <v>0</v>
          </cell>
          <cell r="J33">
            <v>0.22067291361551813</v>
          </cell>
          <cell r="K33">
            <v>0</v>
          </cell>
        </row>
        <row r="34">
          <cell r="I34">
            <v>2.2164268952300934</v>
          </cell>
        </row>
        <row r="38">
          <cell r="B38">
            <v>199.49886955255849</v>
          </cell>
          <cell r="C38">
            <v>341.56705089115616</v>
          </cell>
          <cell r="D38">
            <v>267.83632007573982</v>
          </cell>
          <cell r="E38">
            <v>354.53224494231762</v>
          </cell>
          <cell r="F38">
            <v>38.837837378005915</v>
          </cell>
          <cell r="G38">
            <v>0</v>
          </cell>
          <cell r="H38">
            <v>0.69864434341407977</v>
          </cell>
          <cell r="I38">
            <v>56.626913818152822</v>
          </cell>
          <cell r="J38">
            <v>17.548649553959173</v>
          </cell>
          <cell r="K38">
            <v>362.58292284868833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2.9180748603687676</v>
          </cell>
          <cell r="F39">
            <v>75.744042766414495</v>
          </cell>
          <cell r="G39">
            <v>42.637386041635132</v>
          </cell>
          <cell r="H39">
            <v>513.16964180426817</v>
          </cell>
          <cell r="I39">
            <v>0</v>
          </cell>
          <cell r="J39">
            <v>67.900473712927791</v>
          </cell>
          <cell r="K39">
            <v>0.37157513038235956</v>
          </cell>
        </row>
        <row r="41">
          <cell r="B41">
            <v>87.838174115719482</v>
          </cell>
          <cell r="C41">
            <v>232.82094647330672</v>
          </cell>
          <cell r="D41">
            <v>67.218498250112177</v>
          </cell>
          <cell r="E41">
            <v>131.67370884433163</v>
          </cell>
          <cell r="F41">
            <v>7.6192797655823696</v>
          </cell>
          <cell r="G41">
            <v>63.638302587534568</v>
          </cell>
          <cell r="H41">
            <v>249.78250222418836</v>
          </cell>
          <cell r="I41">
            <v>112.55754199155773</v>
          </cell>
          <cell r="J41">
            <v>343.09703367142021</v>
          </cell>
          <cell r="K41">
            <v>109.16782832311968</v>
          </cell>
        </row>
        <row r="42">
          <cell r="B42">
            <v>12.462376653169732</v>
          </cell>
          <cell r="C42">
            <v>0</v>
          </cell>
          <cell r="D42">
            <v>3.3609430024729596E-2</v>
          </cell>
          <cell r="E42">
            <v>35.767155432317239</v>
          </cell>
          <cell r="F42">
            <v>75.594274655336378</v>
          </cell>
          <cell r="G42">
            <v>54.011026001239848</v>
          </cell>
          <cell r="H42">
            <v>347.92292344020456</v>
          </cell>
          <cell r="I42">
            <v>0</v>
          </cell>
          <cell r="J42">
            <v>46.969347643903681</v>
          </cell>
          <cell r="K42">
            <v>29.559493706749684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88.775321436624097</v>
          </cell>
          <cell r="G44">
            <v>45.874244852025434</v>
          </cell>
          <cell r="H44">
            <v>596.0258073284441</v>
          </cell>
          <cell r="I44">
            <v>0</v>
          </cell>
          <cell r="J44">
            <v>22.992480956385929</v>
          </cell>
          <cell r="K44">
            <v>0</v>
          </cell>
        </row>
        <row r="45">
          <cell r="B45">
            <v>82.185109275131865</v>
          </cell>
          <cell r="C45">
            <v>0</v>
          </cell>
          <cell r="D45">
            <v>0.22164268952300936</v>
          </cell>
          <cell r="E45">
            <v>235.87215019038658</v>
          </cell>
          <cell r="F45">
            <v>498.51837221939377</v>
          </cell>
          <cell r="G45">
            <v>356.18423335366589</v>
          </cell>
          <cell r="H45">
            <v>2294.4326173117079</v>
          </cell>
          <cell r="I45">
            <v>0</v>
          </cell>
          <cell r="J45">
            <v>309.7467743212581</v>
          </cell>
          <cell r="K45">
            <v>194.93474543548678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96.572580645161295</v>
          </cell>
          <cell r="C21">
            <v>94.6</v>
          </cell>
          <cell r="D21">
            <v>59.699999999999996</v>
          </cell>
          <cell r="E21">
            <v>160.54092741935483</v>
          </cell>
          <cell r="F21">
            <v>281.23010752688168</v>
          </cell>
          <cell r="G21">
            <v>0</v>
          </cell>
          <cell r="H21">
            <v>152.44334677419354</v>
          </cell>
          <cell r="I21">
            <v>157.77150537634409</v>
          </cell>
          <cell r="J21">
            <v>134.32547043010757</v>
          </cell>
          <cell r="K21">
            <v>159.55120967741934</v>
          </cell>
        </row>
        <row r="22">
          <cell r="B22">
            <v>15.397244623655915</v>
          </cell>
          <cell r="C22">
            <v>0</v>
          </cell>
          <cell r="D22">
            <v>0.15094086021505379</v>
          </cell>
          <cell r="E22">
            <v>39.595967741935475</v>
          </cell>
          <cell r="F22">
            <v>185.62177419354836</v>
          </cell>
          <cell r="G22">
            <v>75.758870967741927</v>
          </cell>
          <cell r="H22">
            <v>800.18790322580662</v>
          </cell>
          <cell r="I22">
            <v>0</v>
          </cell>
          <cell r="J22">
            <v>166.97896505376346</v>
          </cell>
          <cell r="K22">
            <v>12.837029569892474</v>
          </cell>
        </row>
        <row r="24">
          <cell r="B24">
            <v>71.849999999999994</v>
          </cell>
          <cell r="C24">
            <v>70.38239999999999</v>
          </cell>
          <cell r="D24">
            <v>44.416799999999995</v>
          </cell>
          <cell r="E24">
            <v>119.44244999999999</v>
          </cell>
          <cell r="F24">
            <v>209.23519999999999</v>
          </cell>
          <cell r="G24">
            <v>0</v>
          </cell>
          <cell r="H24">
            <v>113.41785</v>
          </cell>
          <cell r="I24">
            <v>117.38200000000001</v>
          </cell>
          <cell r="J24">
            <v>99.938150000000022</v>
          </cell>
          <cell r="K24">
            <v>118.70609999999999</v>
          </cell>
        </row>
        <row r="25">
          <cell r="B25">
            <v>11.455550000000001</v>
          </cell>
          <cell r="C25">
            <v>0</v>
          </cell>
          <cell r="D25">
            <v>0.11230000000000001</v>
          </cell>
          <cell r="E25">
            <v>29.459399999999995</v>
          </cell>
          <cell r="F25">
            <v>138.10259999999997</v>
          </cell>
          <cell r="G25">
            <v>56.364599999999989</v>
          </cell>
          <cell r="H25">
            <v>595.3398000000002</v>
          </cell>
          <cell r="I25">
            <v>0</v>
          </cell>
          <cell r="J25">
            <v>124.23235000000001</v>
          </cell>
          <cell r="K25">
            <v>9.5507500000000007</v>
          </cell>
        </row>
        <row r="27">
          <cell r="B27">
            <v>3.2225176277296268</v>
          </cell>
          <cell r="C27">
            <v>3.0045140163860147</v>
          </cell>
          <cell r="D27">
            <v>3.4113275864535075</v>
          </cell>
          <cell r="E27">
            <v>2.1208002353292374</v>
          </cell>
          <cell r="F27">
            <v>1.031614464237175</v>
          </cell>
          <cell r="G27">
            <v>0</v>
          </cell>
          <cell r="H27">
            <v>0.156581625206626</v>
          </cell>
          <cell r="I27">
            <v>0.66621667398981521</v>
          </cell>
          <cell r="J27">
            <v>0.18739174602073144</v>
          </cell>
          <cell r="K27">
            <v>3.8840483994513222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0.40151691224403796</v>
          </cell>
          <cell r="F28">
            <v>0.83545733155477164</v>
          </cell>
          <cell r="G28">
            <v>1.1686552970805384</v>
          </cell>
          <cell r="H28">
            <v>0.81491339551447683</v>
          </cell>
          <cell r="I28">
            <v>0</v>
          </cell>
          <cell r="J28">
            <v>0.30352170338676698</v>
          </cell>
          <cell r="K28">
            <v>5.6134286492694148E-2</v>
          </cell>
        </row>
        <row r="30">
          <cell r="B30">
            <v>0.43291362304445291</v>
          </cell>
        </row>
        <row r="31">
          <cell r="B31">
            <v>0.33609430024729592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1.0278668590078535</v>
          </cell>
          <cell r="G33">
            <v>3.1556080068473822</v>
          </cell>
          <cell r="H33">
            <v>1.6849984420643311</v>
          </cell>
          <cell r="I33">
            <v>0</v>
          </cell>
          <cell r="J33">
            <v>0.16101527351990938</v>
          </cell>
          <cell r="K33">
            <v>0</v>
          </cell>
        </row>
        <row r="34">
          <cell r="I34">
            <v>1.9025284148661774</v>
          </cell>
        </row>
        <row r="38">
          <cell r="B38">
            <v>230.6805311168838</v>
          </cell>
          <cell r="C38">
            <v>211.46490730688703</v>
          </cell>
          <cell r="D38">
            <v>151.52025514198814</v>
          </cell>
          <cell r="E38">
            <v>253.3062503999794</v>
          </cell>
          <cell r="F38">
            <v>211.58344494029521</v>
          </cell>
          <cell r="G38">
            <v>0</v>
          </cell>
          <cell r="H38">
            <v>15.656876785132898</v>
          </cell>
          <cell r="I38">
            <v>85.800260860165608</v>
          </cell>
          <cell r="J38">
            <v>19.269950157665523</v>
          </cell>
          <cell r="K38">
            <v>460.44697669499482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11.840607590819104</v>
          </cell>
          <cell r="F39">
            <v>115.07852039225565</v>
          </cell>
          <cell r="G39">
            <v>65.676698614656942</v>
          </cell>
          <cell r="H39">
            <v>474.83499233180157</v>
          </cell>
          <cell r="I39">
            <v>0</v>
          </cell>
          <cell r="J39">
            <v>34.760389161206369</v>
          </cell>
          <cell r="K39">
            <v>0.54998622525713281</v>
          </cell>
        </row>
        <row r="41">
          <cell r="B41">
            <v>87.838174115719511</v>
          </cell>
          <cell r="C41">
            <v>232.82094647330675</v>
          </cell>
          <cell r="D41">
            <v>67.218498250112191</v>
          </cell>
          <cell r="E41">
            <v>131.67370884433168</v>
          </cell>
          <cell r="F41">
            <v>7.6192797655823696</v>
          </cell>
          <cell r="G41">
            <v>63.638302587534582</v>
          </cell>
          <cell r="H41">
            <v>249.78250222418842</v>
          </cell>
          <cell r="I41">
            <v>112.55754199155776</v>
          </cell>
          <cell r="J41">
            <v>343.09703367142021</v>
          </cell>
          <cell r="K41">
            <v>109.16782832311969</v>
          </cell>
        </row>
        <row r="42">
          <cell r="B42">
            <v>12.462376653169732</v>
          </cell>
          <cell r="C42">
            <v>0</v>
          </cell>
          <cell r="D42">
            <v>3.3609430024729596E-2</v>
          </cell>
          <cell r="E42">
            <v>35.767155432317239</v>
          </cell>
          <cell r="F42">
            <v>75.594274655336378</v>
          </cell>
          <cell r="G42">
            <v>54.011026001239848</v>
          </cell>
          <cell r="H42">
            <v>347.9229234402045</v>
          </cell>
          <cell r="I42">
            <v>0</v>
          </cell>
          <cell r="J42">
            <v>46.969347643903667</v>
          </cell>
          <cell r="K42">
            <v>29.559493706749681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141.4899631396834</v>
          </cell>
          <cell r="G44">
            <v>177.28368891641779</v>
          </cell>
          <cell r="H44">
            <v>978.25376757585536</v>
          </cell>
          <cell r="I44">
            <v>0</v>
          </cell>
          <cell r="J44">
            <v>19.183142506137134</v>
          </cell>
          <cell r="K44">
            <v>0</v>
          </cell>
        </row>
        <row r="45">
          <cell r="B45">
            <v>70.545753623237857</v>
          </cell>
          <cell r="C45">
            <v>0</v>
          </cell>
          <cell r="D45">
            <v>0.19025284148661775</v>
          </cell>
          <cell r="E45">
            <v>202.46707391005864</v>
          </cell>
          <cell r="F45">
            <v>427.91637771647299</v>
          </cell>
          <cell r="G45">
            <v>305.74011998366672</v>
          </cell>
          <cell r="H45">
            <v>1969.4866813904689</v>
          </cell>
          <cell r="I45">
            <v>0</v>
          </cell>
          <cell r="J45">
            <v>265.87930367906745</v>
          </cell>
          <cell r="K45">
            <v>167.32737408748034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7.6712328767123292E-2</v>
          </cell>
        </row>
        <row r="21">
          <cell r="B21">
            <v>97.470238095238102</v>
          </cell>
          <cell r="C21">
            <v>94.6</v>
          </cell>
          <cell r="D21">
            <v>59.7</v>
          </cell>
          <cell r="E21">
            <v>160.47916666666666</v>
          </cell>
          <cell r="F21">
            <v>281.01636904761909</v>
          </cell>
          <cell r="G21">
            <v>0</v>
          </cell>
          <cell r="H21">
            <v>154.11607142857142</v>
          </cell>
          <cell r="I21">
            <v>167.20238095238096</v>
          </cell>
          <cell r="J21">
            <v>135.37380952380951</v>
          </cell>
          <cell r="K21">
            <v>159.66249999999999</v>
          </cell>
        </row>
        <row r="22">
          <cell r="B22">
            <v>15.681547619047617</v>
          </cell>
          <cell r="C22">
            <v>0</v>
          </cell>
          <cell r="D22">
            <v>0.1538690476190476</v>
          </cell>
          <cell r="E22">
            <v>40.025297619047628</v>
          </cell>
          <cell r="F22">
            <v>187.87083333333334</v>
          </cell>
          <cell r="G22">
            <v>76.575000000000003</v>
          </cell>
          <cell r="H22">
            <v>807.674107142857</v>
          </cell>
          <cell r="I22">
            <v>0</v>
          </cell>
          <cell r="J22">
            <v>168.44136904761905</v>
          </cell>
          <cell r="K22">
            <v>12.977678571428571</v>
          </cell>
        </row>
        <row r="24">
          <cell r="B24">
            <v>65.5</v>
          </cell>
          <cell r="C24">
            <v>63.571199999999997</v>
          </cell>
          <cell r="D24">
            <v>40.118400000000001</v>
          </cell>
          <cell r="E24">
            <v>107.84199999999998</v>
          </cell>
          <cell r="F24">
            <v>188.84300000000002</v>
          </cell>
          <cell r="G24">
            <v>0</v>
          </cell>
          <cell r="H24">
            <v>103.566</v>
          </cell>
          <cell r="I24">
            <v>112.36</v>
          </cell>
          <cell r="J24">
            <v>90.971199999999996</v>
          </cell>
          <cell r="K24">
            <v>107.2932</v>
          </cell>
        </row>
        <row r="25">
          <cell r="B25">
            <v>10.537999999999998</v>
          </cell>
          <cell r="C25">
            <v>0</v>
          </cell>
          <cell r="D25">
            <v>0.10339999999999999</v>
          </cell>
          <cell r="E25">
            <v>26.897000000000002</v>
          </cell>
          <cell r="F25">
            <v>126.2492</v>
          </cell>
          <cell r="G25">
            <v>51.458400000000005</v>
          </cell>
          <cell r="H25">
            <v>542.75699999999983</v>
          </cell>
          <cell r="I25">
            <v>0</v>
          </cell>
          <cell r="J25">
            <v>113.19259999999998</v>
          </cell>
          <cell r="K25">
            <v>8.7210000000000001</v>
          </cell>
        </row>
        <row r="27">
          <cell r="B27">
            <v>3.207322833433317</v>
          </cell>
          <cell r="C27">
            <v>3.000011323946755</v>
          </cell>
          <cell r="D27">
            <v>3.3872993967964167</v>
          </cell>
          <cell r="E27">
            <v>2.1145276050059598</v>
          </cell>
          <cell r="F27">
            <v>1.021764032060567</v>
          </cell>
          <cell r="G27">
            <v>0</v>
          </cell>
          <cell r="H27">
            <v>0.13550334578964776</v>
          </cell>
          <cell r="I27">
            <v>0.71047758687405305</v>
          </cell>
          <cell r="J27">
            <v>0.18704248066050366</v>
          </cell>
          <cell r="K27">
            <v>3.8759400693698751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0.40415381817949564</v>
          </cell>
          <cell r="F28">
            <v>0.83823950483109755</v>
          </cell>
          <cell r="G28">
            <v>1.1680405787583459</v>
          </cell>
          <cell r="H28">
            <v>0.80619930745042245</v>
          </cell>
          <cell r="I28">
            <v>0</v>
          </cell>
          <cell r="J28">
            <v>0.28085212551776917</v>
          </cell>
          <cell r="K28">
            <v>5.6617890355011448E-2</v>
          </cell>
        </row>
        <row r="30">
          <cell r="B30">
            <v>0.39101875629821548</v>
          </cell>
        </row>
        <row r="31">
          <cell r="B31">
            <v>0.30356904538465435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1.0323485985267746</v>
          </cell>
          <cell r="G33">
            <v>3.1590275268192789</v>
          </cell>
          <cell r="H33">
            <v>1.6595136113486735</v>
          </cell>
          <cell r="I33">
            <v>0</v>
          </cell>
          <cell r="J33">
            <v>0.16338396722887569</v>
          </cell>
          <cell r="K33">
            <v>0</v>
          </cell>
        </row>
        <row r="34">
          <cell r="I34">
            <v>1.7184127618146119</v>
          </cell>
        </row>
        <row r="38">
          <cell r="B38">
            <v>209.48224081591863</v>
          </cell>
          <cell r="C38">
            <v>190.71431987688399</v>
          </cell>
          <cell r="D38">
            <v>135.89303212043737</v>
          </cell>
          <cell r="E38">
            <v>228.02414889131691</v>
          </cell>
          <cell r="F38">
            <v>189.15062426048806</v>
          </cell>
          <cell r="G38">
            <v>0</v>
          </cell>
          <cell r="H38">
            <v>12.464388196937454</v>
          </cell>
          <cell r="I38">
            <v>82.348633814975997</v>
          </cell>
          <cell r="J38">
            <v>17.549323902706888</v>
          </cell>
          <cell r="K38">
            <v>415.41924603361826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10.871591993158914</v>
          </cell>
          <cell r="F39">
            <v>105.41484931014072</v>
          </cell>
          <cell r="G39">
            <v>59.932254416424392</v>
          </cell>
          <cell r="H39">
            <v>428.58845389357822</v>
          </cell>
          <cell r="I39">
            <v>0</v>
          </cell>
          <cell r="J39">
            <v>29.420568540159874</v>
          </cell>
          <cell r="K39">
            <v>0.50626380937363169</v>
          </cell>
        </row>
        <row r="41">
          <cell r="B41">
            <v>79.337705652907943</v>
          </cell>
          <cell r="C41">
            <v>210.2898871371803</v>
          </cell>
          <cell r="D41">
            <v>60.713482290423904</v>
          </cell>
          <cell r="E41">
            <v>118.93109185939632</v>
          </cell>
          <cell r="F41">
            <v>6.8819301108485922</v>
          </cell>
          <cell r="G41">
            <v>57.479757175837676</v>
          </cell>
          <cell r="H41">
            <v>225.61000200894435</v>
          </cell>
          <cell r="I41">
            <v>101.66487663753603</v>
          </cell>
          <cell r="J41">
            <v>309.89409492902467</v>
          </cell>
          <cell r="K41">
            <v>98.603199775720995</v>
          </cell>
        </row>
        <row r="42">
          <cell r="B42">
            <v>11.256340202862983</v>
          </cell>
          <cell r="C42">
            <v>0</v>
          </cell>
          <cell r="D42">
            <v>3.0356904538465439E-2</v>
          </cell>
          <cell r="E42">
            <v>32.305817809834927</v>
          </cell>
          <cell r="F42">
            <v>68.278699688690921</v>
          </cell>
          <cell r="G42">
            <v>48.784152517248891</v>
          </cell>
          <cell r="H42">
            <v>314.25296310728152</v>
          </cell>
          <cell r="I42">
            <v>0</v>
          </cell>
          <cell r="J42">
            <v>42.423926904171054</v>
          </cell>
          <cell r="K42">
            <v>26.698897541580362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129.69317709129189</v>
          </cell>
          <cell r="G44">
            <v>162.00016623568413</v>
          </cell>
          <cell r="H44">
            <v>879.46068796097745</v>
          </cell>
          <cell r="I44">
            <v>0</v>
          </cell>
          <cell r="J44">
            <v>17.681315159357055</v>
          </cell>
          <cell r="K44">
            <v>0</v>
          </cell>
        </row>
        <row r="45">
          <cell r="B45">
            <v>63.718745208085814</v>
          </cell>
          <cell r="C45">
            <v>0</v>
          </cell>
          <cell r="D45">
            <v>0.17184127618146119</v>
          </cell>
          <cell r="E45">
            <v>182.87348611231101</v>
          </cell>
          <cell r="F45">
            <v>386.50511535681431</v>
          </cell>
          <cell r="G45">
            <v>276.15236643686023</v>
          </cell>
          <cell r="H45">
            <v>1778.8911960946173</v>
          </cell>
          <cell r="I45">
            <v>0</v>
          </cell>
          <cell r="J45">
            <v>240.14904848431905</v>
          </cell>
          <cell r="K45">
            <v>151.13440240159514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8.4931506849315053E-2</v>
          </cell>
        </row>
        <row r="21">
          <cell r="B21">
            <v>96.572580645161295</v>
          </cell>
          <cell r="C21">
            <v>94.6</v>
          </cell>
          <cell r="D21">
            <v>59.700000000000017</v>
          </cell>
          <cell r="E21">
            <v>160.83528225806452</v>
          </cell>
          <cell r="F21">
            <v>281.41276881720421</v>
          </cell>
          <cell r="G21">
            <v>0</v>
          </cell>
          <cell r="H21">
            <v>149.64173387096776</v>
          </cell>
          <cell r="I21">
            <v>149.53763440860214</v>
          </cell>
          <cell r="J21">
            <v>132.70047043010754</v>
          </cell>
          <cell r="K21">
            <v>159.5695564516129</v>
          </cell>
        </row>
        <row r="22">
          <cell r="B22">
            <v>15.373655913978498</v>
          </cell>
          <cell r="C22">
            <v>0</v>
          </cell>
          <cell r="D22">
            <v>0.14630376344086024</v>
          </cell>
          <cell r="E22">
            <v>39.20887096774193</v>
          </cell>
          <cell r="F22">
            <v>183.56189516129035</v>
          </cell>
          <cell r="G22">
            <v>75.013709677419342</v>
          </cell>
          <cell r="H22">
            <v>792.84314516129052</v>
          </cell>
          <cell r="I22">
            <v>0</v>
          </cell>
          <cell r="J22">
            <v>165.5386424731183</v>
          </cell>
          <cell r="K22">
            <v>12.704569892473119</v>
          </cell>
        </row>
        <row r="24">
          <cell r="B24">
            <v>71.849999999999994</v>
          </cell>
          <cell r="C24">
            <v>70.38239999999999</v>
          </cell>
          <cell r="D24">
            <v>44.416800000000009</v>
          </cell>
          <cell r="E24">
            <v>119.66145000000002</v>
          </cell>
          <cell r="F24">
            <v>209.37109999999996</v>
          </cell>
          <cell r="G24">
            <v>0</v>
          </cell>
          <cell r="H24">
            <v>111.33345000000001</v>
          </cell>
          <cell r="I24">
            <v>111.256</v>
          </cell>
          <cell r="J24">
            <v>98.729150000000004</v>
          </cell>
          <cell r="K24">
            <v>118.71975</v>
          </cell>
        </row>
        <row r="25">
          <cell r="B25">
            <v>11.438000000000002</v>
          </cell>
          <cell r="C25">
            <v>0</v>
          </cell>
          <cell r="D25">
            <v>0.10885000000000002</v>
          </cell>
          <cell r="E25">
            <v>29.171399999999995</v>
          </cell>
          <cell r="F25">
            <v>136.57005000000001</v>
          </cell>
          <cell r="G25">
            <v>55.810199999999988</v>
          </cell>
          <cell r="H25">
            <v>589.87530000000015</v>
          </cell>
          <cell r="I25">
            <v>0</v>
          </cell>
          <cell r="J25">
            <v>123.16075000000002</v>
          </cell>
          <cell r="K25">
            <v>9.4522000000000013</v>
          </cell>
        </row>
        <row r="27">
          <cell r="B27">
            <v>3.2205588025923619</v>
          </cell>
          <cell r="C27">
            <v>3.0027631862133406</v>
          </cell>
          <cell r="D27">
            <v>3.4285908098368152</v>
          </cell>
          <cell r="E27">
            <v>2.1214042650666043</v>
          </cell>
          <cell r="F27">
            <v>1.0283268879577716</v>
          </cell>
          <cell r="G27">
            <v>0</v>
          </cell>
          <cell r="H27">
            <v>0.15711552079814922</v>
          </cell>
          <cell r="I27">
            <v>0.70659825536275089</v>
          </cell>
          <cell r="J27">
            <v>0.18917252719877209</v>
          </cell>
          <cell r="K27">
            <v>3.8843512274119751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0.39929720059727575</v>
          </cell>
          <cell r="F28">
            <v>0.83205643573883048</v>
          </cell>
          <cell r="G28">
            <v>1.1674029372305648</v>
          </cell>
          <cell r="H28">
            <v>0.82532021618062856</v>
          </cell>
          <cell r="I28">
            <v>0</v>
          </cell>
          <cell r="J28">
            <v>0.3065888056990364</v>
          </cell>
          <cell r="K28">
            <v>5.5608834739461488E-2</v>
          </cell>
        </row>
        <row r="30">
          <cell r="B30">
            <v>0.43291362304445291</v>
          </cell>
        </row>
        <row r="31">
          <cell r="B31">
            <v>0.33609430024729597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1.022839044556096</v>
          </cell>
          <cell r="G33">
            <v>3.1476234836292174</v>
          </cell>
          <cell r="H33">
            <v>1.706443893686086</v>
          </cell>
          <cell r="I33">
            <v>0</v>
          </cell>
          <cell r="J33">
            <v>0.15692275933674948</v>
          </cell>
          <cell r="K33">
            <v>0</v>
          </cell>
        </row>
        <row r="34">
          <cell r="I34">
            <v>1.9025284148661779</v>
          </cell>
        </row>
        <row r="38">
          <cell r="B38">
            <v>230.53479452667125</v>
          </cell>
          <cell r="C38">
            <v>211.34167967734174</v>
          </cell>
          <cell r="D38">
            <v>152.28703228235986</v>
          </cell>
          <cell r="E38">
            <v>253.83165396608661</v>
          </cell>
          <cell r="F38">
            <v>210.97949106399764</v>
          </cell>
          <cell r="G38">
            <v>0</v>
          </cell>
          <cell r="H38">
            <v>15.587903477478555</v>
          </cell>
          <cell r="I38">
            <v>85.432449407984564</v>
          </cell>
          <cell r="J38">
            <v>19.189162526458059</v>
          </cell>
          <cell r="K38">
            <v>460.5452864756142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11.657116107106235</v>
          </cell>
          <cell r="F39">
            <v>113.43889642233152</v>
          </cell>
          <cell r="G39">
            <v>64.965927529461197</v>
          </cell>
          <cell r="H39">
            <v>477.17908618441834</v>
          </cell>
          <cell r="I39">
            <v>0</v>
          </cell>
          <cell r="J39">
            <v>34.961524069917544</v>
          </cell>
          <cell r="K39">
            <v>0.53864400276194435</v>
          </cell>
        </row>
        <row r="41">
          <cell r="B41">
            <v>87.838174115719511</v>
          </cell>
          <cell r="C41">
            <v>232.82094647330675</v>
          </cell>
          <cell r="D41">
            <v>67.218498250112191</v>
          </cell>
          <cell r="E41">
            <v>131.67370884433166</v>
          </cell>
          <cell r="F41">
            <v>7.6192797655823696</v>
          </cell>
          <cell r="G41">
            <v>63.638302587534575</v>
          </cell>
          <cell r="H41">
            <v>249.78250222418842</v>
          </cell>
          <cell r="I41">
            <v>112.55754199155776</v>
          </cell>
          <cell r="J41">
            <v>343.09703367142026</v>
          </cell>
          <cell r="K41">
            <v>109.16782832311966</v>
          </cell>
        </row>
        <row r="42">
          <cell r="B42">
            <v>12.462376653169736</v>
          </cell>
          <cell r="C42">
            <v>0</v>
          </cell>
          <cell r="D42">
            <v>3.3609430024729603E-2</v>
          </cell>
          <cell r="E42">
            <v>35.767155432317239</v>
          </cell>
          <cell r="F42">
            <v>75.594274655336392</v>
          </cell>
          <cell r="G42">
            <v>54.011026001239848</v>
          </cell>
          <cell r="H42">
            <v>347.92292344020456</v>
          </cell>
          <cell r="I42">
            <v>0</v>
          </cell>
          <cell r="J42">
            <v>46.969347643903667</v>
          </cell>
          <cell r="K42">
            <v>29.559493706749681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139.39361761557277</v>
          </cell>
          <cell r="G44">
            <v>175.09596082230453</v>
          </cell>
          <cell r="H44">
            <v>983.20617726053183</v>
          </cell>
          <cell r="I44">
            <v>0</v>
          </cell>
          <cell r="J44">
            <v>18.514806439684474</v>
          </cell>
          <cell r="K44">
            <v>0</v>
          </cell>
        </row>
        <row r="45">
          <cell r="B45">
            <v>70.545753623237871</v>
          </cell>
          <cell r="C45">
            <v>0</v>
          </cell>
          <cell r="D45">
            <v>0.19025284148661775</v>
          </cell>
          <cell r="E45">
            <v>202.46707391005862</v>
          </cell>
          <cell r="F45">
            <v>427.91637771647299</v>
          </cell>
          <cell r="G45">
            <v>305.74011998366666</v>
          </cell>
          <cell r="H45">
            <v>1969.4866813904691</v>
          </cell>
          <cell r="I45">
            <v>0</v>
          </cell>
          <cell r="J45">
            <v>265.87930367906745</v>
          </cell>
          <cell r="K45">
            <v>167.32737408748034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97.048611111111114</v>
          </cell>
          <cell r="C21">
            <v>94.6</v>
          </cell>
          <cell r="D21">
            <v>59.7</v>
          </cell>
          <cell r="E21">
            <v>160.60034722222221</v>
          </cell>
          <cell r="F21">
            <v>281.17395833333336</v>
          </cell>
          <cell r="G21">
            <v>0</v>
          </cell>
          <cell r="H21">
            <v>152.453125</v>
          </cell>
          <cell r="I21">
            <v>160.19444444444446</v>
          </cell>
          <cell r="J21">
            <v>134.37256944444445</v>
          </cell>
          <cell r="K21">
            <v>159.61597222222221</v>
          </cell>
        </row>
        <row r="22">
          <cell r="B22">
            <v>15.540625</v>
          </cell>
          <cell r="C22">
            <v>0</v>
          </cell>
          <cell r="D22">
            <v>0.15104166666666666</v>
          </cell>
          <cell r="E22">
            <v>39.702430555555551</v>
          </cell>
          <cell r="F22">
            <v>186.16944444444445</v>
          </cell>
          <cell r="G22">
            <v>75.958333333333343</v>
          </cell>
          <cell r="H22">
            <v>801.85798611111113</v>
          </cell>
          <cell r="I22">
            <v>0</v>
          </cell>
          <cell r="J22">
            <v>167.30347222222221</v>
          </cell>
          <cell r="K22">
            <v>12.870138888888889</v>
          </cell>
        </row>
        <row r="24">
          <cell r="B24">
            <v>69.875</v>
          </cell>
          <cell r="C24">
            <v>68.111999999999995</v>
          </cell>
          <cell r="D24">
            <v>42.984000000000002</v>
          </cell>
          <cell r="E24">
            <v>115.63225</v>
          </cell>
          <cell r="F24">
            <v>202.44524999999999</v>
          </cell>
          <cell r="G24">
            <v>0</v>
          </cell>
          <cell r="H24">
            <v>109.76625</v>
          </cell>
          <cell r="I24">
            <v>115.34</v>
          </cell>
          <cell r="J24">
            <v>96.748249999999999</v>
          </cell>
          <cell r="K24">
            <v>114.9235</v>
          </cell>
        </row>
        <row r="25">
          <cell r="B25">
            <v>11.189249999999999</v>
          </cell>
          <cell r="C25">
            <v>0</v>
          </cell>
          <cell r="D25">
            <v>0.10875</v>
          </cell>
          <cell r="E25">
            <v>28.585749999999997</v>
          </cell>
          <cell r="F25">
            <v>134.042</v>
          </cell>
          <cell r="G25">
            <v>54.690000000000005</v>
          </cell>
          <cell r="H25">
            <v>577.33775000000003</v>
          </cell>
          <cell r="I25">
            <v>0</v>
          </cell>
          <cell r="J25">
            <v>120.4585</v>
          </cell>
          <cell r="K25">
            <v>9.2665000000000006</v>
          </cell>
        </row>
        <row r="27">
          <cell r="B27">
            <v>3.2138464127820359</v>
          </cell>
          <cell r="C27">
            <v>3.0015779851899129</v>
          </cell>
          <cell r="D27">
            <v>3.4039910204725503</v>
          </cell>
          <cell r="E27">
            <v>2.1176629810856649</v>
          </cell>
          <cell r="F27">
            <v>1.0253613071267362</v>
          </cell>
          <cell r="G27">
            <v>0</v>
          </cell>
          <cell r="H27">
            <v>0.14557092918587713</v>
          </cell>
          <cell r="I27">
            <v>0.70233310781793135</v>
          </cell>
          <cell r="J27">
            <v>0.18776414789050216</v>
          </cell>
          <cell r="K27">
            <v>3.879843352355405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0.4022202102295116</v>
          </cell>
          <cell r="F28">
            <v>0.83586779950136691</v>
          </cell>
          <cell r="G28">
            <v>1.1679371570071619</v>
          </cell>
          <cell r="H28">
            <v>0.81355098962849548</v>
          </cell>
          <cell r="I28">
            <v>0</v>
          </cell>
          <cell r="J28">
            <v>0.29246036332169595</v>
          </cell>
          <cell r="K28">
            <v>5.6226207688870357E-2</v>
          </cell>
        </row>
        <row r="30">
          <cell r="B30">
            <v>0.41894866746237369</v>
          </cell>
        </row>
        <row r="31">
          <cell r="B31">
            <v>0.32525254862641545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1.0286691729143067</v>
          </cell>
          <cell r="G33">
            <v>3.1549211844106284</v>
          </cell>
          <cell r="H33">
            <v>1.6781990015360722</v>
          </cell>
          <cell r="I33">
            <v>0</v>
          </cell>
          <cell r="J33">
            <v>0.16098990463145255</v>
          </cell>
          <cell r="K33">
            <v>0</v>
          </cell>
        </row>
        <row r="34">
          <cell r="I34">
            <v>1.8411565305156563</v>
          </cell>
        </row>
        <row r="38">
          <cell r="B38">
            <v>223.83462473180623</v>
          </cell>
          <cell r="C38">
            <v>204.44347972725532</v>
          </cell>
          <cell r="D38">
            <v>146.31715002399213</v>
          </cell>
          <cell r="E38">
            <v>244.85759343554406</v>
          </cell>
          <cell r="F38">
            <v>203.46322243107892</v>
          </cell>
          <cell r="G38">
            <v>0</v>
          </cell>
          <cell r="H38">
            <v>14.177899921000826</v>
          </cell>
          <cell r="I38">
            <v>85.677657042771941</v>
          </cell>
          <cell r="J38">
            <v>18.70579391602007</v>
          </cell>
          <cell r="K38">
            <v>445.35753367761993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11.503531784754161</v>
          </cell>
          <cell r="F39">
            <v>111.70636335605248</v>
          </cell>
          <cell r="G39">
            <v>63.69007692957134</v>
          </cell>
          <cell r="H39">
            <v>460.06058587902373</v>
          </cell>
          <cell r="I39">
            <v>0</v>
          </cell>
          <cell r="J39">
            <v>32.577358988884995</v>
          </cell>
          <cell r="K39">
            <v>0.53420659332305165</v>
          </cell>
        </row>
        <row r="41">
          <cell r="B41">
            <v>85.004684628115641</v>
          </cell>
          <cell r="C41">
            <v>225.31059336126455</v>
          </cell>
          <cell r="D41">
            <v>65.050159596882764</v>
          </cell>
          <cell r="E41">
            <v>127.42616984935319</v>
          </cell>
          <cell r="F41">
            <v>7.3734965473377763</v>
          </cell>
          <cell r="G41">
            <v>61.585454116968933</v>
          </cell>
          <cell r="H41">
            <v>241.72500215244045</v>
          </cell>
          <cell r="I41">
            <v>108.92665354021716</v>
          </cell>
          <cell r="J41">
            <v>332.02938742395503</v>
          </cell>
          <cell r="K41">
            <v>105.64628547398677</v>
          </cell>
        </row>
        <row r="42">
          <cell r="B42">
            <v>12.060364503067483</v>
          </cell>
          <cell r="C42">
            <v>0</v>
          </cell>
          <cell r="D42">
            <v>3.2525254862641538E-2</v>
          </cell>
          <cell r="E42">
            <v>34.613376224823128</v>
          </cell>
          <cell r="F42">
            <v>73.155749666454554</v>
          </cell>
          <cell r="G42">
            <v>52.268734839909527</v>
          </cell>
          <cell r="H42">
            <v>336.69960332923017</v>
          </cell>
          <cell r="I42">
            <v>0</v>
          </cell>
          <cell r="J42">
            <v>45.454207397326115</v>
          </cell>
          <cell r="K42">
            <v>28.605961651693239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137.36766855502628</v>
          </cell>
          <cell r="G44">
            <v>171.96609605224887</v>
          </cell>
          <cell r="H44">
            <v>945.85510635614901</v>
          </cell>
          <cell r="I44">
            <v>0</v>
          </cell>
          <cell r="J44">
            <v>18.563285944408335</v>
          </cell>
          <cell r="K44">
            <v>0</v>
          </cell>
        </row>
        <row r="45">
          <cell r="B45">
            <v>68.270084151520521</v>
          </cell>
          <cell r="C45">
            <v>0</v>
          </cell>
          <cell r="D45">
            <v>0.1841156530515656</v>
          </cell>
          <cell r="E45">
            <v>195.93587797747608</v>
          </cell>
          <cell r="F45">
            <v>414.11262359658684</v>
          </cell>
          <cell r="G45">
            <v>295.87753546806459</v>
          </cell>
          <cell r="H45">
            <v>1905.9548529585181</v>
          </cell>
          <cell r="I45">
            <v>0</v>
          </cell>
          <cell r="J45">
            <v>257.30255194748469</v>
          </cell>
          <cell r="K45">
            <v>161.92971685885192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8.493150684931508E-2</v>
          </cell>
        </row>
        <row r="21">
          <cell r="B21">
            <v>97.143817204301072</v>
          </cell>
          <cell r="C21">
            <v>94.6</v>
          </cell>
          <cell r="D21">
            <v>59.7</v>
          </cell>
          <cell r="E21">
            <v>160.47486559139784</v>
          </cell>
          <cell r="F21">
            <v>281.0774865591398</v>
          </cell>
          <cell r="G21">
            <v>0</v>
          </cell>
          <cell r="H21">
            <v>153.76250000000002</v>
          </cell>
          <cell r="I21">
            <v>164.52150537634409</v>
          </cell>
          <cell r="J21">
            <v>135.14032258064518</v>
          </cell>
          <cell r="K21">
            <v>159.62036290322578</v>
          </cell>
        </row>
        <row r="22">
          <cell r="B22">
            <v>15.580309139784944</v>
          </cell>
          <cell r="C22">
            <v>0</v>
          </cell>
          <cell r="D22">
            <v>0.15322580645161293</v>
          </cell>
          <cell r="E22">
            <v>39.904368279569887</v>
          </cell>
          <cell r="F22">
            <v>187.24025537634409</v>
          </cell>
          <cell r="G22">
            <v>76.345967741935482</v>
          </cell>
          <cell r="H22">
            <v>805.61955645161299</v>
          </cell>
          <cell r="I22">
            <v>0</v>
          </cell>
          <cell r="J22">
            <v>168.04052419354841</v>
          </cell>
          <cell r="K22">
            <v>12.938575268817203</v>
          </cell>
        </row>
        <row r="24">
          <cell r="B24">
            <v>72.275000000000006</v>
          </cell>
          <cell r="C24">
            <v>70.38239999999999</v>
          </cell>
          <cell r="D24">
            <v>44.416800000000002</v>
          </cell>
          <cell r="E24">
            <v>119.39329999999998</v>
          </cell>
          <cell r="F24">
            <v>209.12164999999999</v>
          </cell>
          <cell r="G24">
            <v>0</v>
          </cell>
          <cell r="H24">
            <v>114.3993</v>
          </cell>
          <cell r="I24">
            <v>122.404</v>
          </cell>
          <cell r="J24">
            <v>100.54440000000001</v>
          </cell>
          <cell r="K24">
            <v>118.75754999999999</v>
          </cell>
        </row>
        <row r="25">
          <cell r="B25">
            <v>11.591749999999998</v>
          </cell>
          <cell r="C25">
            <v>0</v>
          </cell>
          <cell r="D25">
            <v>0.11400000000000002</v>
          </cell>
          <cell r="E25">
            <v>29.688849999999995</v>
          </cell>
          <cell r="F25">
            <v>139.30674999999999</v>
          </cell>
          <cell r="G25">
            <v>56.801400000000001</v>
          </cell>
          <cell r="H25">
            <v>599.3809500000001</v>
          </cell>
          <cell r="I25">
            <v>0</v>
          </cell>
          <cell r="J25">
            <v>125.02215000000001</v>
          </cell>
          <cell r="K25">
            <v>9.6262999999999987</v>
          </cell>
        </row>
        <row r="27">
          <cell r="B27">
            <v>3.2130262881899085</v>
          </cell>
          <cell r="C27">
            <v>3.0018078330312745</v>
          </cell>
          <cell r="D27">
            <v>3.3944675363641492</v>
          </cell>
          <cell r="E27">
            <v>2.1167536496928454</v>
          </cell>
          <cell r="F27">
            <v>1.0256448779683702</v>
          </cell>
          <cell r="G27">
            <v>0</v>
          </cell>
          <cell r="H27">
            <v>0.1431196387056832</v>
          </cell>
          <cell r="I27">
            <v>0.69071165660951805</v>
          </cell>
          <cell r="J27">
            <v>0.18700759704803738</v>
          </cell>
          <cell r="K27">
            <v>3.8788610232212508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0.40339673526176212</v>
          </cell>
          <cell r="F28">
            <v>0.83753697780479197</v>
          </cell>
          <cell r="G28">
            <v>1.1683779635891411</v>
          </cell>
          <cell r="H28">
            <v>0.80842199214042854</v>
          </cell>
          <cell r="I28">
            <v>0</v>
          </cell>
          <cell r="J28">
            <v>0.28881678089628932</v>
          </cell>
          <cell r="K28">
            <v>5.6489802746280855E-2</v>
          </cell>
        </row>
        <row r="30">
          <cell r="B30">
            <v>0.4329136230444528</v>
          </cell>
        </row>
        <row r="31">
          <cell r="B31">
            <v>0.33609430024729592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1.0311759491064176</v>
          </cell>
          <cell r="G33">
            <v>3.1585099307584219</v>
          </cell>
          <cell r="H33">
            <v>1.6668312360069346</v>
          </cell>
          <cell r="I33">
            <v>0</v>
          </cell>
          <cell r="J33">
            <v>0.1628946708059025</v>
          </cell>
          <cell r="K33">
            <v>0</v>
          </cell>
        </row>
        <row r="34">
          <cell r="I34">
            <v>1.9025284148661776</v>
          </cell>
        </row>
        <row r="38">
          <cell r="B38">
            <v>231.48683885282884</v>
          </cell>
          <cell r="C38">
            <v>211.27443962754035</v>
          </cell>
          <cell r="D38">
            <v>150.77138566917912</v>
          </cell>
          <cell r="E38">
            <v>252.71697744922875</v>
          </cell>
          <cell r="F38">
            <v>210.259551968751</v>
          </cell>
          <cell r="G38">
            <v>0</v>
          </cell>
          <cell r="H38">
            <v>14.48140808858647</v>
          </cell>
          <cell r="I38">
            <v>89.251887905355233</v>
          </cell>
          <cell r="J38">
            <v>19.378895318895264</v>
          </cell>
          <cell r="K38">
            <v>460.10806852362737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11.981887253997348</v>
          </cell>
          <cell r="F39">
            <v>116.26534433568521</v>
          </cell>
          <cell r="G39">
            <v>66.172048842828403</v>
          </cell>
          <cell r="H39">
            <v>474.4142175590747</v>
          </cell>
          <cell r="I39">
            <v>0</v>
          </cell>
          <cell r="J39">
            <v>33.349984356577572</v>
          </cell>
          <cell r="K39">
            <v>0.55771196783357868</v>
          </cell>
        </row>
        <row r="41">
          <cell r="B41">
            <v>87.838174115719497</v>
          </cell>
          <cell r="C41">
            <v>232.82094647330672</v>
          </cell>
          <cell r="D41">
            <v>67.218498250112191</v>
          </cell>
          <cell r="E41">
            <v>131.67370884433166</v>
          </cell>
          <cell r="F41">
            <v>7.6192797655823687</v>
          </cell>
          <cell r="G41">
            <v>63.638302587534575</v>
          </cell>
          <cell r="H41">
            <v>249.78250222418842</v>
          </cell>
          <cell r="I41">
            <v>112.55754199155773</v>
          </cell>
          <cell r="J41">
            <v>343.09703367142021</v>
          </cell>
          <cell r="K41">
            <v>109.16782832311966</v>
          </cell>
        </row>
        <row r="42">
          <cell r="B42">
            <v>12.462376653169731</v>
          </cell>
          <cell r="C42">
            <v>0</v>
          </cell>
          <cell r="D42">
            <v>3.3609430024729589E-2</v>
          </cell>
          <cell r="E42">
            <v>35.767155432317232</v>
          </cell>
          <cell r="F42">
            <v>75.594274655336363</v>
          </cell>
          <cell r="G42">
            <v>54.011026001239841</v>
          </cell>
          <cell r="H42">
            <v>347.92292344020444</v>
          </cell>
          <cell r="I42">
            <v>0</v>
          </cell>
          <cell r="J42">
            <v>46.969347643903653</v>
          </cell>
          <cell r="K42">
            <v>29.559493706749677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143.0162109582142</v>
          </cell>
          <cell r="G44">
            <v>178.80216109875784</v>
          </cell>
          <cell r="H44">
            <v>974.89845384693808</v>
          </cell>
          <cell r="I44">
            <v>0</v>
          </cell>
          <cell r="J44">
            <v>19.493736234183483</v>
          </cell>
          <cell r="K44">
            <v>0</v>
          </cell>
        </row>
        <row r="45">
          <cell r="B45">
            <v>70.545753623237871</v>
          </cell>
          <cell r="C45">
            <v>0</v>
          </cell>
          <cell r="D45">
            <v>0.19025284148661778</v>
          </cell>
          <cell r="E45">
            <v>202.46707391005862</v>
          </cell>
          <cell r="F45">
            <v>427.91637771647305</v>
          </cell>
          <cell r="G45">
            <v>305.74011998366672</v>
          </cell>
          <cell r="H45">
            <v>1969.4866813904687</v>
          </cell>
          <cell r="I45">
            <v>0</v>
          </cell>
          <cell r="J45">
            <v>265.87930367906745</v>
          </cell>
          <cell r="K45">
            <v>167.32737408748028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168.83611111111111</v>
          </cell>
          <cell r="C21">
            <v>225.9</v>
          </cell>
          <cell r="D21">
            <v>145.9</v>
          </cell>
          <cell r="E21">
            <v>302.09965277777781</v>
          </cell>
          <cell r="F21">
            <v>68.155555555555551</v>
          </cell>
          <cell r="G21">
            <v>0</v>
          </cell>
          <cell r="H21">
            <v>13.681944444444444</v>
          </cell>
          <cell r="I21">
            <v>45.173611111111114</v>
          </cell>
          <cell r="J21">
            <v>119.14270833333333</v>
          </cell>
          <cell r="K21">
            <v>177.60208333333333</v>
          </cell>
        </row>
        <row r="22">
          <cell r="B22">
            <v>57.978819444444447</v>
          </cell>
          <cell r="C22">
            <v>0</v>
          </cell>
          <cell r="D22">
            <v>0.11909722222222222</v>
          </cell>
          <cell r="E22">
            <v>40.291666666666664</v>
          </cell>
          <cell r="F22">
            <v>169.76666666666668</v>
          </cell>
          <cell r="G22">
            <v>72.001041666666666</v>
          </cell>
          <cell r="H22">
            <v>757.28263888888887</v>
          </cell>
          <cell r="I22">
            <v>0</v>
          </cell>
          <cell r="J22">
            <v>156.88159722222221</v>
          </cell>
          <cell r="K22">
            <v>12.13298611111111</v>
          </cell>
        </row>
        <row r="24">
          <cell r="B24">
            <v>121.562</v>
          </cell>
          <cell r="C24">
            <v>162.648</v>
          </cell>
          <cell r="D24">
            <v>105.048</v>
          </cell>
          <cell r="E24">
            <v>217.51175000000001</v>
          </cell>
          <cell r="F24">
            <v>49.072000000000003</v>
          </cell>
          <cell r="G24">
            <v>0</v>
          </cell>
          <cell r="H24">
            <v>9.8510000000000009</v>
          </cell>
          <cell r="I24">
            <v>32.524999999999999</v>
          </cell>
          <cell r="J24">
            <v>85.782749999999993</v>
          </cell>
          <cell r="K24">
            <v>127.87350000000001</v>
          </cell>
        </row>
        <row r="25">
          <cell r="B25">
            <v>41.744750000000003</v>
          </cell>
          <cell r="C25">
            <v>0</v>
          </cell>
          <cell r="D25">
            <v>8.5750000000000007E-2</v>
          </cell>
          <cell r="E25">
            <v>29.01</v>
          </cell>
          <cell r="F25">
            <v>122.232</v>
          </cell>
          <cell r="G25">
            <v>51.84075</v>
          </cell>
          <cell r="H25">
            <v>545.24350000000004</v>
          </cell>
          <cell r="I25">
            <v>0</v>
          </cell>
          <cell r="J25">
            <v>112.95475</v>
          </cell>
          <cell r="K25">
            <v>8.7357499999999995</v>
          </cell>
        </row>
        <row r="27">
          <cell r="B27">
            <v>1.6273239275553923</v>
          </cell>
          <cell r="C27">
            <v>2.0100124763792651</v>
          </cell>
          <cell r="D27">
            <v>2.4451994396095813</v>
          </cell>
          <cell r="E27">
            <v>1.5727666026878868</v>
          </cell>
          <cell r="F27">
            <v>0.83270078752126564</v>
          </cell>
          <cell r="G27">
            <v>0</v>
          </cell>
          <cell r="H27">
            <v>0.10159058186044836</v>
          </cell>
          <cell r="I27">
            <v>1.5630468858852504</v>
          </cell>
          <cell r="J27">
            <v>0.19622856148867981</v>
          </cell>
          <cell r="K27">
            <v>2.9478912711849068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9.832285137735973E-2</v>
          </cell>
          <cell r="F28">
            <v>0.61219209000945596</v>
          </cell>
          <cell r="G28">
            <v>0.81189742001950727</v>
          </cell>
          <cell r="H28">
            <v>0.93217589051357774</v>
          </cell>
          <cell r="I28">
            <v>0</v>
          </cell>
          <cell r="J28">
            <v>0.60898044254179662</v>
          </cell>
          <cell r="K28">
            <v>4.2345889648678255E-2</v>
          </cell>
        </row>
        <row r="30">
          <cell r="B30">
            <v>0.41894866746237369</v>
          </cell>
        </row>
        <row r="31">
          <cell r="B31">
            <v>0.32525254862641551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0.71866541299340581</v>
          </cell>
          <cell r="G33">
            <v>0.87255212805127502</v>
          </cell>
          <cell r="H33">
            <v>1.0836570527213174</v>
          </cell>
          <cell r="I33">
            <v>0</v>
          </cell>
          <cell r="J33">
            <v>0.20815945669164199</v>
          </cell>
          <cell r="K33">
            <v>0</v>
          </cell>
        </row>
        <row r="34">
          <cell r="I34">
            <v>2.1449292534484781</v>
          </cell>
        </row>
        <row r="38">
          <cell r="B38">
            <v>195.52950025379829</v>
          </cell>
          <cell r="C38">
            <v>326.92450925813461</v>
          </cell>
          <cell r="D38">
            <v>256.86331073210738</v>
          </cell>
          <cell r="E38">
            <v>338.84771863591914</v>
          </cell>
          <cell r="F38">
            <v>36.461484907894352</v>
          </cell>
          <cell r="G38">
            <v>0</v>
          </cell>
          <cell r="H38">
            <v>0.72245705965140583</v>
          </cell>
          <cell r="I38">
            <v>59.691662217502454</v>
          </cell>
          <cell r="J38">
            <v>17.025468593101316</v>
          </cell>
          <cell r="K38">
            <v>354.7688432489806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2.8523940763449649</v>
          </cell>
          <cell r="F39">
            <v>73.838744132377215</v>
          </cell>
          <cell r="G39">
            <v>41.400235071029535</v>
          </cell>
          <cell r="H39">
            <v>498.01651424951501</v>
          </cell>
          <cell r="I39">
            <v>0</v>
          </cell>
          <cell r="J39">
            <v>63.612555712007115</v>
          </cell>
          <cell r="K39">
            <v>0.35168029033578085</v>
          </cell>
        </row>
        <row r="41">
          <cell r="B41">
            <v>85.004684628115641</v>
          </cell>
          <cell r="C41">
            <v>225.31059336126455</v>
          </cell>
          <cell r="D41">
            <v>65.05015959688275</v>
          </cell>
          <cell r="E41">
            <v>127.42616984935322</v>
          </cell>
          <cell r="F41">
            <v>7.3734965473377754</v>
          </cell>
          <cell r="G41">
            <v>61.585454116968933</v>
          </cell>
          <cell r="H41">
            <v>241.72500215244042</v>
          </cell>
          <cell r="I41">
            <v>108.92665354021713</v>
          </cell>
          <cell r="J41">
            <v>332.02938742395503</v>
          </cell>
          <cell r="K41">
            <v>105.64628547398675</v>
          </cell>
        </row>
        <row r="42">
          <cell r="B42">
            <v>12.060364503067484</v>
          </cell>
          <cell r="C42">
            <v>0</v>
          </cell>
          <cell r="D42">
            <v>3.2525254862641545E-2</v>
          </cell>
          <cell r="E42">
            <v>34.613376224823135</v>
          </cell>
          <cell r="F42">
            <v>73.155749666454568</v>
          </cell>
          <cell r="G42">
            <v>52.268734839909541</v>
          </cell>
          <cell r="H42">
            <v>336.69960332923023</v>
          </cell>
          <cell r="I42">
            <v>0</v>
          </cell>
          <cell r="J42">
            <v>45.45420739732613</v>
          </cell>
          <cell r="K42">
            <v>28.605961651693242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86.606503101778927</v>
          </cell>
          <cell r="G44">
            <v>44.530627265838831</v>
          </cell>
          <cell r="H44">
            <v>576.99254660546467</v>
          </cell>
          <cell r="I44">
            <v>0</v>
          </cell>
          <cell r="J44">
            <v>21.226311323833251</v>
          </cell>
          <cell r="K44">
            <v>0</v>
          </cell>
        </row>
        <row r="45">
          <cell r="B45">
            <v>79.533976717869564</v>
          </cell>
          <cell r="C45">
            <v>0</v>
          </cell>
          <cell r="D45">
            <v>0.21449292534484787</v>
          </cell>
          <cell r="E45">
            <v>228.26337115198703</v>
          </cell>
          <cell r="F45">
            <v>482.43713440586487</v>
          </cell>
          <cell r="G45">
            <v>344.69441937451541</v>
          </cell>
          <cell r="H45">
            <v>2220.4186619145562</v>
          </cell>
          <cell r="I45">
            <v>0</v>
          </cell>
          <cell r="J45">
            <v>299.75494289154011</v>
          </cell>
          <cell r="K45">
            <v>188.64652784079365</v>
          </cell>
        </row>
        <row r="46">
          <cell r="G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zoomScaleNormal="100" workbookViewId="0">
      <selection activeCell="E13" sqref="E13"/>
    </sheetView>
  </sheetViews>
  <sheetFormatPr baseColWidth="10" defaultColWidth="8.7109375" defaultRowHeight="15" customHeight="1" x14ac:dyDescent="0.25"/>
  <cols>
    <col min="1" max="1" width="28.140625" style="39" bestFit="1" customWidth="1"/>
    <col min="2" max="2" width="8.85546875" style="39" bestFit="1" customWidth="1"/>
    <col min="3" max="3" width="8.7109375" style="39"/>
    <col min="4" max="4" width="9.7109375" style="39" bestFit="1" customWidth="1"/>
    <col min="5" max="6" width="9.42578125" style="39" bestFit="1" customWidth="1"/>
    <col min="7" max="7" width="8.7109375" style="39"/>
    <col min="8" max="8" width="49.28515625" style="39" bestFit="1" customWidth="1"/>
    <col min="9" max="9" width="8.5703125" style="39" customWidth="1"/>
    <col min="10" max="11" width="8.7109375" style="39"/>
    <col min="12" max="12" width="11.28515625" style="39" bestFit="1" customWidth="1"/>
    <col min="13" max="14" width="8.7109375" style="39"/>
    <col min="15" max="15" width="26.5703125" style="39" bestFit="1" customWidth="1"/>
    <col min="16" max="16" width="8.7109375" style="39"/>
    <col min="17" max="26" width="6.7109375" style="39" customWidth="1"/>
    <col min="27" max="16384" width="8.7109375" style="39"/>
  </cols>
  <sheetData>
    <row r="1" spans="1:14" ht="24.95" customHeight="1" x14ac:dyDescent="0.25">
      <c r="A1" s="37" t="s">
        <v>12</v>
      </c>
      <c r="B1" s="37">
        <v>2</v>
      </c>
      <c r="C1" s="38" t="s">
        <v>154</v>
      </c>
    </row>
    <row r="2" spans="1:14" ht="15" customHeight="1" x14ac:dyDescent="0.25">
      <c r="A2" s="40"/>
      <c r="B2" s="41" t="s">
        <v>14</v>
      </c>
      <c r="C2" s="42"/>
      <c r="D2" s="43" t="s">
        <v>15</v>
      </c>
      <c r="E2" s="44"/>
      <c r="F2" s="45" t="s">
        <v>16</v>
      </c>
    </row>
    <row r="3" spans="1:14" ht="15" customHeight="1" x14ac:dyDescent="0.25">
      <c r="A3" s="46" t="s">
        <v>17</v>
      </c>
      <c r="B3" s="47">
        <v>51220.151770625169</v>
      </c>
      <c r="C3" s="48">
        <f>SUM(C4:C5)</f>
        <v>1</v>
      </c>
      <c r="D3" s="49" t="e">
        <f>SUM(D4:D5)</f>
        <v>#VALUE!</v>
      </c>
      <c r="E3" s="48" t="e">
        <f>D3/$D$3</f>
        <v>#VALUE!</v>
      </c>
      <c r="F3" s="50" t="s">
        <v>18</v>
      </c>
      <c r="H3" s="51" t="s">
        <v>19</v>
      </c>
      <c r="I3" s="52">
        <v>0.7</v>
      </c>
      <c r="J3" s="53">
        <f>I3*B3</f>
        <v>35854.106239437613</v>
      </c>
    </row>
    <row r="4" spans="1:14" ht="15" customHeight="1" x14ac:dyDescent="0.25">
      <c r="A4" s="54" t="s">
        <v>20</v>
      </c>
      <c r="B4" s="55">
        <f>C4*B3</f>
        <v>43806.034477544112</v>
      </c>
      <c r="C4" s="56">
        <v>0.85524999366883825</v>
      </c>
      <c r="D4" s="57" t="e">
        <f>SUMIFS([2]Ram!G2:G997,[2]Ram!C2:C997,230,[2]Ram!F2:F997,"S")</f>
        <v>#VALUE!</v>
      </c>
      <c r="E4" s="58" t="e">
        <f>D4/$D$3</f>
        <v>#VALUE!</v>
      </c>
      <c r="F4" s="59" t="e">
        <f>B4/D4</f>
        <v>#VALUE!</v>
      </c>
      <c r="H4" s="51" t="s">
        <v>21</v>
      </c>
      <c r="I4" s="52">
        <v>0.3</v>
      </c>
      <c r="J4" s="53">
        <f>I4*B3</f>
        <v>15366.04553118755</v>
      </c>
    </row>
    <row r="5" spans="1:14" ht="15" customHeight="1" x14ac:dyDescent="0.25">
      <c r="A5" s="60" t="s">
        <v>22</v>
      </c>
      <c r="B5" s="61">
        <f>C5*B3</f>
        <v>7414.117293081059</v>
      </c>
      <c r="C5" s="62">
        <f>1-C4</f>
        <v>0.14475000633116175</v>
      </c>
      <c r="D5" s="63" t="e">
        <f>SUMIFS([2]Ram!G2:G997,[2]Ram!C2:C997,115,[2]Ram!F2:F997,"S")</f>
        <v>#VALUE!</v>
      </c>
      <c r="E5" s="64" t="e">
        <f>D5/$D$3</f>
        <v>#VALUE!</v>
      </c>
      <c r="F5" s="65" t="e">
        <f>B5/D5</f>
        <v>#VALUE!</v>
      </c>
    </row>
    <row r="6" spans="1:14" ht="15" customHeight="1" x14ac:dyDescent="0.25">
      <c r="A6" s="66"/>
      <c r="B6" s="66"/>
      <c r="C6" s="67"/>
      <c r="E6" s="67"/>
      <c r="H6" s="68" t="s">
        <v>23</v>
      </c>
      <c r="M6" s="69">
        <f>[2]ENERGIA!L17</f>
        <v>8728.5368300600003</v>
      </c>
      <c r="N6" s="70" t="s">
        <v>24</v>
      </c>
    </row>
    <row r="7" spans="1:14" ht="15" customHeight="1" x14ac:dyDescent="0.25">
      <c r="A7" s="71" t="s">
        <v>25</v>
      </c>
      <c r="B7" s="47">
        <v>55642.054105485877</v>
      </c>
      <c r="C7" s="48">
        <v>1</v>
      </c>
      <c r="D7" s="72" t="e">
        <f>SUMIF([2]Ram!F3:F997,"SD",[2]Ram!G3:G997)</f>
        <v>#VALUE!</v>
      </c>
      <c r="E7" s="48">
        <v>1</v>
      </c>
      <c r="F7" s="73" t="e">
        <f>IF(B7&gt;0,B7/D7,0)</f>
        <v>#VALUE!</v>
      </c>
      <c r="G7" s="39" t="s">
        <v>26</v>
      </c>
      <c r="L7" s="74" t="s">
        <v>27</v>
      </c>
      <c r="M7" s="75">
        <f>[2]ENERGIA!L2</f>
        <v>10391.438170650001</v>
      </c>
      <c r="N7" s="76" t="s">
        <v>24</v>
      </c>
    </row>
    <row r="9" spans="1:14" ht="15" customHeight="1" x14ac:dyDescent="0.25">
      <c r="A9" s="333" t="s">
        <v>28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4" ht="15" customHeight="1" x14ac:dyDescent="0.25">
      <c r="A10" s="77" t="s">
        <v>29</v>
      </c>
      <c r="B10" s="78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80">
        <v>10</v>
      </c>
      <c r="L10" s="81" t="s">
        <v>3</v>
      </c>
    </row>
    <row r="11" spans="1:14" ht="15" customHeight="1" x14ac:dyDescent="0.25">
      <c r="A11" s="82" t="s">
        <v>30</v>
      </c>
      <c r="B11" s="83">
        <f t="shared" ref="B11:K11" si="0">SUMIF($G$18:$G$1013,B$10,$D$18:$D$1013)</f>
        <v>229.20000000000002</v>
      </c>
      <c r="C11" s="83">
        <f t="shared" si="0"/>
        <v>537.79999999999995</v>
      </c>
      <c r="D11" s="83">
        <f t="shared" si="0"/>
        <v>155.26999999999998</v>
      </c>
      <c r="E11" s="83">
        <f t="shared" si="0"/>
        <v>375.70699999999999</v>
      </c>
      <c r="F11" s="83">
        <f t="shared" si="0"/>
        <v>595.19000000000005</v>
      </c>
      <c r="G11" s="83">
        <f t="shared" si="0"/>
        <v>147</v>
      </c>
      <c r="H11" s="83">
        <f t="shared" si="0"/>
        <v>576.98</v>
      </c>
      <c r="I11" s="83">
        <f t="shared" si="0"/>
        <v>260</v>
      </c>
      <c r="J11" s="83">
        <f t="shared" si="0"/>
        <v>792.53</v>
      </c>
      <c r="K11" s="83">
        <f t="shared" si="0"/>
        <v>252.17</v>
      </c>
      <c r="L11" s="84">
        <f>SUM(B11:K11)</f>
        <v>3921.8469999999998</v>
      </c>
      <c r="M11" s="89">
        <f>SUM(D17,D26,D33,D41,D71,D104,D108,D114,D117,D127)</f>
        <v>3921.8469999999998</v>
      </c>
    </row>
    <row r="12" spans="1:14" ht="15" customHeight="1" x14ac:dyDescent="0.25">
      <c r="A12" s="86" t="s">
        <v>31</v>
      </c>
      <c r="B12" s="87">
        <f t="shared" ref="B12:K12" si="1">SUMIF($M$18:$M$1008,B$10,$K$18:$K$1008)</f>
        <v>37.08</v>
      </c>
      <c r="C12" s="87">
        <f t="shared" si="1"/>
        <v>0</v>
      </c>
      <c r="D12" s="87">
        <f t="shared" si="1"/>
        <v>0.1</v>
      </c>
      <c r="E12" s="87">
        <f t="shared" si="1"/>
        <v>106.42</v>
      </c>
      <c r="F12" s="87">
        <f t="shared" si="1"/>
        <v>224.91983529537578</v>
      </c>
      <c r="G12" s="87">
        <f t="shared" si="1"/>
        <v>160.70199929453995</v>
      </c>
      <c r="H12" s="87">
        <f t="shared" si="1"/>
        <v>1035.1943582030553</v>
      </c>
      <c r="I12" s="87">
        <f t="shared" si="1"/>
        <v>0</v>
      </c>
      <c r="J12" s="87">
        <f t="shared" si="1"/>
        <v>139.75050338355615</v>
      </c>
      <c r="K12" s="87">
        <f t="shared" si="1"/>
        <v>87.95</v>
      </c>
      <c r="L12" s="88">
        <f>SUM(B12:K12)</f>
        <v>1792.1166961765273</v>
      </c>
      <c r="M12" s="89">
        <f>SUM(K17,K22,K24,K28,K33,K41,K48,K64,K68,K75)</f>
        <v>1792.1166961765273</v>
      </c>
    </row>
    <row r="13" spans="1:14" ht="15" customHeight="1" x14ac:dyDescent="0.25">
      <c r="M13" s="90"/>
    </row>
    <row r="15" spans="1:14" ht="15" customHeight="1" x14ac:dyDescent="0.25">
      <c r="A15" s="91" t="s">
        <v>32</v>
      </c>
      <c r="B15" s="92"/>
      <c r="C15" s="92"/>
      <c r="D15" s="92"/>
      <c r="E15" s="92"/>
      <c r="F15" s="92"/>
      <c r="G15" s="93"/>
      <c r="H15" s="91" t="s">
        <v>33</v>
      </c>
      <c r="I15" s="92"/>
      <c r="J15" s="92"/>
      <c r="K15" s="92"/>
      <c r="L15" s="92"/>
      <c r="M15" s="92"/>
    </row>
    <row r="16" spans="1:14" ht="25.5" x14ac:dyDescent="0.25">
      <c r="A16" s="94" t="s">
        <v>34</v>
      </c>
      <c r="B16" s="95"/>
      <c r="C16" s="96" t="s">
        <v>35</v>
      </c>
      <c r="D16" s="97" t="s">
        <v>30</v>
      </c>
      <c r="E16" s="97" t="s">
        <v>36</v>
      </c>
      <c r="F16" s="98"/>
      <c r="G16" s="98"/>
      <c r="H16" s="99" t="s">
        <v>34</v>
      </c>
      <c r="I16" s="100"/>
      <c r="J16" s="101" t="s">
        <v>35</v>
      </c>
      <c r="K16" s="102" t="s">
        <v>31</v>
      </c>
      <c r="L16" s="98"/>
      <c r="M16" s="98"/>
    </row>
    <row r="17" spans="1:13" ht="15" customHeight="1" x14ac:dyDescent="0.25">
      <c r="A17" s="103">
        <v>1</v>
      </c>
      <c r="B17" s="104"/>
      <c r="C17" s="105"/>
      <c r="D17" s="106">
        <f>SUM(D18:D25)</f>
        <v>229.20000000000002</v>
      </c>
      <c r="E17" s="107"/>
      <c r="F17" s="90"/>
      <c r="G17" s="90"/>
      <c r="H17" s="103">
        <v>1</v>
      </c>
      <c r="I17" s="104"/>
      <c r="J17" s="105"/>
      <c r="K17" s="106">
        <f>SUM(K18:K21)</f>
        <v>37.08</v>
      </c>
      <c r="L17" s="90"/>
      <c r="M17" s="90"/>
    </row>
    <row r="18" spans="1:13" ht="15" customHeight="1" x14ac:dyDescent="0.25">
      <c r="A18" s="108" t="s">
        <v>37</v>
      </c>
      <c r="B18" s="109"/>
      <c r="C18" s="110">
        <v>6014</v>
      </c>
      <c r="D18" s="111">
        <v>87.6</v>
      </c>
      <c r="E18" s="112">
        <v>0</v>
      </c>
      <c r="F18" s="90" t="str">
        <f>IFERROR(VLOOKUP($C18,[2]Nod!$A$3:$E$992,4,FALSE)," ")</f>
        <v>PRO230</v>
      </c>
      <c r="G18" s="90">
        <f>IFERROR(VLOOKUP($C18,[2]Nod!$A$3:$E$992,5,FALSE)," ")</f>
        <v>1</v>
      </c>
      <c r="H18" s="113" t="s">
        <v>38</v>
      </c>
      <c r="I18" s="109"/>
      <c r="J18" s="110"/>
      <c r="K18" s="111"/>
      <c r="L18" s="90"/>
      <c r="M18" s="90"/>
    </row>
    <row r="19" spans="1:13" ht="15" customHeight="1" x14ac:dyDescent="0.25">
      <c r="A19" s="108" t="s">
        <v>39</v>
      </c>
      <c r="B19" s="109"/>
      <c r="C19" s="110">
        <v>6014</v>
      </c>
      <c r="D19" s="111">
        <v>57.4</v>
      </c>
      <c r="E19" s="112">
        <v>0</v>
      </c>
      <c r="F19" s="90" t="str">
        <f>IFERROR(VLOOKUP($C19,[2]Nod!$A$3:$E$992,4,FALSE)," ")</f>
        <v>PRO230</v>
      </c>
      <c r="G19" s="90">
        <f>IFERROR(VLOOKUP($C19,[2]Nod!$A$3:$E$992,5,FALSE)," ")</f>
        <v>1</v>
      </c>
      <c r="H19" s="114" t="s">
        <v>40</v>
      </c>
      <c r="I19" s="109"/>
      <c r="J19" s="115">
        <v>6014</v>
      </c>
      <c r="K19" s="111">
        <v>35.78</v>
      </c>
      <c r="L19" s="90" t="str">
        <f>IFERROR(VLOOKUP($J19,[2]Nod!$A$3:$E$992,4,FALSE)," ")</f>
        <v>PRO230</v>
      </c>
      <c r="M19" s="90">
        <f>IFERROR(VLOOKUP($J19,[2]Nod!$A$3:$E$992,5,FALSE)," ")</f>
        <v>1</v>
      </c>
    </row>
    <row r="20" spans="1:13" ht="15" customHeight="1" x14ac:dyDescent="0.25">
      <c r="A20" s="108" t="s">
        <v>41</v>
      </c>
      <c r="B20" s="109"/>
      <c r="C20" s="110">
        <v>6014</v>
      </c>
      <c r="D20" s="111">
        <v>30</v>
      </c>
      <c r="E20" s="112">
        <v>0</v>
      </c>
      <c r="F20" s="90" t="str">
        <f>IFERROR(VLOOKUP($C20,[2]Nod!$A$3:$E$992,4,FALSE)," ")</f>
        <v>PRO230</v>
      </c>
      <c r="G20" s="90">
        <f>IFERROR(VLOOKUP($C20,[2]Nod!$A$3:$E$992,5,FALSE)," ")</f>
        <v>1</v>
      </c>
      <c r="H20" s="114" t="s">
        <v>42</v>
      </c>
      <c r="I20" s="109"/>
      <c r="J20" s="115">
        <v>6014</v>
      </c>
      <c r="K20" s="111">
        <v>1.3</v>
      </c>
      <c r="L20" s="90" t="str">
        <f>IFERROR(VLOOKUP($J20,[2]Nod!$A$3:$E$992,4,FALSE)," ")</f>
        <v>PRO230</v>
      </c>
      <c r="M20" s="90">
        <f>IFERROR(VLOOKUP($J20,[2]Nod!$A$3:$E$992,5,FALSE)," ")</f>
        <v>1</v>
      </c>
    </row>
    <row r="21" spans="1:13" ht="15" customHeight="1" x14ac:dyDescent="0.25">
      <c r="A21" s="160" t="s">
        <v>155</v>
      </c>
      <c r="B21" s="161"/>
      <c r="C21" s="162">
        <v>6014</v>
      </c>
      <c r="D21" s="141">
        <v>10.3</v>
      </c>
      <c r="E21" s="163">
        <v>5</v>
      </c>
      <c r="F21" s="90" t="str">
        <f>IFERROR(VLOOKUP($C21,[2]Nod!$A$3:$E$992,4,FALSE)," ")</f>
        <v>PRO230</v>
      </c>
      <c r="G21" s="90">
        <f>IFERROR(VLOOKUP($C21,[2]Nod!$A$3:$E$992,5,FALSE)," ")</f>
        <v>1</v>
      </c>
      <c r="H21" s="116" t="s">
        <v>44</v>
      </c>
      <c r="I21" s="117"/>
      <c r="J21" s="118"/>
      <c r="K21" s="119"/>
      <c r="L21" s="90" t="str">
        <f>IFERROR(VLOOKUP($J21,[2]Nod!$A$3:$E$992,4,FALSE)," ")</f>
        <v xml:space="preserve"> </v>
      </c>
      <c r="M21" s="90" t="str">
        <f>IFERROR(VLOOKUP($J21,[2]Nod!$A$3:$E$992,5,FALSE)," ")</f>
        <v xml:space="preserve"> </v>
      </c>
    </row>
    <row r="22" spans="1:13" ht="15" customHeight="1" x14ac:dyDescent="0.25">
      <c r="A22" s="108" t="s">
        <v>43</v>
      </c>
      <c r="B22" s="109"/>
      <c r="C22" s="110">
        <v>6014</v>
      </c>
      <c r="D22" s="111">
        <v>27.9</v>
      </c>
      <c r="E22" s="112">
        <v>0</v>
      </c>
      <c r="F22" s="90" t="str">
        <f>IFERROR(VLOOKUP($C22,[2]Nod!$A$3:$E$992,4,FALSE)," ")</f>
        <v>PRO230</v>
      </c>
      <c r="G22" s="90">
        <f>IFERROR(VLOOKUP($C22,[2]Nod!$A$3:$E$992,5,FALSE)," ")</f>
        <v>1</v>
      </c>
      <c r="H22" s="121">
        <v>2</v>
      </c>
      <c r="I22" s="122"/>
      <c r="J22" s="123"/>
      <c r="K22" s="124">
        <f>SUM(K23)</f>
        <v>0</v>
      </c>
      <c r="L22" s="90" t="str">
        <f>IFERROR(VLOOKUP($J22,[2]Nod!$A$3:$E$992,4,FALSE)," ")</f>
        <v xml:space="preserve"> </v>
      </c>
      <c r="M22" s="90" t="str">
        <f>IFERROR(VLOOKUP($J22,[2]Nod!$A$3:$E$992,5,FALSE)," ")</f>
        <v xml:space="preserve"> </v>
      </c>
    </row>
    <row r="23" spans="1:13" ht="15" customHeight="1" x14ac:dyDescent="0.25">
      <c r="A23" s="120" t="s">
        <v>45</v>
      </c>
      <c r="B23" s="109"/>
      <c r="C23" s="110">
        <v>6014</v>
      </c>
      <c r="D23" s="111">
        <v>10</v>
      </c>
      <c r="E23" s="112">
        <v>13</v>
      </c>
      <c r="F23" s="90" t="str">
        <f>IFERROR(VLOOKUP($C23,[2]Nod!$A$3:$E$992,4,FALSE)," ")</f>
        <v>PRO230</v>
      </c>
      <c r="G23" s="90">
        <f>IFERROR(VLOOKUP($C23,[2]Nod!$A$3:$E$992,5,FALSE)," ")</f>
        <v>1</v>
      </c>
      <c r="H23" s="116" t="s">
        <v>44</v>
      </c>
      <c r="I23" s="117"/>
      <c r="J23" s="118"/>
      <c r="K23" s="125"/>
      <c r="L23" s="90" t="str">
        <f>IFERROR(VLOOKUP($J23,[2]Nod!$A$3:$E$992,4,FALSE)," ")</f>
        <v xml:space="preserve"> </v>
      </c>
      <c r="M23" s="90" t="str">
        <f>IFERROR(VLOOKUP($J23,[2]Nod!$A$3:$E$992,5,FALSE)," ")</f>
        <v xml:space="preserve"> </v>
      </c>
    </row>
    <row r="24" spans="1:13" ht="15" customHeight="1" x14ac:dyDescent="0.25">
      <c r="A24" s="120" t="s">
        <v>46</v>
      </c>
      <c r="B24" s="109"/>
      <c r="C24" s="110">
        <v>6014</v>
      </c>
      <c r="D24" s="111">
        <v>6</v>
      </c>
      <c r="E24" s="112">
        <v>13</v>
      </c>
      <c r="F24" s="90" t="str">
        <f>IFERROR(VLOOKUP($C24,[2]Nod!$A$3:$E$992,4,FALSE)," ")</f>
        <v>PRO230</v>
      </c>
      <c r="G24" s="90">
        <f>IFERROR(VLOOKUP($C24,[2]Nod!$A$3:$E$992,5,FALSE)," ")</f>
        <v>1</v>
      </c>
      <c r="H24" s="103">
        <v>3</v>
      </c>
      <c r="I24" s="104"/>
      <c r="J24" s="105"/>
      <c r="K24" s="106">
        <f>SUM(K25:K27)</f>
        <v>0.1</v>
      </c>
      <c r="L24" s="90" t="str">
        <f>IFERROR(VLOOKUP($J24,[2]Nod!$A$3:$E$992,4,FALSE)," ")</f>
        <v xml:space="preserve"> </v>
      </c>
      <c r="M24" s="90" t="str">
        <f>IFERROR(VLOOKUP($J24,[2]Nod!$A$3:$E$992,5,FALSE)," ")</f>
        <v xml:space="preserve"> </v>
      </c>
    </row>
    <row r="25" spans="1:13" ht="15" customHeight="1" x14ac:dyDescent="0.25">
      <c r="A25" s="126" t="s">
        <v>44</v>
      </c>
      <c r="B25" s="109"/>
      <c r="C25" s="110"/>
      <c r="D25" s="127"/>
      <c r="E25" s="112"/>
      <c r="F25" s="90" t="str">
        <f>IFERROR(VLOOKUP($C25,[2]Nod!$A$3:$E$992,4,FALSE)," ")</f>
        <v xml:space="preserve"> </v>
      </c>
      <c r="G25" s="90" t="str">
        <f>IFERROR(VLOOKUP($C25,[2]Nod!$A$3:$E$992,5,FALSE)," ")</f>
        <v xml:space="preserve"> </v>
      </c>
      <c r="H25" s="113" t="s">
        <v>38</v>
      </c>
      <c r="I25" s="109"/>
      <c r="J25" s="110"/>
      <c r="K25" s="129"/>
      <c r="L25" s="90" t="str">
        <f>IFERROR(VLOOKUP($J25,[2]Nod!$A$3:$E$992,4,FALSE)," ")</f>
        <v xml:space="preserve"> </v>
      </c>
      <c r="M25" s="90" t="str">
        <f>IFERROR(VLOOKUP($J25,[2]Nod!$A$3:$E$992,5,FALSE)," ")</f>
        <v xml:space="preserve"> </v>
      </c>
    </row>
    <row r="26" spans="1:13" ht="15" customHeight="1" x14ac:dyDescent="0.25">
      <c r="A26" s="121">
        <v>2</v>
      </c>
      <c r="B26" s="122"/>
      <c r="C26" s="123"/>
      <c r="D26" s="124">
        <f>SUM(D27:D32)</f>
        <v>537.79999999999995</v>
      </c>
      <c r="E26" s="128"/>
      <c r="F26" s="90" t="str">
        <f>IFERROR(VLOOKUP($C26,[2]Nod!$A$3:$E$992,4,FALSE)," ")</f>
        <v xml:space="preserve"> </v>
      </c>
      <c r="G26" s="90" t="str">
        <f>IFERROR(VLOOKUP($C26,[2]Nod!$A$3:$E$992,5,FALSE)," ")</f>
        <v xml:space="preserve"> </v>
      </c>
      <c r="H26" s="114" t="s">
        <v>48</v>
      </c>
      <c r="I26" s="109"/>
      <c r="J26" s="115">
        <v>6087</v>
      </c>
      <c r="K26" s="111">
        <v>0.1</v>
      </c>
      <c r="L26" s="90" t="str">
        <f>IFERROR(VLOOKUP($J26,[2]Nod!$A$3:$E$992,4,FALSE)," ")</f>
        <v>CAL115</v>
      </c>
      <c r="M26" s="90">
        <f>IFERROR(VLOOKUP($J26,[2]Nod!$A$3:$E$992,5,FALSE)," ")</f>
        <v>3</v>
      </c>
    </row>
    <row r="27" spans="1:13" ht="15" customHeight="1" x14ac:dyDescent="0.25">
      <c r="A27" s="108" t="s">
        <v>47</v>
      </c>
      <c r="B27" s="109"/>
      <c r="C27" s="110">
        <v>6096</v>
      </c>
      <c r="D27" s="111">
        <v>300</v>
      </c>
      <c r="E27" s="112">
        <v>0</v>
      </c>
      <c r="F27" s="90" t="str">
        <f>IFERROR(VLOOKUP($C27,[2]Nod!$A$3:$E$992,4,FALSE)," ")</f>
        <v>FOR230</v>
      </c>
      <c r="G27" s="90">
        <f>IFERROR(VLOOKUP($C27,[2]Nod!$A$3:$E$992,5,FALSE)," ")</f>
        <v>2</v>
      </c>
      <c r="H27" s="130" t="s">
        <v>44</v>
      </c>
      <c r="I27" s="109"/>
      <c r="J27" s="115"/>
      <c r="K27" s="111"/>
      <c r="L27" s="90" t="str">
        <f>IFERROR(VLOOKUP($J27,[2]Nod!$A$3:$E$992,4,FALSE)," ")</f>
        <v xml:space="preserve"> </v>
      </c>
      <c r="M27" s="90" t="str">
        <f>IFERROR(VLOOKUP($J27,[2]Nod!$A$3:$E$992,5,FALSE)," ")</f>
        <v xml:space="preserve"> </v>
      </c>
    </row>
    <row r="28" spans="1:13" ht="15" customHeight="1" x14ac:dyDescent="0.25">
      <c r="A28" s="108" t="s">
        <v>49</v>
      </c>
      <c r="B28" s="109"/>
      <c r="C28" s="110">
        <v>6179</v>
      </c>
      <c r="D28" s="111">
        <v>120</v>
      </c>
      <c r="E28" s="112">
        <v>0</v>
      </c>
      <c r="F28" s="90" t="str">
        <f>IFERROR(VLOOKUP($C28,[2]Nod!$A$3:$E$992,4,FALSE)," ")</f>
        <v>GUA230</v>
      </c>
      <c r="G28" s="90">
        <f>IFERROR(VLOOKUP($C28,[2]Nod!$A$3:$E$992,5,FALSE)," ")</f>
        <v>2</v>
      </c>
      <c r="H28" s="121">
        <v>4</v>
      </c>
      <c r="I28" s="122"/>
      <c r="J28" s="123"/>
      <c r="K28" s="124">
        <f>SUM(K29:K32)</f>
        <v>106.42</v>
      </c>
      <c r="L28" s="90" t="str">
        <f>IFERROR(VLOOKUP($J28,[2]Nod!$A$3:$E$992,4,FALSE)," ")</f>
        <v xml:space="preserve"> </v>
      </c>
      <c r="M28" s="90" t="str">
        <f>IFERROR(VLOOKUP($J28,[2]Nod!$A$3:$E$992,5,FALSE)," ")</f>
        <v xml:space="preserve"> </v>
      </c>
    </row>
    <row r="29" spans="1:13" ht="15" customHeight="1" x14ac:dyDescent="0.25">
      <c r="A29" s="108" t="s">
        <v>50</v>
      </c>
      <c r="B29" s="109"/>
      <c r="C29" s="110">
        <v>6179</v>
      </c>
      <c r="D29" s="111">
        <v>25.34</v>
      </c>
      <c r="E29" s="112">
        <v>0</v>
      </c>
      <c r="F29" s="90" t="str">
        <f>IFERROR(VLOOKUP($C29,[2]Nod!$A$3:$E$992,4,FALSE)," ")</f>
        <v>GUA230</v>
      </c>
      <c r="G29" s="90">
        <f>IFERROR(VLOOKUP($C29,[2]Nod!$A$3:$E$992,5,FALSE)," ")</f>
        <v>2</v>
      </c>
      <c r="H29" s="113" t="s">
        <v>38</v>
      </c>
      <c r="I29" s="109"/>
      <c r="J29" s="110"/>
      <c r="K29" s="129"/>
      <c r="L29" s="90" t="str">
        <f>IFERROR(VLOOKUP($J29,[2]Nod!$A$3:$E$992,4,FALSE)," ")</f>
        <v xml:space="preserve"> </v>
      </c>
      <c r="M29" s="90" t="str">
        <f>IFERROR(VLOOKUP($J29,[2]Nod!$A$3:$E$992,5,FALSE)," ")</f>
        <v xml:space="preserve"> </v>
      </c>
    </row>
    <row r="30" spans="1:13" ht="15" customHeight="1" x14ac:dyDescent="0.25">
      <c r="A30" s="120" t="s">
        <v>51</v>
      </c>
      <c r="B30" s="109"/>
      <c r="C30" s="110">
        <v>6179</v>
      </c>
      <c r="D30" s="111">
        <v>33.799999999999997</v>
      </c>
      <c r="E30" s="112">
        <v>0</v>
      </c>
      <c r="F30" s="90" t="str">
        <f>IFERROR(VLOOKUP($C30,[2]Nod!$A$3:$E$992,4,FALSE)," ")</f>
        <v>GUA230</v>
      </c>
      <c r="G30" s="90">
        <f>IFERROR(VLOOKUP($C30,[2]Nod!$A$3:$E$992,5,FALSE)," ")</f>
        <v>2</v>
      </c>
      <c r="H30" s="114" t="s">
        <v>53</v>
      </c>
      <c r="I30" s="109"/>
      <c r="J30" s="115">
        <v>6013</v>
      </c>
      <c r="K30" s="111">
        <v>11.99</v>
      </c>
      <c r="L30" s="90" t="str">
        <f>IFERROR(VLOOKUP($J30,[2]Nod!$A$3:$E$992,4,FALSE)," ")</f>
        <v>MDN34</v>
      </c>
      <c r="M30" s="90">
        <f>IFERROR(VLOOKUP($J30,[2]Nod!$A$3:$E$992,5,FALSE)," ")</f>
        <v>4</v>
      </c>
    </row>
    <row r="31" spans="1:13" ht="15" customHeight="1" x14ac:dyDescent="0.25">
      <c r="A31" s="108" t="s">
        <v>52</v>
      </c>
      <c r="B31" s="109"/>
      <c r="C31" s="110">
        <v>6179</v>
      </c>
      <c r="D31" s="111">
        <v>58.66</v>
      </c>
      <c r="E31" s="112">
        <v>0</v>
      </c>
      <c r="F31" s="90" t="str">
        <f>IFERROR(VLOOKUP($C31,[2]Nod!$A$3:$E$992,4,FALSE)," ")</f>
        <v>GUA230</v>
      </c>
      <c r="G31" s="90">
        <f>IFERROR(VLOOKUP($C31,[2]Nod!$A$3:$E$992,5,FALSE)," ")</f>
        <v>2</v>
      </c>
      <c r="H31" s="114" t="s">
        <v>54</v>
      </c>
      <c r="I31" s="109"/>
      <c r="J31" s="115">
        <v>6013</v>
      </c>
      <c r="K31" s="111">
        <v>94.43</v>
      </c>
      <c r="L31" s="90" t="str">
        <f>IFERROR(VLOOKUP($J31,[2]Nod!$A$3:$E$992,4,FALSE)," ")</f>
        <v>MDN34</v>
      </c>
      <c r="M31" s="90">
        <f>IFERROR(VLOOKUP($J31,[2]Nod!$A$3:$E$992,5,FALSE)," ")</f>
        <v>4</v>
      </c>
    </row>
    <row r="32" spans="1:13" ht="15" customHeight="1" x14ac:dyDescent="0.25">
      <c r="A32" s="131" t="s">
        <v>44</v>
      </c>
      <c r="B32" s="117"/>
      <c r="C32" s="118"/>
      <c r="D32" s="132"/>
      <c r="E32" s="133"/>
      <c r="F32" s="90" t="str">
        <f>IFERROR(VLOOKUP($C32,[2]Nod!$A$3:$E$992,4,FALSE)," ")</f>
        <v xml:space="preserve"> </v>
      </c>
      <c r="G32" s="90" t="str">
        <f>IFERROR(VLOOKUP($C32,[2]Nod!$A$3:$E$992,5,FALSE)," ")</f>
        <v xml:space="preserve"> </v>
      </c>
      <c r="H32" s="116" t="s">
        <v>44</v>
      </c>
      <c r="I32" s="117"/>
      <c r="J32" s="134"/>
      <c r="K32" s="119"/>
      <c r="L32" s="90" t="str">
        <f>IFERROR(VLOOKUP($J32,[2]Nod!$A$3:$E$992,4,FALSE)," ")</f>
        <v xml:space="preserve"> </v>
      </c>
      <c r="M32" s="90" t="str">
        <f>IFERROR(VLOOKUP($J32,[2]Nod!$A$3:$E$992,5,FALSE)," ")</f>
        <v xml:space="preserve"> </v>
      </c>
    </row>
    <row r="33" spans="1:13" ht="15" customHeight="1" x14ac:dyDescent="0.25">
      <c r="A33" s="103">
        <v>3</v>
      </c>
      <c r="B33" s="104"/>
      <c r="C33" s="105"/>
      <c r="D33" s="106">
        <f>SUM(D34:D40)</f>
        <v>155.26999999999998</v>
      </c>
      <c r="E33" s="107"/>
      <c r="F33" s="90" t="str">
        <f>IFERROR(VLOOKUP($C33,[2]Nod!$A$3:$E$992,4,FALSE)," ")</f>
        <v xml:space="preserve"> </v>
      </c>
      <c r="G33" s="90" t="str">
        <f>IFERROR(VLOOKUP($C33,[2]Nod!$A$3:$E$992,5,FALSE)," ")</f>
        <v xml:space="preserve"> </v>
      </c>
      <c r="H33" s="103">
        <v>5</v>
      </c>
      <c r="I33" s="104"/>
      <c r="J33" s="105"/>
      <c r="K33" s="106">
        <f>SUM(K34:K40)</f>
        <v>224.91983529537578</v>
      </c>
      <c r="L33" s="90" t="str">
        <f>IFERROR(VLOOKUP($J33,[2]Nod!$A$3:$E$992,4,FALSE)," ")</f>
        <v xml:space="preserve"> </v>
      </c>
      <c r="M33" s="90" t="str">
        <f>IFERROR(VLOOKUP($J33,[2]Nod!$A$3:$E$992,5,FALSE)," ")</f>
        <v xml:space="preserve"> </v>
      </c>
    </row>
    <row r="34" spans="1:13" ht="15" customHeight="1" x14ac:dyDescent="0.25">
      <c r="A34" s="108" t="s">
        <v>55</v>
      </c>
      <c r="B34" s="109"/>
      <c r="C34" s="110">
        <v>6087</v>
      </c>
      <c r="D34" s="111">
        <v>47.2</v>
      </c>
      <c r="E34" s="112">
        <v>0</v>
      </c>
      <c r="F34" s="90" t="str">
        <f>IFERROR(VLOOKUP($C34,[2]Nod!$A$3:$E$992,4,FALSE)," ")</f>
        <v>CAL115</v>
      </c>
      <c r="G34" s="90">
        <f>IFERROR(VLOOKUP($C34,[2]Nod!$A$3:$E$992,5,FALSE)," ")</f>
        <v>3</v>
      </c>
      <c r="H34" s="113" t="s">
        <v>57</v>
      </c>
      <c r="I34" s="109"/>
      <c r="J34" s="110"/>
      <c r="K34" s="129"/>
      <c r="L34" s="90" t="str">
        <f>IFERROR(VLOOKUP($J34,[2]Nod!$A$3:$E$992,4,FALSE)," ")</f>
        <v xml:space="preserve"> </v>
      </c>
      <c r="M34" s="90" t="str">
        <f>IFERROR(VLOOKUP($J34,[2]Nod!$A$3:$E$992,5,FALSE)," ")</f>
        <v xml:space="preserve"> </v>
      </c>
    </row>
    <row r="35" spans="1:13" ht="15" customHeight="1" x14ac:dyDescent="0.25">
      <c r="A35" s="108" t="s">
        <v>56</v>
      </c>
      <c r="B35" s="109"/>
      <c r="C35" s="110">
        <v>6087</v>
      </c>
      <c r="D35" s="111">
        <v>54.76</v>
      </c>
      <c r="E35" s="112">
        <v>0</v>
      </c>
      <c r="F35" s="90" t="str">
        <f>IFERROR(VLOOKUP($C35,[2]Nod!$A$3:$E$992,4,FALSE)," ")</f>
        <v>CAL115</v>
      </c>
      <c r="G35" s="90">
        <f>IFERROR(VLOOKUP($C35,[2]Nod!$A$3:$E$992,5,FALSE)," ")</f>
        <v>3</v>
      </c>
      <c r="H35" s="114" t="s">
        <v>59</v>
      </c>
      <c r="I35" s="109"/>
      <c r="J35" s="115">
        <v>6009</v>
      </c>
      <c r="K35" s="111">
        <v>223</v>
      </c>
      <c r="L35" s="90" t="str">
        <f>IFERROR(VLOOKUP($J35,[2]Nod!$A$3:$E$992,4,FALSE)," ")</f>
        <v>LSA115</v>
      </c>
      <c r="M35" s="90">
        <f>IFERROR(VLOOKUP($J35,[2]Nod!$A$3:$E$992,5,FALSE)," ")</f>
        <v>5</v>
      </c>
    </row>
    <row r="36" spans="1:13" ht="15" customHeight="1" x14ac:dyDescent="0.25">
      <c r="A36" s="108" t="s">
        <v>58</v>
      </c>
      <c r="B36" s="109"/>
      <c r="C36" s="110">
        <v>6087</v>
      </c>
      <c r="D36" s="111">
        <v>19.75</v>
      </c>
      <c r="E36" s="112">
        <v>0</v>
      </c>
      <c r="F36" s="90" t="str">
        <f>IFERROR(VLOOKUP($C36,[2]Nod!$A$3:$E$992,4,FALSE)," ")</f>
        <v>CAL115</v>
      </c>
      <c r="G36" s="90">
        <f>IFERROR(VLOOKUP($C36,[2]Nod!$A$3:$E$992,5,FALSE)," ")</f>
        <v>3</v>
      </c>
      <c r="H36" s="113" t="s">
        <v>61</v>
      </c>
      <c r="I36" s="109"/>
      <c r="J36" s="115"/>
      <c r="K36" s="111"/>
      <c r="L36" s="90" t="str">
        <f>IFERROR(VLOOKUP($J36,[2]Nod!$A$3:$E$992,4,FALSE)," ")</f>
        <v xml:space="preserve"> </v>
      </c>
      <c r="M36" s="90" t="str">
        <f>IFERROR(VLOOKUP($J36,[2]Nod!$A$3:$E$992,5,FALSE)," ")</f>
        <v xml:space="preserve"> </v>
      </c>
    </row>
    <row r="37" spans="1:13" ht="15" customHeight="1" x14ac:dyDescent="0.25">
      <c r="A37" s="108" t="s">
        <v>60</v>
      </c>
      <c r="B37" s="109"/>
      <c r="C37" s="110">
        <v>6087</v>
      </c>
      <c r="D37" s="111">
        <v>15.5</v>
      </c>
      <c r="E37" s="112">
        <v>0</v>
      </c>
      <c r="F37" s="90" t="str">
        <f>IFERROR(VLOOKUP($C37,[2]Nod!$A$3:$E$992,4,FALSE)," ")</f>
        <v>CAL115</v>
      </c>
      <c r="G37" s="90">
        <f>IFERROR(VLOOKUP($C37,[2]Nod!$A$3:$E$992,5,FALSE)," ")</f>
        <v>3</v>
      </c>
      <c r="H37" s="114" t="s">
        <v>63</v>
      </c>
      <c r="I37" s="109"/>
      <c r="J37" s="115">
        <v>6009</v>
      </c>
      <c r="K37" s="111">
        <v>0.98298267347968538</v>
      </c>
      <c r="L37" s="90" t="str">
        <f>IFERROR(VLOOKUP($J37,[2]Nod!$A$3:$E$992,4,FALSE)," ")</f>
        <v>LSA115</v>
      </c>
      <c r="M37" s="90">
        <f>IFERROR(VLOOKUP($J37,[2]Nod!$A$3:$E$992,5,FALSE)," ")</f>
        <v>5</v>
      </c>
    </row>
    <row r="38" spans="1:13" ht="15" customHeight="1" x14ac:dyDescent="0.25">
      <c r="A38" s="108" t="s">
        <v>62</v>
      </c>
      <c r="B38" s="109"/>
      <c r="C38" s="110">
        <v>6087</v>
      </c>
      <c r="D38" s="111">
        <v>8.1999999999999993</v>
      </c>
      <c r="E38" s="112">
        <v>0</v>
      </c>
      <c r="F38" s="90" t="str">
        <f>IFERROR(VLOOKUP($C38,[2]Nod!$A$3:$E$992,4,FALSE)," ")</f>
        <v>CAL115</v>
      </c>
      <c r="G38" s="90">
        <f>IFERROR(VLOOKUP($C38,[2]Nod!$A$3:$E$992,5,FALSE)," ")</f>
        <v>3</v>
      </c>
      <c r="H38" s="114" t="s">
        <v>65</v>
      </c>
      <c r="I38" s="109"/>
      <c r="J38" s="115">
        <v>6009</v>
      </c>
      <c r="K38" s="111">
        <v>0.81643298536117104</v>
      </c>
      <c r="L38" s="90" t="str">
        <f>IFERROR(VLOOKUP($J38,[2]Nod!$A$3:$E$992,4,FALSE)," ")</f>
        <v>LSA115</v>
      </c>
      <c r="M38" s="90">
        <f>IFERROR(VLOOKUP($J38,[2]Nod!$A$3:$E$992,5,FALSE)," ")</f>
        <v>5</v>
      </c>
    </row>
    <row r="39" spans="1:13" ht="15" customHeight="1" x14ac:dyDescent="0.25">
      <c r="A39" s="108" t="s">
        <v>64</v>
      </c>
      <c r="B39" s="109"/>
      <c r="C39" s="110">
        <v>6087</v>
      </c>
      <c r="D39" s="111">
        <v>9.86</v>
      </c>
      <c r="E39" s="112">
        <v>0</v>
      </c>
      <c r="F39" s="90" t="str">
        <f>IFERROR(VLOOKUP($C39,[2]Nod!$A$3:$E$992,4,FALSE)," ")</f>
        <v>CAL115</v>
      </c>
      <c r="G39" s="90">
        <f>IFERROR(VLOOKUP($C39,[2]Nod!$A$3:$E$992,5,FALSE)," ")</f>
        <v>3</v>
      </c>
      <c r="H39" s="114" t="s">
        <v>66</v>
      </c>
      <c r="I39" s="109"/>
      <c r="J39" s="115">
        <v>6009</v>
      </c>
      <c r="K39" s="111">
        <v>0.12041963653493307</v>
      </c>
      <c r="L39" s="90" t="str">
        <f>IFERROR(VLOOKUP($J39,[2]Nod!$A$3:$E$992,4,FALSE)," ")</f>
        <v>LSA115</v>
      </c>
      <c r="M39" s="90">
        <f>IFERROR(VLOOKUP($J39,[2]Nod!$A$3:$E$992,5,FALSE)," ")</f>
        <v>5</v>
      </c>
    </row>
    <row r="40" spans="1:13" ht="15" customHeight="1" x14ac:dyDescent="0.25">
      <c r="A40" s="126" t="s">
        <v>44</v>
      </c>
      <c r="B40" s="109"/>
      <c r="C40" s="110"/>
      <c r="D40" s="127"/>
      <c r="E40" s="112"/>
      <c r="F40" s="90" t="str">
        <f>IFERROR(VLOOKUP($C40,[2]Nod!$A$3:$E$992,4,FALSE)," ")</f>
        <v xml:space="preserve"> </v>
      </c>
      <c r="G40" s="90" t="str">
        <f>IFERROR(VLOOKUP($C40,[2]Nod!$A$3:$E$992,5,FALSE)," ")</f>
        <v xml:space="preserve"> </v>
      </c>
      <c r="H40" s="130" t="s">
        <v>44</v>
      </c>
      <c r="I40" s="109"/>
      <c r="J40" s="110"/>
      <c r="K40" s="129"/>
      <c r="L40" s="90" t="str">
        <f>IFERROR(VLOOKUP($J40,[2]Nod!$A$3:$E$992,4,FALSE)," ")</f>
        <v xml:space="preserve"> </v>
      </c>
      <c r="M40" s="90" t="str">
        <f>IFERROR(VLOOKUP($J40,[2]Nod!$A$3:$E$992,5,FALSE)," ")</f>
        <v xml:space="preserve"> </v>
      </c>
    </row>
    <row r="41" spans="1:13" ht="15" customHeight="1" x14ac:dyDescent="0.25">
      <c r="A41" s="121">
        <v>4</v>
      </c>
      <c r="B41" s="122"/>
      <c r="C41" s="123"/>
      <c r="D41" s="124">
        <f>SUM(D42:D70)</f>
        <v>375.70699999999999</v>
      </c>
      <c r="E41" s="128"/>
      <c r="F41" s="90" t="str">
        <f>IFERROR(VLOOKUP($C41,[2]Nod!$A$3:$E$992,4,FALSE)," ")</f>
        <v xml:space="preserve"> </v>
      </c>
      <c r="G41" s="90" t="str">
        <f>IFERROR(VLOOKUP($C41,[2]Nod!$A$3:$E$992,5,FALSE)," ")</f>
        <v xml:space="preserve"> </v>
      </c>
      <c r="H41" s="121">
        <v>6</v>
      </c>
      <c r="I41" s="122"/>
      <c r="J41" s="123"/>
      <c r="K41" s="124">
        <f>SUM(K42:K47)</f>
        <v>160.70199929453995</v>
      </c>
      <c r="L41" s="90" t="str">
        <f>IFERROR(VLOOKUP($J41,[2]Nod!$A$3:$E$992,4,FALSE)," ")</f>
        <v xml:space="preserve"> </v>
      </c>
      <c r="M41" s="90" t="str">
        <f>IFERROR(VLOOKUP($J41,[2]Nod!$A$3:$E$992,5,FALSE)," ")</f>
        <v xml:space="preserve"> </v>
      </c>
    </row>
    <row r="42" spans="1:13" ht="15" customHeight="1" x14ac:dyDescent="0.25">
      <c r="A42" s="108" t="s">
        <v>67</v>
      </c>
      <c r="B42" s="109"/>
      <c r="C42" s="115">
        <v>6380</v>
      </c>
      <c r="D42" s="111">
        <v>10</v>
      </c>
      <c r="E42" s="112">
        <v>0</v>
      </c>
      <c r="F42" s="90" t="str">
        <f>IFERROR(VLOOKUP($C42,[2]Nod!$A$3:$E$992,4,FALSE)," ")</f>
        <v>BOQIII230</v>
      </c>
      <c r="G42" s="90">
        <f>IFERROR(VLOOKUP($C42,[2]Nod!$A$3:$E$992,5,FALSE)," ")</f>
        <v>4</v>
      </c>
      <c r="H42" s="113" t="s">
        <v>57</v>
      </c>
      <c r="I42" s="109"/>
      <c r="J42" s="110"/>
      <c r="K42" s="129"/>
      <c r="L42" s="90" t="str">
        <f>IFERROR(VLOOKUP($J42,[2]Nod!$A$3:$E$992,4,FALSE)," ")</f>
        <v xml:space="preserve"> </v>
      </c>
      <c r="M42" s="90" t="str">
        <f>IFERROR(VLOOKUP($J42,[2]Nod!$A$3:$E$992,5,FALSE)," ")</f>
        <v xml:space="preserve"> </v>
      </c>
    </row>
    <row r="43" spans="1:13" ht="15" customHeight="1" x14ac:dyDescent="0.25">
      <c r="A43" s="135" t="s">
        <v>68</v>
      </c>
      <c r="B43" s="109"/>
      <c r="C43" s="115">
        <v>6380</v>
      </c>
      <c r="D43" s="111">
        <v>3.5</v>
      </c>
      <c r="E43" s="112">
        <v>0</v>
      </c>
      <c r="F43" s="90" t="str">
        <f>IFERROR(VLOOKUP($C43,[2]Nod!$A$3:$E$992,4,FALSE)," ")</f>
        <v>BOQIII230</v>
      </c>
      <c r="G43" s="90">
        <f>IFERROR(VLOOKUP($C43,[2]Nod!$A$3:$E$992,5,FALSE)," ")</f>
        <v>4</v>
      </c>
      <c r="H43" s="114" t="s">
        <v>70</v>
      </c>
      <c r="I43" s="109"/>
      <c r="J43" s="115">
        <v>6005</v>
      </c>
      <c r="K43" s="111">
        <v>159.37</v>
      </c>
      <c r="L43" s="90" t="str">
        <f>IFERROR(VLOOKUP($J43,[2]Nod!$A$3:$E$992,4,FALSE)," ")</f>
        <v>CHO230</v>
      </c>
      <c r="M43" s="90">
        <f>IFERROR(VLOOKUP($J43,[2]Nod!$A$3:$E$992,5,FALSE)," ")</f>
        <v>6</v>
      </c>
    </row>
    <row r="44" spans="1:13" ht="15" customHeight="1" x14ac:dyDescent="0.25">
      <c r="A44" s="108" t="s">
        <v>69</v>
      </c>
      <c r="B44" s="109"/>
      <c r="C44" s="115">
        <v>6013</v>
      </c>
      <c r="D44" s="111">
        <v>6.12</v>
      </c>
      <c r="E44" s="112">
        <v>0</v>
      </c>
      <c r="F44" s="90" t="str">
        <f>IFERROR(VLOOKUP($C44,[2]Nod!$A$3:$E$992,4,FALSE)," ")</f>
        <v>MDN34</v>
      </c>
      <c r="G44" s="90">
        <f>IFERROR(VLOOKUP($C44,[2]Nod!$A$3:$E$992,5,FALSE)," ")</f>
        <v>4</v>
      </c>
      <c r="H44" s="113" t="s">
        <v>61</v>
      </c>
      <c r="I44" s="109"/>
      <c r="J44" s="115"/>
      <c r="K44" s="111"/>
      <c r="L44" s="90" t="str">
        <f>IFERROR(VLOOKUP($J44,[2]Nod!$A$3:$E$992,4,FALSE)," ")</f>
        <v xml:space="preserve"> </v>
      </c>
      <c r="M44" s="90" t="str">
        <f>IFERROR(VLOOKUP($J44,[2]Nod!$A$3:$E$992,5,FALSE)," ")</f>
        <v xml:space="preserve"> </v>
      </c>
    </row>
    <row r="45" spans="1:13" ht="15" customHeight="1" x14ac:dyDescent="0.25">
      <c r="A45" s="135" t="s">
        <v>71</v>
      </c>
      <c r="B45" s="109"/>
      <c r="C45" s="115">
        <v>6013</v>
      </c>
      <c r="D45" s="111">
        <v>4.95</v>
      </c>
      <c r="E45" s="112">
        <v>0</v>
      </c>
      <c r="F45" s="90" t="str">
        <f>IFERROR(VLOOKUP($C45,[2]Nod!$A$3:$E$992,4,FALSE)," ")</f>
        <v>MDN34</v>
      </c>
      <c r="G45" s="90">
        <f>IFERROR(VLOOKUP($C45,[2]Nod!$A$3:$E$992,5,FALSE)," ")</f>
        <v>4</v>
      </c>
      <c r="H45" s="114" t="s">
        <v>63</v>
      </c>
      <c r="I45" s="109"/>
      <c r="J45" s="115">
        <v>6005</v>
      </c>
      <c r="K45" s="111">
        <v>0.29932012016500509</v>
      </c>
      <c r="L45" s="90" t="str">
        <f>IFERROR(VLOOKUP($J45,[2]Nod!$A$3:$E$992,4,FALSE)," ")</f>
        <v>CHO230</v>
      </c>
      <c r="M45" s="90">
        <f>IFERROR(VLOOKUP($J45,[2]Nod!$A$3:$E$992,5,FALSE)," ")</f>
        <v>6</v>
      </c>
    </row>
    <row r="46" spans="1:13" ht="15" customHeight="1" x14ac:dyDescent="0.25">
      <c r="A46" s="108" t="s">
        <v>72</v>
      </c>
      <c r="B46" s="109"/>
      <c r="C46" s="115">
        <v>6380</v>
      </c>
      <c r="D46" s="111">
        <v>20</v>
      </c>
      <c r="E46" s="136">
        <v>0</v>
      </c>
      <c r="F46" s="90" t="str">
        <f>IFERROR(VLOOKUP($C46,[2]Nod!$A$3:$E$992,4,FALSE)," ")</f>
        <v>BOQIII230</v>
      </c>
      <c r="G46" s="90">
        <f>IFERROR(VLOOKUP($C46,[2]Nod!$A$3:$E$992,5,FALSE)," ")</f>
        <v>4</v>
      </c>
      <c r="H46" s="114" t="s">
        <v>74</v>
      </c>
      <c r="I46" s="109"/>
      <c r="J46" s="115">
        <v>6005</v>
      </c>
      <c r="K46" s="111">
        <v>1.0326791743749477</v>
      </c>
      <c r="L46" s="90" t="str">
        <f>IFERROR(VLOOKUP($J46,[2]Nod!$A$3:$E$992,4,FALSE)," ")</f>
        <v>CHO230</v>
      </c>
      <c r="M46" s="90">
        <f>IFERROR(VLOOKUP($J46,[2]Nod!$A$3:$E$992,5,FALSE)," ")</f>
        <v>6</v>
      </c>
    </row>
    <row r="47" spans="1:13" ht="15" customHeight="1" x14ac:dyDescent="0.25">
      <c r="A47" s="108" t="s">
        <v>73</v>
      </c>
      <c r="B47" s="109"/>
      <c r="C47" s="115">
        <v>6380</v>
      </c>
      <c r="D47" s="111">
        <v>14</v>
      </c>
      <c r="E47" s="136">
        <v>0</v>
      </c>
      <c r="F47" s="90" t="str">
        <f>IFERROR(VLOOKUP($C47,[2]Nod!$A$3:$E$992,4,FALSE)," ")</f>
        <v>BOQIII230</v>
      </c>
      <c r="G47" s="90">
        <f>IFERROR(VLOOKUP($C47,[2]Nod!$A$3:$E$992,5,FALSE)," ")</f>
        <v>4</v>
      </c>
      <c r="H47" s="116" t="s">
        <v>44</v>
      </c>
      <c r="I47" s="117"/>
      <c r="J47" s="118"/>
      <c r="K47" s="125"/>
      <c r="L47" s="90" t="str">
        <f>IFERROR(VLOOKUP($J47,[2]Nod!$A$3:$E$992,4,FALSE)," ")</f>
        <v xml:space="preserve"> </v>
      </c>
      <c r="M47" s="90" t="str">
        <f>IFERROR(VLOOKUP($J47,[2]Nod!$A$3:$E$992,5,FALSE)," ")</f>
        <v xml:space="preserve"> </v>
      </c>
    </row>
    <row r="48" spans="1:13" ht="15" customHeight="1" x14ac:dyDescent="0.25">
      <c r="A48" s="108" t="s">
        <v>75</v>
      </c>
      <c r="B48" s="109"/>
      <c r="C48" s="115">
        <v>6380</v>
      </c>
      <c r="D48" s="111">
        <v>14</v>
      </c>
      <c r="E48" s="136">
        <v>0</v>
      </c>
      <c r="F48" s="90" t="str">
        <f>IFERROR(VLOOKUP($C48,[2]Nod!$A$3:$E$992,4,FALSE)," ")</f>
        <v>BOQIII230</v>
      </c>
      <c r="G48" s="90">
        <f>IFERROR(VLOOKUP($C48,[2]Nod!$A$3:$E$992,5,FALSE)," ")</f>
        <v>4</v>
      </c>
      <c r="H48" s="103">
        <v>7</v>
      </c>
      <c r="I48" s="104"/>
      <c r="J48" s="105"/>
      <c r="K48" s="106">
        <f>SUM(K49:K63)</f>
        <v>1026.9621782095808</v>
      </c>
      <c r="L48" s="90" t="str">
        <f>IFERROR(VLOOKUP($J48,[2]Nod!$A$3:$E$992,4,FALSE)," ")</f>
        <v xml:space="preserve"> </v>
      </c>
      <c r="M48" s="90" t="str">
        <f>IFERROR(VLOOKUP($J48,[2]Nod!$A$3:$E$992,5,FALSE)," ")</f>
        <v xml:space="preserve"> </v>
      </c>
    </row>
    <row r="49" spans="1:13" ht="15" customHeight="1" x14ac:dyDescent="0.25">
      <c r="A49" s="135" t="s">
        <v>76</v>
      </c>
      <c r="B49" s="109"/>
      <c r="C49" s="137">
        <v>6013</v>
      </c>
      <c r="D49" s="111">
        <v>2.5</v>
      </c>
      <c r="E49" s="112">
        <v>0</v>
      </c>
      <c r="F49" s="90" t="str">
        <f>IFERROR(VLOOKUP($C49,[2]Nod!$A$3:$E$992,4,FALSE)," ")</f>
        <v>MDN34</v>
      </c>
      <c r="G49" s="90">
        <f>IFERROR(VLOOKUP($C49,[2]Nod!$A$3:$E$992,5,FALSE)," ")</f>
        <v>4</v>
      </c>
      <c r="H49" s="113" t="s">
        <v>78</v>
      </c>
      <c r="I49" s="109"/>
      <c r="J49" s="110"/>
      <c r="K49" s="111"/>
      <c r="L49" s="90" t="str">
        <f>IFERROR(VLOOKUP($J49,[2]Nod!$A$3:$E$992,4,FALSE)," ")</f>
        <v xml:space="preserve"> </v>
      </c>
      <c r="M49" s="90" t="str">
        <f>IFERROR(VLOOKUP($J49,[2]Nod!$A$3:$E$992,5,FALSE)," ")</f>
        <v xml:space="preserve"> </v>
      </c>
    </row>
    <row r="50" spans="1:13" ht="15" customHeight="1" x14ac:dyDescent="0.25">
      <c r="A50" s="135" t="s">
        <v>77</v>
      </c>
      <c r="B50" s="109"/>
      <c r="C50" s="137">
        <v>6013</v>
      </c>
      <c r="D50" s="111">
        <v>3.12</v>
      </c>
      <c r="E50" s="112">
        <v>0</v>
      </c>
      <c r="F50" s="90" t="str">
        <f>IFERROR(VLOOKUP($C50,[2]Nod!$A$3:$E$992,4,FALSE)," ")</f>
        <v>MDN34</v>
      </c>
      <c r="G50" s="90">
        <f>IFERROR(VLOOKUP($C50,[2]Nod!$A$3:$E$992,5,FALSE)," ")</f>
        <v>4</v>
      </c>
      <c r="H50" s="114" t="s">
        <v>80</v>
      </c>
      <c r="I50" s="109"/>
      <c r="J50" s="115">
        <v>6002</v>
      </c>
      <c r="K50" s="111">
        <v>267.83999999999997</v>
      </c>
      <c r="L50" s="90" t="str">
        <f>IFERROR(VLOOKUP($J50,[2]Nod!$A$3:$E$992,4,FALSE)," ")</f>
        <v>PAN115</v>
      </c>
      <c r="M50" s="90">
        <f>IFERROR(VLOOKUP($J50,[2]Nod!$A$3:$E$992,5,FALSE)," ")</f>
        <v>7</v>
      </c>
    </row>
    <row r="51" spans="1:13" ht="15" customHeight="1" x14ac:dyDescent="0.25">
      <c r="A51" s="108" t="s">
        <v>79</v>
      </c>
      <c r="B51" s="109"/>
      <c r="C51" s="115">
        <v>6380</v>
      </c>
      <c r="D51" s="111">
        <v>10</v>
      </c>
      <c r="E51" s="112">
        <v>0</v>
      </c>
      <c r="F51" s="90" t="str">
        <f>IFERROR(VLOOKUP($C51,[2]Nod!$A$3:$E$992,4,FALSE)," ")</f>
        <v>BOQIII230</v>
      </c>
      <c r="G51" s="90">
        <f>IFERROR(VLOOKUP($C51,[2]Nod!$A$3:$E$992,5,FALSE)," ")</f>
        <v>4</v>
      </c>
      <c r="H51" s="114"/>
      <c r="I51" s="109"/>
      <c r="J51" s="115">
        <v>6004</v>
      </c>
      <c r="K51" s="111">
        <v>234.56</v>
      </c>
      <c r="L51" s="90" t="str">
        <f>IFERROR(VLOOKUP($J51,[2]Nod!$A$3:$E$992,4,FALSE)," ")</f>
        <v>PANII115</v>
      </c>
      <c r="M51" s="90">
        <f>IFERROR(VLOOKUP($J51,[2]Nod!$A$3:$E$992,5,FALSE)," ")</f>
        <v>7</v>
      </c>
    </row>
    <row r="52" spans="1:13" ht="15" customHeight="1" x14ac:dyDescent="0.25">
      <c r="A52" s="108" t="s">
        <v>81</v>
      </c>
      <c r="B52" s="109"/>
      <c r="C52" s="115">
        <v>6380</v>
      </c>
      <c r="D52" s="111">
        <v>10</v>
      </c>
      <c r="E52" s="112">
        <v>0</v>
      </c>
      <c r="F52" s="90" t="str">
        <f>IFERROR(VLOOKUP($C52,[2]Nod!$A$3:$E$992,4,FALSE)," ")</f>
        <v>BOQIII230</v>
      </c>
      <c r="G52" s="90">
        <f>IFERROR(VLOOKUP($C52,[2]Nod!$A$3:$E$992,5,FALSE)," ")</f>
        <v>4</v>
      </c>
      <c r="H52" s="113" t="s">
        <v>57</v>
      </c>
      <c r="I52" s="109"/>
      <c r="J52" s="115"/>
      <c r="K52" s="111"/>
      <c r="L52" s="90" t="str">
        <f>IFERROR(VLOOKUP($J52,[2]Nod!$A$3:$E$992,4,FALSE)," ")</f>
        <v xml:space="preserve"> </v>
      </c>
      <c r="M52" s="90" t="str">
        <f>IFERROR(VLOOKUP($J52,[2]Nod!$A$3:$E$992,5,FALSE)," ")</f>
        <v xml:space="preserve"> </v>
      </c>
    </row>
    <row r="53" spans="1:13" ht="15" customHeight="1" x14ac:dyDescent="0.25">
      <c r="A53" s="108" t="s">
        <v>83</v>
      </c>
      <c r="B53" s="109"/>
      <c r="C53" s="115">
        <v>6013</v>
      </c>
      <c r="D53" s="111">
        <v>8.1199999999999992</v>
      </c>
      <c r="E53" s="112">
        <v>0</v>
      </c>
      <c r="F53" s="90" t="str">
        <f>IFERROR(VLOOKUP($C53,[2]Nod!$A$3:$E$992,4,FALSE)," ")</f>
        <v>MDN34</v>
      </c>
      <c r="G53" s="90">
        <f>IFERROR(VLOOKUP($C53,[2]Nod!$A$3:$E$992,5,FALSE)," ")</f>
        <v>4</v>
      </c>
      <c r="H53" s="114" t="s">
        <v>80</v>
      </c>
      <c r="I53" s="109"/>
      <c r="J53" s="115">
        <v>6002</v>
      </c>
      <c r="K53" s="111">
        <v>489.11</v>
      </c>
      <c r="L53" s="90" t="str">
        <f>IFERROR(VLOOKUP($J53,[2]Nod!$A$3:$E$992,4,FALSE)," ")</f>
        <v>PAN115</v>
      </c>
      <c r="M53" s="90">
        <f>IFERROR(VLOOKUP($J53,[2]Nod!$A$3:$E$992,5,FALSE)," ")</f>
        <v>7</v>
      </c>
    </row>
    <row r="54" spans="1:13" ht="15" customHeight="1" x14ac:dyDescent="0.25">
      <c r="A54" s="108" t="s">
        <v>84</v>
      </c>
      <c r="B54" s="109"/>
      <c r="C54" s="115">
        <v>6182</v>
      </c>
      <c r="D54" s="111">
        <v>51.65</v>
      </c>
      <c r="E54" s="112">
        <v>0</v>
      </c>
      <c r="F54" s="90" t="str">
        <f>IFERROR(VLOOKUP($C54,[2]Nod!$A$3:$E$992,4,FALSE)," ")</f>
        <v>VEL230</v>
      </c>
      <c r="G54" s="90">
        <f>IFERROR(VLOOKUP($C54,[2]Nod!$A$3:$E$992,5,FALSE)," ")</f>
        <v>4</v>
      </c>
      <c r="H54" s="113" t="s">
        <v>61</v>
      </c>
      <c r="I54" s="109"/>
      <c r="J54" s="115"/>
      <c r="K54" s="111"/>
      <c r="L54" s="90" t="str">
        <f>IFERROR(VLOOKUP($J54,[2]Nod!$A$3:$E$992,4,FALSE)," ")</f>
        <v xml:space="preserve"> </v>
      </c>
      <c r="M54" s="90" t="str">
        <f>IFERROR(VLOOKUP($J54,[2]Nod!$A$3:$E$992,5,FALSE)," ")</f>
        <v xml:space="preserve"> </v>
      </c>
    </row>
    <row r="55" spans="1:13" ht="15" customHeight="1" x14ac:dyDescent="0.25">
      <c r="A55" s="135" t="s">
        <v>85</v>
      </c>
      <c r="B55" s="109"/>
      <c r="C55" s="115">
        <v>6380</v>
      </c>
      <c r="D55" s="111">
        <v>3.2869999999999999</v>
      </c>
      <c r="E55" s="112">
        <v>0</v>
      </c>
      <c r="F55" s="90" t="str">
        <f>IFERROR(VLOOKUP($C55,[2]Nod!$A$3:$E$992,4,FALSE)," ")</f>
        <v>BOQIII230</v>
      </c>
      <c r="G55" s="90">
        <f>IFERROR(VLOOKUP($C55,[2]Nod!$A$3:$E$992,5,FALSE)," ")</f>
        <v>4</v>
      </c>
      <c r="H55" s="114" t="s">
        <v>88</v>
      </c>
      <c r="I55" s="109"/>
      <c r="J55" s="115">
        <v>6024</v>
      </c>
      <c r="K55" s="111">
        <v>24.14123591370431</v>
      </c>
      <c r="L55" s="90" t="str">
        <f>IFERROR(VLOOKUP($J55,[2]Nod!$A$3:$E$992,4,FALSE)," ")</f>
        <v>CHI115</v>
      </c>
      <c r="M55" s="90">
        <f>IFERROR(VLOOKUP($J55,[2]Nod!$A$3:$E$992,5,FALSE)," ")</f>
        <v>7</v>
      </c>
    </row>
    <row r="56" spans="1:13" ht="15" customHeight="1" x14ac:dyDescent="0.25">
      <c r="A56" s="135" t="s">
        <v>86</v>
      </c>
      <c r="B56" s="109"/>
      <c r="C56" s="115">
        <v>6380</v>
      </c>
      <c r="D56" s="111">
        <v>4</v>
      </c>
      <c r="E56" s="112">
        <v>13</v>
      </c>
      <c r="F56" s="90" t="str">
        <f>IFERROR(VLOOKUP($C56,[2]Nod!$A$3:$E$992,4,FALSE)," ")</f>
        <v>BOQIII230</v>
      </c>
      <c r="G56" s="90">
        <f>IFERROR(VLOOKUP($C56,[2]Nod!$A$3:$E$992,5,FALSE)," ")</f>
        <v>4</v>
      </c>
      <c r="H56" s="114" t="s">
        <v>90</v>
      </c>
      <c r="I56" s="109"/>
      <c r="J56" s="115">
        <v>6002</v>
      </c>
      <c r="K56" s="111">
        <v>1.178379235147794</v>
      </c>
      <c r="L56" s="90" t="str">
        <f>IFERROR(VLOOKUP($J56,[2]Nod!$A$3:$E$992,4,FALSE)," ")</f>
        <v>PAN115</v>
      </c>
      <c r="M56" s="90">
        <f>IFERROR(VLOOKUP($J56,[2]Nod!$A$3:$E$992,5,FALSE)," ")</f>
        <v>7</v>
      </c>
    </row>
    <row r="57" spans="1:13" ht="15" customHeight="1" x14ac:dyDescent="0.25">
      <c r="A57" s="108" t="s">
        <v>87</v>
      </c>
      <c r="B57" s="109"/>
      <c r="C57" s="115">
        <v>6182</v>
      </c>
      <c r="D57" s="111">
        <v>69.48</v>
      </c>
      <c r="E57" s="112">
        <v>0</v>
      </c>
      <c r="F57" s="90" t="str">
        <f>IFERROR(VLOOKUP($C57,[2]Nod!$A$3:$E$992,4,FALSE)," ")</f>
        <v>VEL230</v>
      </c>
      <c r="G57" s="90">
        <f>IFERROR(VLOOKUP($C57,[2]Nod!$A$3:$E$992,5,FALSE)," ")</f>
        <v>4</v>
      </c>
      <c r="H57" s="114" t="s">
        <v>63</v>
      </c>
      <c r="I57" s="109"/>
      <c r="J57" s="115">
        <v>6002</v>
      </c>
      <c r="K57" s="111">
        <v>3.9782919721040182</v>
      </c>
      <c r="L57" s="90" t="str">
        <f>IFERROR(VLOOKUP($J57,[2]Nod!$A$3:$E$992,4,FALSE)," ")</f>
        <v>PAN115</v>
      </c>
      <c r="M57" s="90">
        <f>IFERROR(VLOOKUP($J57,[2]Nod!$A$3:$E$992,5,FALSE)," ")</f>
        <v>7</v>
      </c>
    </row>
    <row r="58" spans="1:13" ht="15" customHeight="1" x14ac:dyDescent="0.25">
      <c r="A58" s="164" t="s">
        <v>156</v>
      </c>
      <c r="B58" s="109"/>
      <c r="C58" s="115">
        <v>6182</v>
      </c>
      <c r="D58" s="111">
        <v>1.1100000000000001</v>
      </c>
      <c r="E58" s="112">
        <v>7</v>
      </c>
      <c r="F58" s="90" t="str">
        <f>IFERROR(VLOOKUP($C58,[2]Nod!$A$3:$E$992,4,FALSE)," ")</f>
        <v>VEL230</v>
      </c>
      <c r="G58" s="90">
        <f>IFERROR(VLOOKUP($C58,[2]Nod!$A$3:$E$992,5,FALSE)," ")</f>
        <v>4</v>
      </c>
      <c r="H58" s="114" t="s">
        <v>93</v>
      </c>
      <c r="I58" s="109"/>
      <c r="J58" s="115">
        <v>6002</v>
      </c>
      <c r="K58" s="111">
        <v>0.91532859317102244</v>
      </c>
      <c r="L58" s="90" t="str">
        <f>IFERROR(VLOOKUP($J58,[2]Nod!$A$3:$E$992,4,FALSE)," ")</f>
        <v>PAN115</v>
      </c>
      <c r="M58" s="90">
        <f>IFERROR(VLOOKUP($J58,[2]Nod!$A$3:$E$992,5,FALSE)," ")</f>
        <v>7</v>
      </c>
    </row>
    <row r="59" spans="1:13" ht="15" customHeight="1" x14ac:dyDescent="0.25">
      <c r="A59" s="138" t="s">
        <v>89</v>
      </c>
      <c r="B59" s="139"/>
      <c r="C59" s="140">
        <v>6380</v>
      </c>
      <c r="D59" s="141">
        <v>5</v>
      </c>
      <c r="E59" s="142">
        <v>13</v>
      </c>
      <c r="F59" s="90" t="str">
        <f>IFERROR(VLOOKUP($C59,[2]Nod!$A$3:$E$992,4,FALSE)," ")</f>
        <v>BOQIII230</v>
      </c>
      <c r="G59" s="90">
        <f>IFERROR(VLOOKUP($C59,[2]Nod!$A$3:$E$992,5,FALSE)," ")</f>
        <v>4</v>
      </c>
      <c r="H59" s="114" t="s">
        <v>95</v>
      </c>
      <c r="I59" s="109"/>
      <c r="J59" s="115">
        <v>6002</v>
      </c>
      <c r="K59" s="111">
        <v>0.16502931546830643</v>
      </c>
      <c r="L59" s="90" t="str">
        <f>IFERROR(VLOOKUP($J59,[2]Nod!$A$3:$E$992,4,FALSE)," ")</f>
        <v>PAN115</v>
      </c>
      <c r="M59" s="90">
        <f>IFERROR(VLOOKUP($J59,[2]Nod!$A$3:$E$992,5,FALSE)," ")</f>
        <v>7</v>
      </c>
    </row>
    <row r="60" spans="1:13" ht="15" customHeight="1" x14ac:dyDescent="0.25">
      <c r="A60" s="165" t="s">
        <v>91</v>
      </c>
      <c r="B60" s="166"/>
      <c r="C60" s="140">
        <v>6013</v>
      </c>
      <c r="D60" s="141">
        <v>3.72</v>
      </c>
      <c r="E60" s="142">
        <v>0</v>
      </c>
      <c r="F60" s="90" t="str">
        <f>IFERROR(VLOOKUP($C60,[2]Nod!$A$3:$E$992,4,FALSE)," ")</f>
        <v>MDN34</v>
      </c>
      <c r="G60" s="90">
        <f>IFERROR(VLOOKUP($C60,[2]Nod!$A$3:$E$992,5,FALSE)," ")</f>
        <v>4</v>
      </c>
      <c r="H60" s="114" t="s">
        <v>97</v>
      </c>
      <c r="I60" s="109"/>
      <c r="J60" s="115">
        <v>6002</v>
      </c>
      <c r="K60" s="111">
        <v>1.3409961685823757</v>
      </c>
      <c r="L60" s="90" t="str">
        <f>IFERROR(VLOOKUP($J60,[2]Nod!$A$3:$E$992,4,FALSE)," ")</f>
        <v>PAN115</v>
      </c>
      <c r="M60" s="90">
        <f>IFERROR(VLOOKUP($J60,[2]Nod!$A$3:$E$992,5,FALSE)," ")</f>
        <v>7</v>
      </c>
    </row>
    <row r="61" spans="1:13" ht="15" customHeight="1" x14ac:dyDescent="0.25">
      <c r="A61" s="108" t="s">
        <v>92</v>
      </c>
      <c r="B61" s="109"/>
      <c r="C61" s="137">
        <v>6013</v>
      </c>
      <c r="D61" s="111">
        <v>10</v>
      </c>
      <c r="E61" s="112">
        <v>13</v>
      </c>
      <c r="F61" s="90" t="str">
        <f>IFERROR(VLOOKUP($C61,[2]Nod!$A$3:$E$992,4,FALSE)," ")</f>
        <v>MDN34</v>
      </c>
      <c r="G61" s="90">
        <f>IFERROR(VLOOKUP($C61,[2]Nod!$A$3:$E$992,5,FALSE)," ")</f>
        <v>4</v>
      </c>
      <c r="H61" s="114" t="s">
        <v>99</v>
      </c>
      <c r="I61" s="109"/>
      <c r="J61" s="115">
        <v>6002</v>
      </c>
      <c r="K61" s="111">
        <v>3.4379069625571215</v>
      </c>
      <c r="L61" s="90" t="str">
        <f>IFERROR(VLOOKUP($J61,[2]Nod!$A$3:$E$992,4,FALSE)," ")</f>
        <v>PAN115</v>
      </c>
      <c r="M61" s="90">
        <f>IFERROR(VLOOKUP($J61,[2]Nod!$A$3:$E$992,5,FALSE)," ")</f>
        <v>7</v>
      </c>
    </row>
    <row r="62" spans="1:13" ht="15" customHeight="1" x14ac:dyDescent="0.25">
      <c r="A62" s="108" t="s">
        <v>94</v>
      </c>
      <c r="B62" s="109"/>
      <c r="C62" s="137">
        <v>6520</v>
      </c>
      <c r="D62" s="141">
        <v>19.87</v>
      </c>
      <c r="E62" s="136">
        <v>0</v>
      </c>
      <c r="F62" s="90" t="str">
        <f>IFERROR(VLOOKUP($C62,[2]Nod!$A$3:$E$992,4,FALSE)," ")</f>
        <v>SBA34</v>
      </c>
      <c r="G62" s="90">
        <f>IFERROR(VLOOKUP($C62,[2]Nod!$A$3:$E$992,5,FALSE)," ")</f>
        <v>4</v>
      </c>
      <c r="H62" s="114" t="s">
        <v>101</v>
      </c>
      <c r="I62" s="109"/>
      <c r="J62" s="115">
        <v>6004</v>
      </c>
      <c r="K62" s="111">
        <v>0.29501004884593701</v>
      </c>
      <c r="L62" s="90" t="str">
        <f>IFERROR(VLOOKUP($J62,[2]Nod!$A$3:$E$992,4,FALSE)," ")</f>
        <v>PANII115</v>
      </c>
      <c r="M62" s="90">
        <f>IFERROR(VLOOKUP($J62,[2]Nod!$A$3:$E$992,5,FALSE)," ")</f>
        <v>7</v>
      </c>
    </row>
    <row r="63" spans="1:13" ht="15" customHeight="1" x14ac:dyDescent="0.25">
      <c r="A63" s="120" t="s">
        <v>96</v>
      </c>
      <c r="C63" s="137">
        <v>6550</v>
      </c>
      <c r="D63" s="144">
        <v>28.5</v>
      </c>
      <c r="E63" s="136">
        <v>0</v>
      </c>
      <c r="F63" s="90" t="str">
        <f>IFERROR(VLOOKUP($C63,[2]Nod!$A$3:$E$992,4,FALSE)," ")</f>
        <v>BEV230</v>
      </c>
      <c r="G63" s="90">
        <f>IFERROR(VLOOKUP($C63,[2]Nod!$A$3:$E$992,5,FALSE)," ")</f>
        <v>4</v>
      </c>
      <c r="H63" s="116" t="s">
        <v>44</v>
      </c>
      <c r="I63" s="117"/>
      <c r="J63" s="134"/>
      <c r="K63" s="119"/>
      <c r="L63" s="90" t="str">
        <f>IFERROR(VLOOKUP($J63,[2]Nod!$A$3:$E$992,4,FALSE)," ")</f>
        <v xml:space="preserve"> </v>
      </c>
      <c r="M63" s="90" t="str">
        <f>IFERROR(VLOOKUP($J63,[2]Nod!$A$3:$E$992,5,FALSE)," ")</f>
        <v xml:space="preserve"> </v>
      </c>
    </row>
    <row r="64" spans="1:13" ht="15" customHeight="1" x14ac:dyDescent="0.25">
      <c r="A64" s="120" t="s">
        <v>98</v>
      </c>
      <c r="C64" s="115">
        <v>6380</v>
      </c>
      <c r="D64" s="144">
        <v>13.14</v>
      </c>
      <c r="E64" s="136">
        <v>0</v>
      </c>
      <c r="F64" s="90" t="str">
        <f>IFERROR(VLOOKUP($C64,[2]Nod!$A$3:$E$992,4,FALSE)," ")</f>
        <v>BOQIII230</v>
      </c>
      <c r="G64" s="90">
        <f>IFERROR(VLOOKUP($C64,[2]Nod!$A$3:$E$992,5,FALSE)," ")</f>
        <v>4</v>
      </c>
      <c r="H64" s="121">
        <v>8</v>
      </c>
      <c r="I64" s="122"/>
      <c r="J64" s="123"/>
      <c r="K64" s="124">
        <f>SUM(K65:K67)</f>
        <v>22</v>
      </c>
      <c r="L64" s="90" t="str">
        <f>IFERROR(VLOOKUP($J64,[2]Nod!$A$3:$E$992,4,FALSE)," ")</f>
        <v xml:space="preserve"> </v>
      </c>
      <c r="M64" s="90" t="str">
        <f>IFERROR(VLOOKUP($J64,[2]Nod!$A$3:$E$992,5,FALSE)," ")</f>
        <v xml:space="preserve"> </v>
      </c>
    </row>
    <row r="65" spans="1:13" ht="15" customHeight="1" x14ac:dyDescent="0.25">
      <c r="A65" s="120" t="s">
        <v>100</v>
      </c>
      <c r="C65" s="115">
        <v>6380</v>
      </c>
      <c r="D65" s="129">
        <v>3</v>
      </c>
      <c r="E65" s="136">
        <v>13</v>
      </c>
      <c r="F65" s="90" t="str">
        <f>IFERROR(VLOOKUP($C65,[2]Nod!$A$3:$E$992,4,FALSE)," ")</f>
        <v>BOQIII230</v>
      </c>
      <c r="G65" s="90">
        <f>IFERROR(VLOOKUP($C65,[2]Nod!$A$3:$E$992,5,FALSE)," ")</f>
        <v>4</v>
      </c>
      <c r="H65" s="113" t="s">
        <v>78</v>
      </c>
      <c r="I65" s="109"/>
      <c r="J65" s="115"/>
      <c r="K65" s="111"/>
      <c r="L65" s="90" t="str">
        <f>IFERROR(VLOOKUP($J65,[2]Nod!$A$3:$E$992,4,FALSE)," ")</f>
        <v xml:space="preserve"> </v>
      </c>
      <c r="M65" s="90" t="str">
        <f>IFERROR(VLOOKUP($J65,[2]Nod!$A$3:$E$992,5,FALSE)," ")</f>
        <v xml:space="preserve"> </v>
      </c>
    </row>
    <row r="66" spans="1:13" ht="15" customHeight="1" x14ac:dyDescent="0.25">
      <c r="A66" s="120" t="s">
        <v>102</v>
      </c>
      <c r="C66" s="115">
        <v>6380</v>
      </c>
      <c r="D66" s="129">
        <v>8.1999999999999993</v>
      </c>
      <c r="E66" s="136">
        <v>0</v>
      </c>
      <c r="F66" s="90" t="str">
        <f>IFERROR(VLOOKUP($C66,[2]Nod!$A$3:$E$992,4,FALSE)," ")</f>
        <v>BOQIII230</v>
      </c>
      <c r="G66" s="90">
        <f>IFERROR(VLOOKUP($C66,[2]Nod!$A$3:$E$992,5,FALSE)," ")</f>
        <v>4</v>
      </c>
      <c r="H66" s="145" t="s">
        <v>104</v>
      </c>
      <c r="I66" s="109"/>
      <c r="J66" s="115">
        <v>6470</v>
      </c>
      <c r="K66" s="111">
        <v>22</v>
      </c>
      <c r="L66" s="90" t="str">
        <f>IFERROR(VLOOKUP($J66,[2]Nod!$A$3:$E$992,4,FALSE)," ")</f>
        <v>24DIC230</v>
      </c>
      <c r="M66" s="90">
        <f>IFERROR(VLOOKUP($J66,[2]Nod!$A$3:$E$992,5,FALSE)," ")</f>
        <v>9</v>
      </c>
    </row>
    <row r="67" spans="1:13" ht="15" customHeight="1" x14ac:dyDescent="0.25">
      <c r="A67" s="167" t="s">
        <v>157</v>
      </c>
      <c r="C67" s="115">
        <v>6182</v>
      </c>
      <c r="D67" s="129">
        <v>32.9</v>
      </c>
      <c r="E67" s="136">
        <v>7</v>
      </c>
      <c r="F67" s="90" t="str">
        <f>IFERROR(VLOOKUP($C67,[2]Nod!$A$3:$E$992,4,FALSE)," ")</f>
        <v>VEL230</v>
      </c>
      <c r="G67" s="90">
        <f>IFERROR(VLOOKUP($C67,[2]Nod!$A$3:$E$992,5,FALSE)," ")</f>
        <v>4</v>
      </c>
      <c r="H67" s="116" t="s">
        <v>44</v>
      </c>
      <c r="I67" s="117"/>
      <c r="J67" s="134"/>
      <c r="K67" s="119"/>
      <c r="L67" s="90" t="str">
        <f>IFERROR(VLOOKUP($J67,[2]Nod!$A$3:$E$992,4,FALSE)," ")</f>
        <v xml:space="preserve"> </v>
      </c>
      <c r="M67" s="90" t="str">
        <f>IFERROR(VLOOKUP($J67,[2]Nod!$A$3:$E$992,5,FALSE)," ")</f>
        <v xml:space="preserve"> </v>
      </c>
    </row>
    <row r="68" spans="1:13" ht="15" customHeight="1" x14ac:dyDescent="0.25">
      <c r="A68" s="167" t="s">
        <v>158</v>
      </c>
      <c r="C68" s="115">
        <v>6182</v>
      </c>
      <c r="D68" s="129">
        <v>8.8000000000000007</v>
      </c>
      <c r="E68" s="136">
        <v>7</v>
      </c>
      <c r="F68" s="90" t="str">
        <f>IFERROR(VLOOKUP($C68,[2]Nod!$A$3:$E$992,4,FALSE)," ")</f>
        <v>VEL230</v>
      </c>
      <c r="G68" s="90">
        <f>IFERROR(VLOOKUP($C68,[2]Nod!$A$3:$E$992,5,FALSE)," ")</f>
        <v>4</v>
      </c>
      <c r="H68" s="103">
        <v>9</v>
      </c>
      <c r="I68" s="104"/>
      <c r="J68" s="105"/>
      <c r="K68" s="106">
        <f>SUM(K69:K74)</f>
        <v>125.9826833770307</v>
      </c>
      <c r="L68" s="90" t="str">
        <f>IFERROR(VLOOKUP($J68,[2]Nod!$A$3:$E$992,4,FALSE)," ")</f>
        <v xml:space="preserve"> </v>
      </c>
      <c r="M68" s="90" t="str">
        <f>IFERROR(VLOOKUP($J68,[2]Nod!$A$3:$E$992,5,FALSE)," ")</f>
        <v xml:space="preserve"> </v>
      </c>
    </row>
    <row r="69" spans="1:13" ht="15" customHeight="1" x14ac:dyDescent="0.25">
      <c r="A69" s="167" t="s">
        <v>159</v>
      </c>
      <c r="C69" s="115">
        <v>6380</v>
      </c>
      <c r="D69" s="129">
        <v>6.74</v>
      </c>
      <c r="E69" s="136">
        <v>7</v>
      </c>
      <c r="F69" s="90" t="str">
        <f>IFERROR(VLOOKUP($C69,[2]Nod!$A$3:$E$992,4,FALSE)," ")</f>
        <v>BOQIII230</v>
      </c>
      <c r="G69" s="90">
        <f>IFERROR(VLOOKUP($C69,[2]Nod!$A$3:$E$992,5,FALSE)," ")</f>
        <v>4</v>
      </c>
      <c r="H69" s="113" t="s">
        <v>78</v>
      </c>
      <c r="I69" s="109"/>
      <c r="J69" s="115"/>
      <c r="K69" s="111"/>
      <c r="L69" s="90" t="str">
        <f>IFERROR(VLOOKUP($J69,[2]Nod!$A$3:$E$992,4,FALSE)," ")</f>
        <v xml:space="preserve"> </v>
      </c>
      <c r="M69" s="90" t="str">
        <f>IFERROR(VLOOKUP($J69,[2]Nod!$A$3:$E$992,5,FALSE)," ")</f>
        <v xml:space="preserve"> </v>
      </c>
    </row>
    <row r="70" spans="1:13" ht="15" customHeight="1" x14ac:dyDescent="0.25">
      <c r="A70" s="131" t="s">
        <v>44</v>
      </c>
      <c r="B70" s="117"/>
      <c r="C70" s="118"/>
      <c r="D70" s="132"/>
      <c r="E70" s="133"/>
      <c r="F70" s="90" t="str">
        <f>IFERROR(VLOOKUP($C70,[2]Nod!$A$3:$E$992,4,FALSE)," ")</f>
        <v xml:space="preserve"> </v>
      </c>
      <c r="G70" s="90" t="str">
        <f>IFERROR(VLOOKUP($C70,[2]Nod!$A$3:$E$992,5,FALSE)," ")</f>
        <v xml:space="preserve"> </v>
      </c>
      <c r="H70" s="114" t="s">
        <v>109</v>
      </c>
      <c r="I70" s="109"/>
      <c r="J70" s="115">
        <v>6059</v>
      </c>
      <c r="K70" s="111">
        <v>117.47</v>
      </c>
      <c r="L70" s="90" t="str">
        <f>IFERROR(VLOOKUP($J70,[2]Nod!$A$3:$E$992,4,FALSE)," ")</f>
        <v>LM1115</v>
      </c>
      <c r="M70" s="90">
        <f>IFERROR(VLOOKUP($J70,[2]Nod!$A$3:$E$992,5,FALSE)," ")</f>
        <v>9</v>
      </c>
    </row>
    <row r="71" spans="1:13" ht="15" customHeight="1" x14ac:dyDescent="0.25">
      <c r="A71" s="103">
        <v>5</v>
      </c>
      <c r="B71" s="104"/>
      <c r="C71" s="105"/>
      <c r="D71" s="106">
        <f>SUM(D72:D103)</f>
        <v>595.19000000000005</v>
      </c>
      <c r="E71" s="107"/>
      <c r="F71" s="90" t="str">
        <f>IFERROR(VLOOKUP($C71,[2]Nod!$A$3:$E$992,4,FALSE)," ")</f>
        <v xml:space="preserve"> </v>
      </c>
      <c r="G71" s="90" t="str">
        <f>IFERROR(VLOOKUP($C71,[2]Nod!$A$3:$E$992,5,FALSE)," ")</f>
        <v xml:space="preserve"> </v>
      </c>
      <c r="H71" s="113" t="s">
        <v>61</v>
      </c>
      <c r="I71" s="109"/>
      <c r="J71" s="115"/>
      <c r="K71" s="111"/>
      <c r="L71" s="90" t="str">
        <f>IFERROR(VLOOKUP($J71,[2]Nod!$A$3:$E$992,4,FALSE)," ")</f>
        <v xml:space="preserve"> </v>
      </c>
      <c r="M71" s="90" t="str">
        <f>IFERROR(VLOOKUP($J71,[2]Nod!$A$3:$E$992,5,FALSE)," ")</f>
        <v xml:space="preserve"> </v>
      </c>
    </row>
    <row r="72" spans="1:13" ht="15" customHeight="1" x14ac:dyDescent="0.25">
      <c r="A72" s="108" t="s">
        <v>103</v>
      </c>
      <c r="B72" s="109"/>
      <c r="C72" s="137">
        <v>6010</v>
      </c>
      <c r="D72" s="111">
        <v>5.35</v>
      </c>
      <c r="E72" s="112">
        <v>0</v>
      </c>
      <c r="F72" s="90" t="str">
        <f>IFERROR(VLOOKUP($C72,[2]Nod!$A$3:$E$992,4,FALSE)," ")</f>
        <v>LSA34</v>
      </c>
      <c r="G72" s="90">
        <f>IFERROR(VLOOKUP($C72,[2]Nod!$A$3:$E$992,5,FALSE)," ")</f>
        <v>5</v>
      </c>
      <c r="H72" s="114" t="s">
        <v>112</v>
      </c>
      <c r="I72" s="109"/>
      <c r="J72" s="115">
        <v>6170</v>
      </c>
      <c r="K72" s="111">
        <v>8.2321799934745599</v>
      </c>
      <c r="L72" s="90" t="str">
        <f>IFERROR(VLOOKUP($J72,[2]Nod!$A$3:$E$992,4,FALSE)," ")</f>
        <v>CPA115</v>
      </c>
      <c r="M72" s="90">
        <f>IFERROR(VLOOKUP($J72,[2]Nod!$A$3:$E$992,5,FALSE)," ")</f>
        <v>7</v>
      </c>
    </row>
    <row r="73" spans="1:13" ht="15" customHeight="1" x14ac:dyDescent="0.25">
      <c r="A73" s="168" t="s">
        <v>105</v>
      </c>
      <c r="B73" s="109"/>
      <c r="C73" s="137">
        <v>6010</v>
      </c>
      <c r="D73" s="111">
        <v>1.35</v>
      </c>
      <c r="E73" s="112">
        <v>0</v>
      </c>
      <c r="F73" s="90" t="str">
        <f>IFERROR(VLOOKUP($C73,[2]Nod!$A$3:$E$992,4,FALSE)," ")</f>
        <v>LSA34</v>
      </c>
      <c r="G73" s="90">
        <f>IFERROR(VLOOKUP($C73,[2]Nod!$A$3:$E$992,5,FALSE)," ")</f>
        <v>5</v>
      </c>
      <c r="H73" s="114" t="s">
        <v>63</v>
      </c>
      <c r="I73" s="109"/>
      <c r="J73" s="115">
        <v>6059</v>
      </c>
      <c r="K73" s="111">
        <v>0.28050338355614318</v>
      </c>
      <c r="L73" s="90" t="str">
        <f>IFERROR(VLOOKUP($J73,[2]Nod!$A$3:$E$992,4,FALSE)," ")</f>
        <v>LM1115</v>
      </c>
      <c r="M73" s="90">
        <f>IFERROR(VLOOKUP($J73,[2]Nod!$A$3:$E$992,5,FALSE)," ")</f>
        <v>9</v>
      </c>
    </row>
    <row r="74" spans="1:13" ht="15" customHeight="1" x14ac:dyDescent="0.25">
      <c r="A74" s="108" t="s">
        <v>106</v>
      </c>
      <c r="B74" s="109"/>
      <c r="C74" s="137">
        <v>6010</v>
      </c>
      <c r="D74" s="111">
        <v>6.6</v>
      </c>
      <c r="E74" s="112">
        <v>0</v>
      </c>
      <c r="F74" s="90" t="str">
        <f>IFERROR(VLOOKUP($C74,[2]Nod!$A$3:$E$992,4,FALSE)," ")</f>
        <v>LSA34</v>
      </c>
      <c r="G74" s="90">
        <f>IFERROR(VLOOKUP($C74,[2]Nod!$A$3:$E$992,5,FALSE)," ")</f>
        <v>5</v>
      </c>
      <c r="H74" s="116" t="s">
        <v>44</v>
      </c>
      <c r="I74" s="117"/>
      <c r="J74" s="134"/>
      <c r="K74" s="119"/>
      <c r="L74" s="90" t="str">
        <f>IFERROR(VLOOKUP($J74,[2]Nod!$A$3:$E$992,4,FALSE)," ")</f>
        <v xml:space="preserve"> </v>
      </c>
      <c r="M74" s="90" t="str">
        <f>IFERROR(VLOOKUP($J74,[2]Nod!$A$3:$E$992,5,FALSE)," ")</f>
        <v xml:space="preserve"> </v>
      </c>
    </row>
    <row r="75" spans="1:13" ht="15" customHeight="1" x14ac:dyDescent="0.25">
      <c r="A75" s="108" t="s">
        <v>107</v>
      </c>
      <c r="B75" s="109"/>
      <c r="C75" s="137">
        <v>6010</v>
      </c>
      <c r="D75" s="111">
        <v>2.0099999999999998</v>
      </c>
      <c r="E75" s="112">
        <v>13</v>
      </c>
      <c r="F75" s="90" t="str">
        <f>IFERROR(VLOOKUP($C75,[2]Nod!$A$3:$E$992,4,FALSE)," ")</f>
        <v>LSA34</v>
      </c>
      <c r="G75" s="90">
        <f>IFERROR(VLOOKUP($C75,[2]Nod!$A$3:$E$992,5,FALSE)," ")</f>
        <v>5</v>
      </c>
      <c r="H75" s="121">
        <v>10</v>
      </c>
      <c r="I75" s="122"/>
      <c r="J75" s="123"/>
      <c r="K75" s="124">
        <f>SUM(K76:K80)</f>
        <v>87.95</v>
      </c>
      <c r="L75" s="90" t="str">
        <f>IFERROR(VLOOKUP($J75,[2]Nod!$A$3:$E$992,4,FALSE)," ")</f>
        <v xml:space="preserve"> </v>
      </c>
      <c r="M75" s="90" t="str">
        <f>IFERROR(VLOOKUP($J75,[2]Nod!$A$3:$E$992,5,FALSE)," ")</f>
        <v xml:space="preserve"> </v>
      </c>
    </row>
    <row r="76" spans="1:13" ht="15" customHeight="1" x14ac:dyDescent="0.25">
      <c r="A76" s="168" t="s">
        <v>108</v>
      </c>
      <c r="B76" s="109"/>
      <c r="C76" s="137">
        <v>6010</v>
      </c>
      <c r="D76" s="111">
        <v>7.99</v>
      </c>
      <c r="E76" s="112">
        <v>13</v>
      </c>
      <c r="F76" s="90" t="str">
        <f>IFERROR(VLOOKUP($C76,[2]Nod!$A$3:$E$992,4,FALSE)," ")</f>
        <v>LSA34</v>
      </c>
      <c r="G76" s="90">
        <f>IFERROR(VLOOKUP($C76,[2]Nod!$A$3:$E$992,5,FALSE)," ")</f>
        <v>5</v>
      </c>
      <c r="H76" s="113" t="s">
        <v>38</v>
      </c>
      <c r="I76" s="109"/>
      <c r="J76" s="115"/>
      <c r="K76" s="111"/>
      <c r="L76" s="90" t="str">
        <f>IFERROR(VLOOKUP($J76,[2]Nod!$A$3:$E$992,4,FALSE)," ")</f>
        <v xml:space="preserve"> </v>
      </c>
      <c r="M76" s="90" t="str">
        <f>IFERROR(VLOOKUP($J76,[2]Nod!$A$3:$E$992,5,FALSE)," ")</f>
        <v xml:space="preserve"> </v>
      </c>
    </row>
    <row r="77" spans="1:13" ht="15" customHeight="1" x14ac:dyDescent="0.25">
      <c r="A77" s="108" t="s">
        <v>110</v>
      </c>
      <c r="B77" s="109"/>
      <c r="C77" s="137">
        <v>6010</v>
      </c>
      <c r="D77" s="111">
        <v>2.4</v>
      </c>
      <c r="E77" s="112">
        <v>13</v>
      </c>
      <c r="F77" s="90" t="str">
        <f>IFERROR(VLOOKUP($C77,[2]Nod!$A$3:$E$992,4,FALSE)," ")</f>
        <v>LSA34</v>
      </c>
      <c r="G77" s="90">
        <f>IFERROR(VLOOKUP($C77,[2]Nod!$A$3:$E$992,5,FALSE)," ")</f>
        <v>5</v>
      </c>
      <c r="H77" s="114" t="s">
        <v>118</v>
      </c>
      <c r="I77" s="109"/>
      <c r="J77" s="115">
        <v>6340</v>
      </c>
      <c r="K77" s="111">
        <v>26.81</v>
      </c>
      <c r="L77" s="90" t="str">
        <f>IFERROR(VLOOKUP($J77,[2]Nod!$A$3:$E$992,4,FALSE)," ")</f>
        <v>CAN230</v>
      </c>
      <c r="M77" s="90">
        <f>IFERROR(VLOOKUP($J77,[2]Nod!$A$3:$E$992,5,FALSE)," ")</f>
        <v>10</v>
      </c>
    </row>
    <row r="78" spans="1:13" ht="15" customHeight="1" x14ac:dyDescent="0.25">
      <c r="A78" s="108" t="s">
        <v>111</v>
      </c>
      <c r="B78" s="109"/>
      <c r="C78" s="137">
        <v>6010</v>
      </c>
      <c r="D78" s="111">
        <v>10</v>
      </c>
      <c r="E78" s="112">
        <v>13</v>
      </c>
      <c r="F78" s="90" t="str">
        <f>IFERROR(VLOOKUP($C78,[2]Nod!$A$3:$E$992,4,FALSE)," ")</f>
        <v>LSA34</v>
      </c>
      <c r="G78" s="90">
        <f>IFERROR(VLOOKUP($C78,[2]Nod!$A$3:$E$992,5,FALSE)," ")</f>
        <v>5</v>
      </c>
      <c r="H78" s="114" t="s">
        <v>120</v>
      </c>
      <c r="I78" s="109"/>
      <c r="J78" s="115">
        <v>6262</v>
      </c>
      <c r="K78" s="111">
        <v>17.170000000000002</v>
      </c>
      <c r="L78" s="90" t="str">
        <f>IFERROR(VLOOKUP($J78,[2]Nod!$A$3:$E$992,4,FALSE)," ")</f>
        <v>CHA34</v>
      </c>
      <c r="M78" s="90">
        <f>IFERROR(VLOOKUP($J78,[2]Nod!$A$3:$E$992,5,FALSE)," ")</f>
        <v>10</v>
      </c>
    </row>
    <row r="79" spans="1:13" ht="15" customHeight="1" x14ac:dyDescent="0.25">
      <c r="A79" s="120" t="s">
        <v>113</v>
      </c>
      <c r="C79" s="137">
        <v>6010</v>
      </c>
      <c r="D79" s="111">
        <v>0.96</v>
      </c>
      <c r="E79" s="112">
        <v>13</v>
      </c>
      <c r="F79" s="90" t="str">
        <f>IFERROR(VLOOKUP($C79,[2]Nod!$A$3:$E$992,4,FALSE)," ")</f>
        <v>LSA34</v>
      </c>
      <c r="G79" s="90">
        <f>IFERROR(VLOOKUP($C79,[2]Nod!$A$3:$E$992,5,FALSE)," ")</f>
        <v>5</v>
      </c>
      <c r="H79" s="147" t="s">
        <v>123</v>
      </c>
      <c r="I79" s="109"/>
      <c r="J79" s="115">
        <v>6262</v>
      </c>
      <c r="K79" s="111">
        <v>43.97</v>
      </c>
      <c r="L79" s="90" t="str">
        <f>IFERROR(VLOOKUP($J79,[2]Nod!$A$3:$E$992,4,FALSE)," ")</f>
        <v>CHA34</v>
      </c>
      <c r="M79" s="90">
        <f>IFERROR(VLOOKUP($J79,[2]Nod!$A$3:$E$992,5,FALSE)," ")</f>
        <v>10</v>
      </c>
    </row>
    <row r="80" spans="1:13" ht="15" customHeight="1" x14ac:dyDescent="0.25">
      <c r="A80" s="120" t="s">
        <v>114</v>
      </c>
      <c r="C80" s="137">
        <v>6010</v>
      </c>
      <c r="D80" s="111">
        <v>0.96</v>
      </c>
      <c r="E80" s="112">
        <v>13</v>
      </c>
      <c r="F80" s="90" t="str">
        <f>IFERROR(VLOOKUP($C80,[2]Nod!$A$3:$E$992,4,FALSE)," ")</f>
        <v>LSA34</v>
      </c>
      <c r="G80" s="90">
        <f>IFERROR(VLOOKUP($C80,[2]Nod!$A$3:$E$992,5,FALSE)," ")</f>
        <v>5</v>
      </c>
      <c r="H80" s="116" t="s">
        <v>44</v>
      </c>
      <c r="I80" s="117"/>
      <c r="J80" s="134"/>
      <c r="K80" s="119"/>
      <c r="L80" s="90" t="str">
        <f>IFERROR(VLOOKUP($J80,[2]Nod!$A$3:$E$992,4,FALSE)," ")</f>
        <v xml:space="preserve"> </v>
      </c>
      <c r="M80" s="90" t="str">
        <f>IFERROR(VLOOKUP($J80,[2]Nod!$A$3:$E$992,5,FALSE)," ")</f>
        <v xml:space="preserve"> </v>
      </c>
    </row>
    <row r="81" spans="1:13" ht="15" customHeight="1" x14ac:dyDescent="0.25">
      <c r="A81" s="120" t="s">
        <v>115</v>
      </c>
      <c r="C81" s="137">
        <v>6010</v>
      </c>
      <c r="D81" s="111">
        <v>0.48</v>
      </c>
      <c r="E81" s="112">
        <v>13</v>
      </c>
      <c r="F81" s="90" t="str">
        <f>IFERROR(VLOOKUP($C81,[2]Nod!$A$3:$E$992,4,FALSE)," ")</f>
        <v>LSA34</v>
      </c>
      <c r="G81" s="90">
        <f>IFERROR(VLOOKUP($C81,[2]Nod!$A$3:$E$992,5,FALSE)," ")</f>
        <v>5</v>
      </c>
      <c r="L81" s="90" t="str">
        <f>IFERROR(VLOOKUP($J81,[2]Nod!$A$3:$E$992,4,FALSE)," ")</f>
        <v xml:space="preserve"> </v>
      </c>
      <c r="M81" s="90" t="str">
        <f>IFERROR(VLOOKUP($J81,[2]Nod!$A$3:$E$992,5,FALSE)," ")</f>
        <v xml:space="preserve"> </v>
      </c>
    </row>
    <row r="82" spans="1:13" ht="15" customHeight="1" x14ac:dyDescent="0.25">
      <c r="A82" s="120" t="s">
        <v>116</v>
      </c>
      <c r="C82" s="137">
        <v>6010</v>
      </c>
      <c r="D82" s="111">
        <v>8.99</v>
      </c>
      <c r="E82" s="112">
        <v>13</v>
      </c>
      <c r="F82" s="90" t="str">
        <f>IFERROR(VLOOKUP($C82,[2]Nod!$A$3:$E$992,4,FALSE)," ")</f>
        <v>LSA34</v>
      </c>
      <c r="G82" s="90">
        <f>IFERROR(VLOOKUP($C82,[2]Nod!$A$3:$E$992,5,FALSE)," ")</f>
        <v>5</v>
      </c>
      <c r="L82" s="90" t="str">
        <f>IFERROR(VLOOKUP($J82,[2]Nod!$A$3:$E$992,4,FALSE)," ")</f>
        <v xml:space="preserve"> </v>
      </c>
      <c r="M82" s="90" t="str">
        <f>IFERROR(VLOOKUP($J82,[2]Nod!$A$3:$E$992,5,FALSE)," ")</f>
        <v xml:space="preserve"> </v>
      </c>
    </row>
    <row r="83" spans="1:13" ht="15" customHeight="1" x14ac:dyDescent="0.25">
      <c r="A83" s="120" t="s">
        <v>117</v>
      </c>
      <c r="C83" s="137">
        <v>6010</v>
      </c>
      <c r="D83" s="111">
        <v>8.99</v>
      </c>
      <c r="E83" s="112">
        <v>13</v>
      </c>
      <c r="F83" s="90" t="str">
        <f>IFERROR(VLOOKUP($C83,[2]Nod!$A$3:$E$992,4,FALSE)," ")</f>
        <v>LSA34</v>
      </c>
      <c r="G83" s="90">
        <f>IFERROR(VLOOKUP($C83,[2]Nod!$A$3:$E$992,5,FALSE)," ")</f>
        <v>5</v>
      </c>
      <c r="L83" s="90" t="str">
        <f>IFERROR(VLOOKUP($J83,[2]Nod!$A$3:$E$992,4,FALSE)," ")</f>
        <v xml:space="preserve"> </v>
      </c>
      <c r="M83" s="90" t="str">
        <f>IFERROR(VLOOKUP($J83,[2]Nod!$A$3:$E$992,5,FALSE)," ")</f>
        <v xml:space="preserve"> </v>
      </c>
    </row>
    <row r="84" spans="1:13" ht="15" customHeight="1" x14ac:dyDescent="0.25">
      <c r="A84" s="120" t="s">
        <v>119</v>
      </c>
      <c r="C84" s="137">
        <v>6010</v>
      </c>
      <c r="D84" s="111">
        <v>9.52</v>
      </c>
      <c r="E84" s="112">
        <v>13</v>
      </c>
      <c r="F84" s="90" t="str">
        <f>IFERROR(VLOOKUP($C84,[2]Nod!$A$3:$E$992,4,FALSE)," ")</f>
        <v>LSA34</v>
      </c>
      <c r="G84" s="90">
        <f>IFERROR(VLOOKUP($C84,[2]Nod!$A$3:$E$992,5,FALSE)," ")</f>
        <v>5</v>
      </c>
      <c r="L84" s="90" t="str">
        <f>IFERROR(VLOOKUP($J84,[2]Nod!$A$3:$E$992,4,FALSE)," ")</f>
        <v xml:space="preserve"> </v>
      </c>
      <c r="M84" s="90" t="str">
        <f>IFERROR(VLOOKUP($J84,[2]Nod!$A$3:$E$992,5,FALSE)," ")</f>
        <v xml:space="preserve"> </v>
      </c>
    </row>
    <row r="85" spans="1:13" ht="15" customHeight="1" x14ac:dyDescent="0.25">
      <c r="A85" s="168" t="s">
        <v>122</v>
      </c>
      <c r="C85" s="137">
        <v>6010</v>
      </c>
      <c r="D85" s="111">
        <v>10.78</v>
      </c>
      <c r="E85" s="112">
        <v>13</v>
      </c>
      <c r="F85" s="90" t="str">
        <f>IFERROR(VLOOKUP($C85,[2]Nod!$A$3:$E$992,4,FALSE)," ")</f>
        <v>LSA34</v>
      </c>
      <c r="G85" s="90">
        <f>IFERROR(VLOOKUP($C85,[2]Nod!$A$3:$E$992,5,FALSE)," ")</f>
        <v>5</v>
      </c>
      <c r="L85" s="90" t="str">
        <f>IFERROR(VLOOKUP($J85,[2]Nod!$A$3:$E$992,4,FALSE)," ")</f>
        <v xml:space="preserve"> </v>
      </c>
      <c r="M85" s="90" t="str">
        <f>IFERROR(VLOOKUP($J85,[2]Nod!$A$3:$E$992,5,FALSE)," ")</f>
        <v xml:space="preserve"> </v>
      </c>
    </row>
    <row r="86" spans="1:13" ht="15" customHeight="1" x14ac:dyDescent="0.25">
      <c r="A86" s="168" t="s">
        <v>124</v>
      </c>
      <c r="C86" s="137">
        <v>6010</v>
      </c>
      <c r="D86" s="111">
        <v>8.5</v>
      </c>
      <c r="E86" s="112">
        <v>13</v>
      </c>
      <c r="F86" s="90" t="str">
        <f>IFERROR(VLOOKUP($C86,[2]Nod!$A$3:$E$992,4,FALSE)," ")</f>
        <v>LSA34</v>
      </c>
      <c r="G86" s="90">
        <f>IFERROR(VLOOKUP($C86,[2]Nod!$A$3:$E$992,5,FALSE)," ")</f>
        <v>5</v>
      </c>
      <c r="L86" s="90" t="str">
        <f>IFERROR(VLOOKUP($J86,[2]Nod!$A$3:$E$992,4,FALSE)," ")</f>
        <v xml:space="preserve"> </v>
      </c>
      <c r="M86" s="90" t="str">
        <f>IFERROR(VLOOKUP($J86,[2]Nod!$A$3:$E$992,5,FALSE)," ")</f>
        <v xml:space="preserve"> </v>
      </c>
    </row>
    <row r="87" spans="1:13" ht="15" customHeight="1" x14ac:dyDescent="0.25">
      <c r="A87" s="120" t="s">
        <v>125</v>
      </c>
      <c r="C87" s="137">
        <v>6010</v>
      </c>
      <c r="D87" s="111">
        <v>10</v>
      </c>
      <c r="E87" s="112">
        <v>13</v>
      </c>
      <c r="F87" s="90" t="str">
        <f>IFERROR(VLOOKUP($C87,[2]Nod!$A$3:$E$992,4,FALSE)," ")</f>
        <v>LSA34</v>
      </c>
      <c r="G87" s="90">
        <f>IFERROR(VLOOKUP($C87,[2]Nod!$A$3:$E$992,5,FALSE)," ")</f>
        <v>5</v>
      </c>
      <c r="L87" s="90" t="str">
        <f>IFERROR(VLOOKUP($J87,[2]Nod!$A$3:$E$992,4,FALSE)," ")</f>
        <v xml:space="preserve"> </v>
      </c>
      <c r="M87" s="90" t="str">
        <f>IFERROR(VLOOKUP($J87,[2]Nod!$A$3:$E$992,5,FALSE)," ")</f>
        <v xml:space="preserve"> </v>
      </c>
    </row>
    <row r="88" spans="1:13" ht="15" customHeight="1" x14ac:dyDescent="0.25">
      <c r="A88" s="120" t="s">
        <v>126</v>
      </c>
      <c r="C88" s="137">
        <v>6010</v>
      </c>
      <c r="D88" s="111">
        <v>10</v>
      </c>
      <c r="E88" s="112">
        <v>13</v>
      </c>
      <c r="F88" s="90" t="str">
        <f>IFERROR(VLOOKUP($C88,[2]Nod!$A$3:$E$992,4,FALSE)," ")</f>
        <v>LSA34</v>
      </c>
      <c r="G88" s="90">
        <f>IFERROR(VLOOKUP($C88,[2]Nod!$A$3:$E$992,5,FALSE)," ")</f>
        <v>5</v>
      </c>
      <c r="L88" s="90" t="str">
        <f>IFERROR(VLOOKUP($J88,[2]Nod!$A$3:$E$992,4,FALSE)," ")</f>
        <v xml:space="preserve"> </v>
      </c>
      <c r="M88" s="90" t="str">
        <f>IFERROR(VLOOKUP($J88,[2]Nod!$A$3:$E$992,5,FALSE)," ")</f>
        <v xml:space="preserve"> </v>
      </c>
    </row>
    <row r="89" spans="1:13" ht="15" customHeight="1" x14ac:dyDescent="0.25">
      <c r="A89" s="108" t="s">
        <v>127</v>
      </c>
      <c r="B89" s="109"/>
      <c r="C89" s="115">
        <v>6460</v>
      </c>
      <c r="D89" s="111">
        <v>55</v>
      </c>
      <c r="E89" s="112">
        <v>13</v>
      </c>
      <c r="F89" s="90" t="str">
        <f>IFERROR(VLOOKUP($C89,[2]Nod!$A$3:$E$992,4,FALSE)," ")</f>
        <v>ECO230</v>
      </c>
      <c r="G89" s="90">
        <f>IFERROR(VLOOKUP($C89,[2]Nod!$A$3:$E$992,5,FALSE)," ")</f>
        <v>5</v>
      </c>
      <c r="L89" s="90" t="str">
        <f>IFERROR(VLOOKUP($J89,[2]Nod!$A$3:$E$992,4,FALSE)," ")</f>
        <v xml:space="preserve"> </v>
      </c>
      <c r="M89" s="90" t="str">
        <f>IFERROR(VLOOKUP($J89,[2]Nod!$A$3:$E$992,5,FALSE)," ")</f>
        <v xml:space="preserve"> </v>
      </c>
    </row>
    <row r="90" spans="1:13" ht="15" customHeight="1" x14ac:dyDescent="0.25">
      <c r="A90" s="108" t="s">
        <v>128</v>
      </c>
      <c r="B90" s="109"/>
      <c r="C90" s="115">
        <v>6460</v>
      </c>
      <c r="D90" s="111">
        <v>17.5</v>
      </c>
      <c r="E90" s="112">
        <v>13</v>
      </c>
      <c r="F90" s="90" t="str">
        <f>IFERROR(VLOOKUP($C90,[2]Nod!$A$3:$E$992,4,FALSE)," ")</f>
        <v>ECO230</v>
      </c>
      <c r="G90" s="90">
        <f>IFERROR(VLOOKUP($C90,[2]Nod!$A$3:$E$992,5,FALSE)," ")</f>
        <v>5</v>
      </c>
      <c r="L90" s="90" t="str">
        <f>IFERROR(VLOOKUP($J90,[2]Nod!$A$3:$E$992,4,FALSE)," ")</f>
        <v xml:space="preserve"> </v>
      </c>
      <c r="M90" s="90" t="str">
        <f>IFERROR(VLOOKUP($J90,[2]Nod!$A$3:$E$992,5,FALSE)," ")</f>
        <v xml:space="preserve"> </v>
      </c>
    </row>
    <row r="91" spans="1:13" ht="15" customHeight="1" x14ac:dyDescent="0.25">
      <c r="A91" s="108" t="s">
        <v>129</v>
      </c>
      <c r="B91" s="109"/>
      <c r="C91" s="115">
        <v>6460</v>
      </c>
      <c r="D91" s="111">
        <v>52.5</v>
      </c>
      <c r="E91" s="112">
        <v>13</v>
      </c>
      <c r="F91" s="90" t="str">
        <f>IFERROR(VLOOKUP($C91,[2]Nod!$A$3:$E$992,4,FALSE)," ")</f>
        <v>ECO230</v>
      </c>
      <c r="G91" s="90">
        <f>IFERROR(VLOOKUP($C91,[2]Nod!$A$3:$E$992,5,FALSE)," ")</f>
        <v>5</v>
      </c>
      <c r="L91" s="90" t="str">
        <f>IFERROR(VLOOKUP($J91,[2]Nod!$A$3:$E$992,4,FALSE)," ")</f>
        <v xml:space="preserve"> </v>
      </c>
      <c r="M91" s="90" t="str">
        <f>IFERROR(VLOOKUP($J91,[2]Nod!$A$3:$E$992,5,FALSE)," ")</f>
        <v xml:space="preserve"> </v>
      </c>
    </row>
    <row r="92" spans="1:13" ht="15" customHeight="1" x14ac:dyDescent="0.25">
      <c r="A92" s="108" t="s">
        <v>130</v>
      </c>
      <c r="B92" s="109"/>
      <c r="C92" s="115">
        <v>6460</v>
      </c>
      <c r="D92" s="111">
        <v>62.5</v>
      </c>
      <c r="E92" s="112">
        <v>13</v>
      </c>
      <c r="F92" s="90" t="str">
        <f>IFERROR(VLOOKUP($C92,[2]Nod!$A$3:$E$992,4,FALSE)," ")</f>
        <v>ECO230</v>
      </c>
      <c r="G92" s="90">
        <f>IFERROR(VLOOKUP($C92,[2]Nod!$A$3:$E$992,5,FALSE)," ")</f>
        <v>5</v>
      </c>
      <c r="L92" s="90"/>
      <c r="M92" s="90"/>
    </row>
    <row r="93" spans="1:13" ht="15" customHeight="1" x14ac:dyDescent="0.25">
      <c r="A93" s="108" t="s">
        <v>131</v>
      </c>
      <c r="B93" s="109"/>
      <c r="C93" s="115">
        <v>6460</v>
      </c>
      <c r="D93" s="111">
        <v>32.5</v>
      </c>
      <c r="E93" s="112">
        <v>13</v>
      </c>
      <c r="F93" s="90" t="str">
        <f>IFERROR(VLOOKUP($C93,[2]Nod!$A$3:$E$992,4,FALSE)," ")</f>
        <v>ECO230</v>
      </c>
      <c r="G93" s="90">
        <f>IFERROR(VLOOKUP($C93,[2]Nod!$A$3:$E$992,5,FALSE)," ")</f>
        <v>5</v>
      </c>
      <c r="L93" s="90"/>
      <c r="M93" s="90"/>
    </row>
    <row r="94" spans="1:13" ht="15" customHeight="1" x14ac:dyDescent="0.25">
      <c r="A94" s="135" t="s">
        <v>132</v>
      </c>
      <c r="B94" s="109"/>
      <c r="C94" s="137">
        <v>6240</v>
      </c>
      <c r="D94" s="111">
        <v>4.3</v>
      </c>
      <c r="E94" s="112">
        <v>0</v>
      </c>
      <c r="F94" s="90" t="str">
        <f>IFERROR(VLOOKUP($C94,[2]Nod!$A$3:$E$992,4,FALSE)," ")</f>
        <v>EHIG230</v>
      </c>
      <c r="G94" s="90">
        <f>IFERROR(VLOOKUP($C94,[2]Nod!$A$3:$E$992,5,FALSE)," ")</f>
        <v>5</v>
      </c>
      <c r="L94" s="90"/>
      <c r="M94" s="90"/>
    </row>
    <row r="95" spans="1:13" ht="15" customHeight="1" x14ac:dyDescent="0.25">
      <c r="A95" s="168" t="s">
        <v>133</v>
      </c>
      <c r="B95" s="109"/>
      <c r="C95" s="137">
        <v>6010</v>
      </c>
      <c r="D95" s="111">
        <v>10</v>
      </c>
      <c r="E95" s="112">
        <v>13</v>
      </c>
      <c r="F95" s="90" t="str">
        <f>IFERROR(VLOOKUP($C95,[2]Nod!$A$3:$E$992,4,FALSE)," ")</f>
        <v>LSA34</v>
      </c>
      <c r="G95" s="90">
        <f>IFERROR(VLOOKUP($C95,[2]Nod!$A$3:$E$992,5,FALSE)," ")</f>
        <v>5</v>
      </c>
      <c r="L95" s="90" t="str">
        <f>IFERROR(VLOOKUP($J95,[2]Nod!$A$3:$E$992,4,FALSE)," ")</f>
        <v xml:space="preserve"> </v>
      </c>
      <c r="M95" s="90" t="str">
        <f>IFERROR(VLOOKUP($J95,[2]Nod!$A$3:$E$992,5,FALSE)," ")</f>
        <v xml:space="preserve"> </v>
      </c>
    </row>
    <row r="96" spans="1:13" ht="15" customHeight="1" x14ac:dyDescent="0.25">
      <c r="A96" s="168" t="s">
        <v>134</v>
      </c>
      <c r="B96" s="109"/>
      <c r="C96" s="137">
        <v>6010</v>
      </c>
      <c r="D96" s="111">
        <v>16</v>
      </c>
      <c r="E96" s="112">
        <v>13</v>
      </c>
      <c r="F96" s="90" t="str">
        <f>IFERROR(VLOOKUP($C96,[2]Nod!$A$3:$E$992,4,FALSE)," ")</f>
        <v>LSA34</v>
      </c>
      <c r="G96" s="90">
        <f>IFERROR(VLOOKUP($C96,[2]Nod!$A$3:$E$992,5,FALSE)," ")</f>
        <v>5</v>
      </c>
      <c r="L96" s="90"/>
      <c r="M96" s="90"/>
    </row>
    <row r="97" spans="1:13" ht="15" customHeight="1" x14ac:dyDescent="0.25">
      <c r="A97" s="168" t="s">
        <v>135</v>
      </c>
      <c r="B97" s="109"/>
      <c r="C97" s="137">
        <v>6010</v>
      </c>
      <c r="D97" s="111">
        <v>4.79</v>
      </c>
      <c r="E97" s="112">
        <v>13</v>
      </c>
      <c r="F97" s="90" t="str">
        <f>IFERROR(VLOOKUP($C97,[2]Nod!$A$3:$E$992,4,FALSE)," ")</f>
        <v>LSA34</v>
      </c>
      <c r="G97" s="90">
        <f>IFERROR(VLOOKUP($C97,[2]Nod!$A$3:$E$992,5,FALSE)," ")</f>
        <v>5</v>
      </c>
      <c r="L97" s="90"/>
      <c r="M97" s="90"/>
    </row>
    <row r="98" spans="1:13" ht="15" customHeight="1" x14ac:dyDescent="0.25">
      <c r="A98" s="167" t="s">
        <v>160</v>
      </c>
      <c r="B98" s="109"/>
      <c r="C98" s="137">
        <v>6010</v>
      </c>
      <c r="D98" s="111">
        <v>9.9</v>
      </c>
      <c r="E98" s="112">
        <v>13</v>
      </c>
      <c r="F98" s="90" t="str">
        <f>IFERROR(VLOOKUP($C98,[2]Nod!$A$3:$E$992,4,FALSE)," ")</f>
        <v>LSA34</v>
      </c>
      <c r="G98" s="90">
        <f>IFERROR(VLOOKUP($C98,[2]Nod!$A$3:$E$992,5,FALSE)," ")</f>
        <v>5</v>
      </c>
      <c r="L98" s="90"/>
      <c r="M98" s="90"/>
    </row>
    <row r="99" spans="1:13" ht="15" customHeight="1" x14ac:dyDescent="0.25">
      <c r="A99" s="167" t="s">
        <v>161</v>
      </c>
      <c r="B99" s="109"/>
      <c r="C99" s="137">
        <v>6009</v>
      </c>
      <c r="D99" s="111">
        <v>44.33</v>
      </c>
      <c r="E99" s="112">
        <v>6</v>
      </c>
      <c r="F99" s="90" t="str">
        <f>IFERROR(VLOOKUP($C99,[2]Nod!$A$3:$E$992,4,FALSE)," ")</f>
        <v>LSA115</v>
      </c>
      <c r="G99" s="90">
        <f>IFERROR(VLOOKUP($C99,[2]Nod!$A$3:$E$992,5,FALSE)," ")</f>
        <v>5</v>
      </c>
      <c r="L99" s="90"/>
      <c r="M99" s="90"/>
    </row>
    <row r="100" spans="1:13" ht="15" customHeight="1" x14ac:dyDescent="0.25">
      <c r="A100" s="167" t="s">
        <v>162</v>
      </c>
      <c r="B100" s="109"/>
      <c r="C100" s="137">
        <v>6010</v>
      </c>
      <c r="D100" s="111">
        <v>9.99</v>
      </c>
      <c r="E100" s="112">
        <v>13</v>
      </c>
      <c r="F100" s="90" t="str">
        <f>IFERROR(VLOOKUP($C100,[2]Nod!$A$3:$E$992,4,FALSE)," ")</f>
        <v>LSA34</v>
      </c>
      <c r="G100" s="90">
        <f>IFERROR(VLOOKUP($C100,[2]Nod!$A$3:$E$992,5,FALSE)," ")</f>
        <v>5</v>
      </c>
      <c r="L100" s="90"/>
      <c r="M100" s="90"/>
    </row>
    <row r="101" spans="1:13" ht="15" customHeight="1" x14ac:dyDescent="0.25">
      <c r="A101" s="167" t="s">
        <v>163</v>
      </c>
      <c r="C101" s="115">
        <v>6830</v>
      </c>
      <c r="D101" s="129">
        <v>102</v>
      </c>
      <c r="E101" s="136">
        <v>13</v>
      </c>
      <c r="F101" s="90" t="str">
        <f>IFERROR(VLOOKUP($C101,[2]Nod!$A$3:$E$992,4,FALSE)," ")</f>
        <v>ANT230</v>
      </c>
      <c r="G101" s="90">
        <f>IFERROR(VLOOKUP($C101,[2]Nod!$A$3:$E$992,5,FALSE)," ")</f>
        <v>5</v>
      </c>
      <c r="L101" s="90"/>
      <c r="M101" s="90"/>
    </row>
    <row r="102" spans="1:13" ht="15" customHeight="1" x14ac:dyDescent="0.25">
      <c r="A102" s="167" t="s">
        <v>164</v>
      </c>
      <c r="C102" s="115">
        <v>6460</v>
      </c>
      <c r="D102" s="129">
        <v>69</v>
      </c>
      <c r="E102" s="136">
        <v>13</v>
      </c>
      <c r="F102" s="90" t="str">
        <f>IFERROR(VLOOKUP($C102,[2]Nod!$A$3:$E$992,4,FALSE)," ")</f>
        <v>ECO230</v>
      </c>
      <c r="G102" s="90">
        <f>IFERROR(VLOOKUP($C102,[2]Nod!$A$3:$E$992,5,FALSE)," ")</f>
        <v>5</v>
      </c>
      <c r="L102" s="90"/>
      <c r="M102" s="90"/>
    </row>
    <row r="103" spans="1:13" ht="15" customHeight="1" x14ac:dyDescent="0.25">
      <c r="A103" s="114" t="s">
        <v>44</v>
      </c>
      <c r="B103" s="109"/>
      <c r="C103" s="110"/>
      <c r="D103" s="129"/>
      <c r="E103" s="112"/>
      <c r="F103" s="90" t="str">
        <f>IFERROR(VLOOKUP($C103,[2]Nod!$A$3:$E$992,4,FALSE)," ")</f>
        <v xml:space="preserve"> </v>
      </c>
      <c r="G103" s="90" t="str">
        <f>IFERROR(VLOOKUP($C103,[2]Nod!$A$3:$E$992,5,FALSE)," ")</f>
        <v xml:space="preserve"> </v>
      </c>
      <c r="L103" s="90"/>
      <c r="M103" s="90"/>
    </row>
    <row r="104" spans="1:13" ht="15" customHeight="1" x14ac:dyDescent="0.25">
      <c r="A104" s="121">
        <v>6</v>
      </c>
      <c r="B104" s="122"/>
      <c r="C104" s="123"/>
      <c r="D104" s="124">
        <f>SUM(D105:D107)</f>
        <v>147</v>
      </c>
      <c r="E104" s="128"/>
      <c r="F104" s="90" t="str">
        <f>IFERROR(VLOOKUP($C104,[2]Nod!$A$3:$E$992,4,FALSE)," ")</f>
        <v xml:space="preserve"> </v>
      </c>
      <c r="G104" s="90" t="str">
        <f>IFERROR(VLOOKUP($C104,[2]Nod!$A$3:$E$992,5,FALSE)," ")</f>
        <v xml:space="preserve"> </v>
      </c>
      <c r="K104" s="156"/>
      <c r="L104" s="90"/>
      <c r="M104" s="90"/>
    </row>
    <row r="105" spans="1:13" ht="15" customHeight="1" x14ac:dyDescent="0.25">
      <c r="A105" s="108" t="s">
        <v>136</v>
      </c>
      <c r="B105" s="109"/>
      <c r="C105" s="115">
        <v>6005</v>
      </c>
      <c r="D105" s="111">
        <v>97</v>
      </c>
      <c r="E105" s="112">
        <v>0</v>
      </c>
      <c r="F105" s="90" t="str">
        <f>IFERROR(VLOOKUP($C105,[2]Nod!$A$3:$E$992,4,FALSE)," ")</f>
        <v>CHO230</v>
      </c>
      <c r="G105" s="90">
        <f>IFERROR(VLOOKUP($C105,[2]Nod!$A$3:$E$992,5,FALSE)," ")</f>
        <v>6</v>
      </c>
      <c r="L105" s="90"/>
      <c r="M105" s="90"/>
    </row>
    <row r="106" spans="1:13" ht="15" customHeight="1" x14ac:dyDescent="0.25">
      <c r="A106" s="108" t="s">
        <v>137</v>
      </c>
      <c r="B106" s="109"/>
      <c r="C106" s="115">
        <v>6005</v>
      </c>
      <c r="D106" s="111">
        <v>50</v>
      </c>
      <c r="E106" s="136">
        <v>0</v>
      </c>
      <c r="F106" s="90" t="str">
        <f>IFERROR(VLOOKUP($C106,[2]Nod!$A$3:$E$992,4,FALSE)," ")</f>
        <v>CHO230</v>
      </c>
      <c r="G106" s="90">
        <f>IFERROR(VLOOKUP($C106,[2]Nod!$A$3:$E$992,5,FALSE)," ")</f>
        <v>6</v>
      </c>
      <c r="L106" s="90"/>
      <c r="M106" s="90"/>
    </row>
    <row r="107" spans="1:13" ht="15" customHeight="1" x14ac:dyDescent="0.25">
      <c r="A107" s="148" t="s">
        <v>44</v>
      </c>
      <c r="B107" s="117"/>
      <c r="C107" s="118"/>
      <c r="D107" s="125"/>
      <c r="E107" s="133"/>
      <c r="F107" s="90" t="str">
        <f>IFERROR(VLOOKUP($C107,[2]Nod!$A$3:$E$992,4,FALSE)," ")</f>
        <v xml:space="preserve"> </v>
      </c>
      <c r="G107" s="90" t="str">
        <f>IFERROR(VLOOKUP($C107,[2]Nod!$A$3:$E$992,5,FALSE)," ")</f>
        <v xml:space="preserve"> </v>
      </c>
      <c r="L107" s="90"/>
      <c r="M107" s="90"/>
    </row>
    <row r="108" spans="1:13" ht="15" customHeight="1" x14ac:dyDescent="0.25">
      <c r="A108" s="103">
        <v>7</v>
      </c>
      <c r="B108" s="104"/>
      <c r="C108" s="105"/>
      <c r="D108" s="106">
        <f>SUM(D109:D113)</f>
        <v>576.98</v>
      </c>
      <c r="E108" s="107"/>
      <c r="F108" s="90" t="str">
        <f>IFERROR(VLOOKUP($C108,[2]Nod!$A$3:$E$992,4,FALSE)," ")</f>
        <v xml:space="preserve"> </v>
      </c>
      <c r="G108" s="90" t="str">
        <f>IFERROR(VLOOKUP($C108,[2]Nod!$A$3:$E$992,5,FALSE)," ")</f>
        <v xml:space="preserve"> </v>
      </c>
      <c r="L108" s="90"/>
      <c r="M108" s="90"/>
    </row>
    <row r="109" spans="1:13" ht="15" customHeight="1" x14ac:dyDescent="0.25">
      <c r="A109" s="120" t="s">
        <v>138</v>
      </c>
      <c r="B109" s="149"/>
      <c r="C109" s="115">
        <v>6018</v>
      </c>
      <c r="D109" s="111">
        <v>135.63</v>
      </c>
      <c r="E109" s="136">
        <v>0</v>
      </c>
      <c r="F109" s="90" t="str">
        <f>IFERROR(VLOOKUP($C109,[2]Nod!$A$3:$E$992,4,FALSE)," ")</f>
        <v>CAC115</v>
      </c>
      <c r="G109" s="90">
        <f>IFERROR(VLOOKUP($C109,[2]Nod!$A$3:$E$992,5,FALSE)," ")</f>
        <v>7</v>
      </c>
      <c r="K109" s="156"/>
      <c r="L109" s="90"/>
      <c r="M109" s="90"/>
    </row>
    <row r="110" spans="1:13" ht="15" customHeight="1" x14ac:dyDescent="0.25">
      <c r="A110" s="108" t="s">
        <v>139</v>
      </c>
      <c r="B110" s="109"/>
      <c r="C110" s="115">
        <v>6170</v>
      </c>
      <c r="D110" s="111">
        <v>50.35</v>
      </c>
      <c r="E110" s="112">
        <v>0</v>
      </c>
      <c r="F110" s="90" t="str">
        <f>IFERROR(VLOOKUP($C110,[2]Nod!$A$3:$E$992,4,FALSE)," ")</f>
        <v>CPA115</v>
      </c>
      <c r="G110" s="90">
        <f>IFERROR(VLOOKUP($C110,[2]Nod!$A$3:$E$992,5,FALSE)," ")</f>
        <v>7</v>
      </c>
      <c r="K110" s="156"/>
      <c r="L110" s="90"/>
      <c r="M110" s="90"/>
    </row>
    <row r="111" spans="1:13" ht="15" customHeight="1" x14ac:dyDescent="0.25">
      <c r="A111" s="120" t="s">
        <v>140</v>
      </c>
      <c r="B111" s="109"/>
      <c r="C111" s="115">
        <v>6002</v>
      </c>
      <c r="D111" s="111">
        <v>10</v>
      </c>
      <c r="E111" s="112">
        <v>0</v>
      </c>
      <c r="F111" s="90" t="str">
        <f>IFERROR(VLOOKUP($C111,[2]Nod!$A$3:$E$992,4,FALSE)," ")</f>
        <v>PAN115</v>
      </c>
      <c r="G111" s="90">
        <f>IFERROR(VLOOKUP($C111,[2]Nod!$A$3:$E$992,5,FALSE)," ")</f>
        <v>7</v>
      </c>
      <c r="K111" s="156"/>
      <c r="L111" s="90"/>
      <c r="M111" s="90"/>
    </row>
    <row r="112" spans="1:13" ht="15" customHeight="1" x14ac:dyDescent="0.25">
      <c r="A112" s="168" t="s">
        <v>141</v>
      </c>
      <c r="B112" s="109"/>
      <c r="C112" s="115">
        <v>6003</v>
      </c>
      <c r="D112" s="111">
        <v>381</v>
      </c>
      <c r="E112" s="136">
        <v>0</v>
      </c>
      <c r="F112" s="90" t="str">
        <f>IFERROR(VLOOKUP($C112,[2]Nod!$A$3:$E$992,4,FALSE)," ")</f>
        <v>PANII230</v>
      </c>
      <c r="G112" s="90">
        <f>IFERROR(VLOOKUP($C112,[2]Nod!$A$3:$E$992,5,FALSE)," ")</f>
        <v>7</v>
      </c>
      <c r="K112" s="156"/>
      <c r="L112" s="90"/>
      <c r="M112" s="90"/>
    </row>
    <row r="113" spans="1:13" ht="15" customHeight="1" x14ac:dyDescent="0.25">
      <c r="A113" s="114" t="s">
        <v>44</v>
      </c>
      <c r="B113" s="150"/>
      <c r="C113" s="151"/>
      <c r="D113" s="152"/>
      <c r="E113" s="153"/>
      <c r="F113" s="90" t="str">
        <f>IFERROR(VLOOKUP($C113,[2]Nod!$A$3:$E$992,4,FALSE)," ")</f>
        <v xml:space="preserve"> </v>
      </c>
      <c r="G113" s="90" t="str">
        <f>IFERROR(VLOOKUP($C113,[2]Nod!$A$3:$E$992,5,FALSE)," ")</f>
        <v xml:space="preserve"> </v>
      </c>
      <c r="K113" s="156"/>
      <c r="L113" s="90"/>
      <c r="M113" s="90"/>
    </row>
    <row r="114" spans="1:13" ht="15" customHeight="1" x14ac:dyDescent="0.25">
      <c r="A114" s="121">
        <v>8</v>
      </c>
      <c r="B114" s="154"/>
      <c r="C114" s="123"/>
      <c r="D114" s="124">
        <f>SUM(D115:D116)</f>
        <v>260</v>
      </c>
      <c r="E114" s="128"/>
      <c r="F114" s="90" t="str">
        <f>IFERROR(VLOOKUP($C114,[2]Nod!$A$3:$E$992,4,FALSE)," ")</f>
        <v xml:space="preserve"> </v>
      </c>
      <c r="G114" s="90" t="str">
        <f>IFERROR(VLOOKUP($C114,[2]Nod!$A$3:$E$992,5,FALSE)," ")</f>
        <v xml:space="preserve"> </v>
      </c>
      <c r="K114" s="156"/>
      <c r="L114" s="90"/>
      <c r="M114" s="90"/>
    </row>
    <row r="115" spans="1:13" ht="15" customHeight="1" x14ac:dyDescent="0.25">
      <c r="A115" s="108" t="s">
        <v>142</v>
      </c>
      <c r="B115" s="109"/>
      <c r="C115" s="115">
        <v>6100</v>
      </c>
      <c r="D115" s="111">
        <v>260</v>
      </c>
      <c r="E115" s="112">
        <v>0</v>
      </c>
      <c r="F115" s="90" t="str">
        <f>IFERROR(VLOOKUP($C115,[2]Nod!$A$3:$E$992,4,FALSE)," ")</f>
        <v>BAY230</v>
      </c>
      <c r="G115" s="90">
        <f>IFERROR(VLOOKUP($C115,[2]Nod!$A$3:$E$992,5,FALSE)," ")</f>
        <v>8</v>
      </c>
      <c r="K115" s="156"/>
      <c r="L115" s="90"/>
      <c r="M115" s="90"/>
    </row>
    <row r="116" spans="1:13" ht="15" customHeight="1" x14ac:dyDescent="0.25">
      <c r="A116" s="114" t="s">
        <v>44</v>
      </c>
      <c r="B116" s="117"/>
      <c r="C116" s="118"/>
      <c r="D116" s="125"/>
      <c r="E116" s="133"/>
      <c r="F116" s="90" t="str">
        <f>IFERROR(VLOOKUP($C116,[2]Nod!$A$3:$E$992,4,FALSE)," ")</f>
        <v xml:space="preserve"> </v>
      </c>
      <c r="G116" s="90" t="str">
        <f>IFERROR(VLOOKUP($C116,[2]Nod!$A$3:$E$992,5,FALSE)," ")</f>
        <v xml:space="preserve"> </v>
      </c>
      <c r="K116" s="156"/>
      <c r="L116" s="90"/>
      <c r="M116" s="90"/>
    </row>
    <row r="117" spans="1:13" ht="15" customHeight="1" x14ac:dyDescent="0.25">
      <c r="A117" s="121">
        <v>9</v>
      </c>
      <c r="B117" s="154"/>
      <c r="C117" s="155"/>
      <c r="D117" s="106">
        <f>SUM(D118:D126)</f>
        <v>792.53</v>
      </c>
      <c r="E117" s="107"/>
      <c r="F117" s="90" t="str">
        <f>IFERROR(VLOOKUP($C117,[2]Nod!$A$3:$E$992,4,FALSE)," ")</f>
        <v xml:space="preserve"> </v>
      </c>
      <c r="G117" s="90" t="str">
        <f>IFERROR(VLOOKUP($C117,[2]Nod!$A$3:$E$992,5,FALSE)," ")</f>
        <v xml:space="preserve"> </v>
      </c>
      <c r="K117" s="156"/>
      <c r="L117" s="90"/>
      <c r="M117" s="90"/>
    </row>
    <row r="118" spans="1:13" ht="15" customHeight="1" x14ac:dyDescent="0.25">
      <c r="A118" s="108" t="s">
        <v>143</v>
      </c>
      <c r="B118" s="109"/>
      <c r="C118" s="115">
        <v>6059</v>
      </c>
      <c r="D118" s="111">
        <v>160</v>
      </c>
      <c r="E118" s="112">
        <v>0</v>
      </c>
      <c r="F118" s="90" t="str">
        <f>IFERROR(VLOOKUP($C118,[2]Nod!$A$3:$E$992,4,FALSE)," ")</f>
        <v>LM1115</v>
      </c>
      <c r="G118" s="90">
        <f>IFERROR(VLOOKUP($C118,[2]Nod!$A$3:$E$992,5,FALSE)," ")</f>
        <v>9</v>
      </c>
      <c r="K118" s="156"/>
      <c r="L118" s="90"/>
      <c r="M118" s="90"/>
    </row>
    <row r="119" spans="1:13" ht="15" customHeight="1" x14ac:dyDescent="0.25">
      <c r="A119" s="108" t="s">
        <v>144</v>
      </c>
      <c r="B119" s="109"/>
      <c r="C119" s="115">
        <v>6060</v>
      </c>
      <c r="D119" s="111">
        <v>120</v>
      </c>
      <c r="E119" s="112">
        <v>0</v>
      </c>
      <c r="F119" s="90" t="str">
        <f>IFERROR(VLOOKUP($C119,[2]Nod!$A$3:$E$992,4,FALSE)," ")</f>
        <v>LM2115</v>
      </c>
      <c r="G119" s="90">
        <f>IFERROR(VLOOKUP($C119,[2]Nod!$A$3:$E$992,5,FALSE)," ")</f>
        <v>9</v>
      </c>
      <c r="K119" s="156"/>
      <c r="L119" s="90"/>
      <c r="M119" s="90"/>
    </row>
    <row r="120" spans="1:13" ht="15" customHeight="1" x14ac:dyDescent="0.25">
      <c r="A120" s="108" t="s">
        <v>145</v>
      </c>
      <c r="B120" s="109"/>
      <c r="C120" s="115">
        <v>6059</v>
      </c>
      <c r="D120" s="111">
        <v>87.2</v>
      </c>
      <c r="E120" s="112">
        <v>0</v>
      </c>
      <c r="F120" s="90" t="str">
        <f>IFERROR(VLOOKUP($C120,[2]Nod!$A$3:$E$992,4,FALSE)," ")</f>
        <v>LM1115</v>
      </c>
      <c r="G120" s="90">
        <f>IFERROR(VLOOKUP($C120,[2]Nod!$A$3:$E$992,5,FALSE)," ")</f>
        <v>9</v>
      </c>
      <c r="K120" s="156"/>
      <c r="L120" s="90"/>
      <c r="M120" s="90"/>
    </row>
    <row r="121" spans="1:13" ht="15" customHeight="1" x14ac:dyDescent="0.25">
      <c r="A121" s="108" t="s">
        <v>146</v>
      </c>
      <c r="B121" s="109"/>
      <c r="C121" s="115">
        <v>6290</v>
      </c>
      <c r="D121" s="111">
        <v>150</v>
      </c>
      <c r="E121" s="112">
        <v>0</v>
      </c>
      <c r="F121" s="90" t="str">
        <f>IFERROR(VLOOKUP($C121,[2]Nod!$A$3:$E$992,4,FALSE)," ")</f>
        <v>CATII115</v>
      </c>
      <c r="G121" s="90">
        <f>IFERROR(VLOOKUP($C121,[2]Nod!$A$3:$E$992,5,FALSE)," ")</f>
        <v>9</v>
      </c>
      <c r="K121" s="156"/>
      <c r="L121" s="90"/>
      <c r="M121" s="90"/>
    </row>
    <row r="122" spans="1:13" ht="15" customHeight="1" x14ac:dyDescent="0.25">
      <c r="A122" s="108" t="s">
        <v>147</v>
      </c>
      <c r="B122" s="109"/>
      <c r="C122" s="115">
        <v>6171</v>
      </c>
      <c r="D122" s="111">
        <v>53.53</v>
      </c>
      <c r="E122" s="112">
        <v>0</v>
      </c>
      <c r="F122" s="90" t="str">
        <f>IFERROR(VLOOKUP($C122,[2]Nod!$A$3:$E$992,4,FALSE)," ")</f>
        <v>PAC230</v>
      </c>
      <c r="G122" s="90">
        <f>IFERROR(VLOOKUP($C122,[2]Nod!$A$3:$E$992,5,FALSE)," ")</f>
        <v>9</v>
      </c>
      <c r="K122" s="156"/>
      <c r="L122" s="90"/>
      <c r="M122" s="90"/>
    </row>
    <row r="123" spans="1:13" ht="15" customHeight="1" x14ac:dyDescent="0.25">
      <c r="A123" s="108" t="s">
        <v>148</v>
      </c>
      <c r="B123" s="109"/>
      <c r="C123" s="115">
        <v>6059</v>
      </c>
      <c r="D123" s="111">
        <v>72</v>
      </c>
      <c r="E123" s="112">
        <v>0</v>
      </c>
      <c r="F123" s="90" t="str">
        <f>IFERROR(VLOOKUP($C123,[2]Nod!$A$3:$E$992,4,FALSE)," ")</f>
        <v>LM1115</v>
      </c>
      <c r="G123" s="90">
        <f>IFERROR(VLOOKUP($C123,[2]Nod!$A$3:$E$992,5,FALSE)," ")</f>
        <v>9</v>
      </c>
      <c r="K123" s="156"/>
      <c r="L123" s="90"/>
      <c r="M123" s="90"/>
    </row>
    <row r="124" spans="1:13" ht="15" customHeight="1" x14ac:dyDescent="0.25">
      <c r="A124" s="108" t="s">
        <v>149</v>
      </c>
      <c r="B124" s="109"/>
      <c r="C124" s="115">
        <v>6173</v>
      </c>
      <c r="D124" s="111">
        <v>57.8</v>
      </c>
      <c r="E124" s="136">
        <v>0</v>
      </c>
      <c r="F124" s="90" t="str">
        <f>IFERROR(VLOOKUP($C124,[2]Nod!$A$3:$E$992,4,FALSE)," ")</f>
        <v>STR115</v>
      </c>
      <c r="G124" s="90">
        <f>IFERROR(VLOOKUP($C124,[2]Nod!$A$3:$E$992,5,FALSE)," ")</f>
        <v>9</v>
      </c>
      <c r="K124" s="156"/>
      <c r="L124" s="90"/>
      <c r="M124" s="90"/>
    </row>
    <row r="125" spans="1:13" ht="15" customHeight="1" x14ac:dyDescent="0.25">
      <c r="A125" s="108" t="s">
        <v>150</v>
      </c>
      <c r="B125" s="109"/>
      <c r="C125" s="115">
        <v>6059</v>
      </c>
      <c r="D125" s="111">
        <v>92</v>
      </c>
      <c r="E125" s="136">
        <v>0</v>
      </c>
      <c r="F125" s="90" t="str">
        <f>IFERROR(VLOOKUP($C125,[2]Nod!$A$3:$E$992,4,FALSE)," ")</f>
        <v>LM1115</v>
      </c>
      <c r="G125" s="90">
        <f>IFERROR(VLOOKUP($C125,[2]Nod!$A$3:$E$992,5,FALSE)," ")</f>
        <v>9</v>
      </c>
      <c r="K125" s="156"/>
      <c r="L125" s="90"/>
      <c r="M125" s="90"/>
    </row>
    <row r="126" spans="1:13" ht="15" customHeight="1" x14ac:dyDescent="0.25">
      <c r="A126" s="114" t="s">
        <v>44</v>
      </c>
      <c r="B126" s="109"/>
      <c r="C126" s="115"/>
      <c r="D126" s="157"/>
      <c r="E126" s="112"/>
      <c r="F126" s="90" t="str">
        <f>IFERROR(VLOOKUP($C126,[2]Nod!$A$3:$E$992,4,FALSE)," ")</f>
        <v xml:space="preserve"> </v>
      </c>
      <c r="G126" s="90" t="str">
        <f>IFERROR(VLOOKUP($C126,[2]Nod!$A$3:$E$992,5,FALSE)," ")</f>
        <v xml:space="preserve"> </v>
      </c>
      <c r="K126" s="156"/>
      <c r="L126" s="90"/>
      <c r="M126" s="90"/>
    </row>
    <row r="127" spans="1:13" ht="15" customHeight="1" x14ac:dyDescent="0.25">
      <c r="A127" s="121">
        <v>10</v>
      </c>
      <c r="B127" s="154"/>
      <c r="C127" s="158"/>
      <c r="D127" s="124">
        <f>SUM(D128:D130)</f>
        <v>252.17</v>
      </c>
      <c r="E127" s="128"/>
      <c r="F127" s="90" t="str">
        <f>IFERROR(VLOOKUP($C127,[2]Nod!$A$3:$E$992,4,FALSE)," ")</f>
        <v xml:space="preserve"> </v>
      </c>
      <c r="G127" s="90" t="str">
        <f>IFERROR(VLOOKUP($C127,[2]Nod!$A$3:$E$992,5,FALSE)," ")</f>
        <v xml:space="preserve"> </v>
      </c>
      <c r="K127" s="156"/>
      <c r="L127" s="90"/>
      <c r="M127" s="90"/>
    </row>
    <row r="128" spans="1:13" ht="15" customHeight="1" x14ac:dyDescent="0.25">
      <c r="A128" s="108" t="s">
        <v>151</v>
      </c>
      <c r="B128" s="109"/>
      <c r="C128" s="115">
        <v>6263</v>
      </c>
      <c r="D128" s="111">
        <v>222.17</v>
      </c>
      <c r="E128" s="112">
        <v>0</v>
      </c>
      <c r="F128" s="90" t="str">
        <f>IFERROR(VLOOKUP($C128,[2]Nod!$A$3:$E$992,4,FALSE)," ")</f>
        <v>ESP230</v>
      </c>
      <c r="G128" s="90">
        <f>IFERROR(VLOOKUP($C128,[2]Nod!$A$3:$E$992,5,FALSE)," ")</f>
        <v>10</v>
      </c>
      <c r="K128" s="156"/>
      <c r="L128" s="90"/>
      <c r="M128" s="90"/>
    </row>
    <row r="129" spans="1:13" ht="15" customHeight="1" x14ac:dyDescent="0.25">
      <c r="A129" s="108" t="s">
        <v>152</v>
      </c>
      <c r="B129" s="109"/>
      <c r="C129" s="115">
        <v>6261</v>
      </c>
      <c r="D129" s="111">
        <v>30</v>
      </c>
      <c r="E129" s="112">
        <v>0</v>
      </c>
      <c r="F129" s="90" t="str">
        <f>IFERROR(VLOOKUP($C129,[2]Nod!$A$3:$E$992,4,FALSE)," ")</f>
        <v>CHA115</v>
      </c>
      <c r="G129" s="90">
        <f>IFERROR(VLOOKUP($C129,[2]Nod!$A$3:$E$992,5,FALSE)," ")</f>
        <v>10</v>
      </c>
      <c r="K129" s="156"/>
      <c r="L129" s="90"/>
      <c r="M129" s="90"/>
    </row>
    <row r="130" spans="1:13" ht="15" customHeight="1" x14ac:dyDescent="0.25">
      <c r="A130" s="148" t="s">
        <v>44</v>
      </c>
      <c r="B130" s="117"/>
      <c r="C130" s="134"/>
      <c r="D130" s="119"/>
      <c r="E130" s="133"/>
      <c r="F130" s="90" t="str">
        <f>IFERROR(VLOOKUP($C130,[2]Nod!$A$3:$E$992,4,FALSE)," ")</f>
        <v xml:space="preserve"> </v>
      </c>
      <c r="G130" s="90" t="str">
        <f>IFERROR(VLOOKUP($C130,[2]Nod!$A$3:$E$992,5,FALSE)," ")</f>
        <v xml:space="preserve"> </v>
      </c>
      <c r="K130" s="156"/>
      <c r="L130" s="90"/>
      <c r="M130" s="90"/>
    </row>
    <row r="131" spans="1:13" ht="15" customHeight="1" x14ac:dyDescent="0.25">
      <c r="D131" s="156"/>
      <c r="F131" s="90" t="str">
        <f>IFERROR(VLOOKUP($C131,[2]Nod!$A$3:$E$992,4,FALSE)," ")</f>
        <v xml:space="preserve"> </v>
      </c>
      <c r="G131" s="90" t="str">
        <f>IFERROR(VLOOKUP($C131,[2]Nod!$A$3:$E$992,5,FALSE)," ")</f>
        <v xml:space="preserve"> </v>
      </c>
      <c r="K131" s="156"/>
      <c r="L131" s="90"/>
      <c r="M131" s="90"/>
    </row>
    <row r="132" spans="1:13" ht="15" customHeight="1" x14ac:dyDescent="0.25">
      <c r="D132" s="156"/>
      <c r="F132" s="90" t="str">
        <f>IFERROR(VLOOKUP($C132,[2]Nod!$A$3:$E$992,4,FALSE)," ")</f>
        <v xml:space="preserve"> </v>
      </c>
      <c r="G132" s="90" t="str">
        <f>IFERROR(VLOOKUP($C132,[2]Nod!$A$3:$E$992,5,FALSE)," ")</f>
        <v xml:space="preserve"> </v>
      </c>
      <c r="K132" s="156"/>
      <c r="L132" s="90"/>
      <c r="M132" s="90"/>
    </row>
    <row r="133" spans="1:13" ht="15" customHeight="1" x14ac:dyDescent="0.25">
      <c r="D133" s="156"/>
      <c r="F133" s="90" t="str">
        <f>IFERROR(VLOOKUP($C133,[2]Nod!$A$3:$E$992,4,FALSE)," ")</f>
        <v xml:space="preserve"> </v>
      </c>
      <c r="G133" s="90" t="str">
        <f>IFERROR(VLOOKUP($C133,[2]Nod!$A$3:$E$992,5,FALSE)," ")</f>
        <v xml:space="preserve"> </v>
      </c>
      <c r="K133" s="156"/>
      <c r="L133" s="90"/>
      <c r="M133" s="90"/>
    </row>
    <row r="134" spans="1:13" ht="15" customHeight="1" x14ac:dyDescent="0.25">
      <c r="D134" s="156"/>
      <c r="F134" s="90" t="str">
        <f>IFERROR(VLOOKUP($C134,[2]Nod!$A$3:$E$992,4,FALSE)," ")</f>
        <v xml:space="preserve"> </v>
      </c>
      <c r="G134" s="90" t="str">
        <f>IFERROR(VLOOKUP($C134,[2]Nod!$A$3:$E$992,5,FALSE)," ")</f>
        <v xml:space="preserve"> </v>
      </c>
      <c r="K134" s="156"/>
      <c r="L134" s="90"/>
      <c r="M134" s="90"/>
    </row>
    <row r="135" spans="1:13" ht="15" customHeight="1" x14ac:dyDescent="0.25">
      <c r="D135" s="156"/>
      <c r="F135" s="90" t="str">
        <f>IFERROR(VLOOKUP($C135,[2]Nod!$A$3:$E$992,4,FALSE)," ")</f>
        <v xml:space="preserve"> </v>
      </c>
      <c r="G135" s="90" t="str">
        <f>IFERROR(VLOOKUP($C135,[2]Nod!$A$3:$E$992,5,FALSE)," ")</f>
        <v xml:space="preserve"> </v>
      </c>
      <c r="K135" s="156"/>
      <c r="L135" s="90"/>
      <c r="M135" s="90"/>
    </row>
    <row r="136" spans="1:13" ht="15" customHeight="1" x14ac:dyDescent="0.25">
      <c r="D136" s="156"/>
      <c r="F136" s="90" t="str">
        <f>IFERROR(VLOOKUP($C136,[2]Nod!$A$3:$E$992,4,FALSE)," ")</f>
        <v xml:space="preserve"> </v>
      </c>
      <c r="G136" s="90" t="str">
        <f>IFERROR(VLOOKUP($C136,[2]Nod!$A$3:$E$992,5,FALSE)," ")</f>
        <v xml:space="preserve"> </v>
      </c>
      <c r="K136" s="156"/>
      <c r="L136" s="90"/>
      <c r="M136" s="90"/>
    </row>
    <row r="137" spans="1:13" ht="15" customHeight="1" x14ac:dyDescent="0.25">
      <c r="D137" s="156"/>
      <c r="F137" s="90" t="str">
        <f>IFERROR(VLOOKUP($C137,[2]Nod!$A$3:$E$992,4,FALSE)," ")</f>
        <v xml:space="preserve"> </v>
      </c>
      <c r="G137" s="90" t="str">
        <f>IFERROR(VLOOKUP($C137,[2]Nod!$A$3:$E$992,5,FALSE)," ")</f>
        <v xml:space="preserve"> </v>
      </c>
      <c r="K137" s="156"/>
      <c r="L137" s="90"/>
      <c r="M137" s="90"/>
    </row>
    <row r="138" spans="1:13" ht="15" customHeight="1" x14ac:dyDescent="0.25">
      <c r="D138" s="156"/>
      <c r="F138" s="90" t="str">
        <f>IFERROR(VLOOKUP($C138,[2]Nod!$A$3:$E$992,4,FALSE)," ")</f>
        <v xml:space="preserve"> </v>
      </c>
      <c r="G138" s="90" t="str">
        <f>IFERROR(VLOOKUP($C138,[2]Nod!$A$3:$E$992,5,FALSE)," ")</f>
        <v xml:space="preserve"> </v>
      </c>
      <c r="K138" s="156"/>
      <c r="L138" s="90"/>
      <c r="M138" s="90"/>
    </row>
    <row r="139" spans="1:13" ht="15" customHeight="1" x14ac:dyDescent="0.25">
      <c r="D139" s="156"/>
      <c r="F139" s="90" t="str">
        <f>IFERROR(VLOOKUP($C139,[2]Nod!$A$3:$E$992,4,FALSE)," ")</f>
        <v xml:space="preserve"> </v>
      </c>
      <c r="G139" s="90" t="str">
        <f>IFERROR(VLOOKUP($C139,[2]Nod!$A$3:$E$992,5,FALSE)," ")</f>
        <v xml:space="preserve"> </v>
      </c>
      <c r="K139" s="156"/>
      <c r="L139" s="90"/>
      <c r="M139" s="90"/>
    </row>
    <row r="140" spans="1:13" ht="15" customHeight="1" x14ac:dyDescent="0.25">
      <c r="D140" s="156"/>
      <c r="F140" s="90" t="str">
        <f>IFERROR(VLOOKUP($C140,[2]Nod!$A$3:$E$992,4,FALSE)," ")</f>
        <v xml:space="preserve"> </v>
      </c>
      <c r="G140" s="90" t="str">
        <f>IFERROR(VLOOKUP($C140,[2]Nod!$A$3:$E$992,5,FALSE)," ")</f>
        <v xml:space="preserve"> </v>
      </c>
      <c r="K140" s="156"/>
      <c r="L140" s="90"/>
      <c r="M140" s="90"/>
    </row>
    <row r="141" spans="1:13" ht="15" customHeight="1" x14ac:dyDescent="0.25">
      <c r="D141" s="156"/>
      <c r="F141" s="90" t="str">
        <f>IFERROR(VLOOKUP($C141,[2]Nod!$A$3:$E$992,4,FALSE)," ")</f>
        <v xml:space="preserve"> </v>
      </c>
      <c r="G141" s="90" t="str">
        <f>IFERROR(VLOOKUP($C141,[2]Nod!$A$3:$E$992,5,FALSE)," ")</f>
        <v xml:space="preserve"> </v>
      </c>
      <c r="K141" s="156"/>
      <c r="L141" s="90"/>
      <c r="M141" s="90"/>
    </row>
    <row r="142" spans="1:13" ht="15" customHeight="1" x14ac:dyDescent="0.25">
      <c r="D142" s="156"/>
      <c r="F142" s="90" t="str">
        <f>IFERROR(VLOOKUP($C142,[2]Nod!$A$3:$E$992,4,FALSE)," ")</f>
        <v xml:space="preserve"> </v>
      </c>
      <c r="G142" s="90" t="str">
        <f>IFERROR(VLOOKUP($C142,[2]Nod!$A$3:$E$992,5,FALSE)," ")</f>
        <v xml:space="preserve"> </v>
      </c>
      <c r="K142" s="156"/>
      <c r="L142" s="90"/>
      <c r="M142" s="90"/>
    </row>
    <row r="143" spans="1:13" ht="15" customHeight="1" x14ac:dyDescent="0.25">
      <c r="D143" s="156"/>
      <c r="F143" s="90" t="str">
        <f>IFERROR(VLOOKUP($C143,[2]Nod!$A$3:$E$992,4,FALSE)," ")</f>
        <v xml:space="preserve"> </v>
      </c>
      <c r="G143" s="90" t="str">
        <f>IFERROR(VLOOKUP($C143,[2]Nod!$A$3:$E$992,5,FALSE)," ")</f>
        <v xml:space="preserve"> </v>
      </c>
      <c r="K143" s="156"/>
      <c r="L143" s="90"/>
      <c r="M143" s="90"/>
    </row>
    <row r="144" spans="1:13" ht="15" customHeight="1" x14ac:dyDescent="0.25">
      <c r="D144" s="156"/>
      <c r="F144" s="90" t="str">
        <f>IFERROR(VLOOKUP($C144,[2]Nod!$A$3:$E$992,4,FALSE)," ")</f>
        <v xml:space="preserve"> </v>
      </c>
      <c r="G144" s="90" t="str">
        <f>IFERROR(VLOOKUP($C144,[2]Nod!$A$3:$E$992,5,FALSE)," ")</f>
        <v xml:space="preserve"> </v>
      </c>
      <c r="K144" s="156"/>
      <c r="L144" s="90"/>
      <c r="M144" s="90"/>
    </row>
    <row r="145" spans="4:13" ht="15" customHeight="1" x14ac:dyDescent="0.25">
      <c r="D145" s="156"/>
      <c r="F145" s="90" t="str">
        <f>IFERROR(VLOOKUP($C145,[2]Nod!$A$3:$E$992,4,FALSE)," ")</f>
        <v xml:space="preserve"> </v>
      </c>
      <c r="G145" s="90" t="str">
        <f>IFERROR(VLOOKUP($C145,[2]Nod!$A$3:$E$992,5,FALSE)," ")</f>
        <v xml:space="preserve"> </v>
      </c>
      <c r="K145" s="156"/>
      <c r="L145" s="90"/>
      <c r="M145" s="90"/>
    </row>
    <row r="146" spans="4:13" ht="15" customHeight="1" x14ac:dyDescent="0.25">
      <c r="D146" s="156"/>
      <c r="F146" s="90" t="str">
        <f>IFERROR(VLOOKUP($C146,[2]Nod!$A$3:$E$992,4,FALSE)," ")</f>
        <v xml:space="preserve"> </v>
      </c>
      <c r="G146" s="90" t="str">
        <f>IFERROR(VLOOKUP($C146,[2]Nod!$A$3:$E$992,5,FALSE)," ")</f>
        <v xml:space="preserve"> </v>
      </c>
      <c r="K146" s="156"/>
      <c r="L146" s="90"/>
      <c r="M146" s="90"/>
    </row>
    <row r="147" spans="4:13" ht="15" customHeight="1" x14ac:dyDescent="0.25">
      <c r="D147" s="156"/>
      <c r="F147" s="90" t="str">
        <f>IFERROR(VLOOKUP($C147,[2]Nod!$A$3:$E$992,4,FALSE)," ")</f>
        <v xml:space="preserve"> </v>
      </c>
      <c r="G147" s="90" t="str">
        <f>IFERROR(VLOOKUP($C147,[2]Nod!$A$3:$E$992,5,FALSE)," ")</f>
        <v xml:space="preserve"> </v>
      </c>
      <c r="K147" s="156"/>
      <c r="L147" s="90"/>
      <c r="M147" s="90"/>
    </row>
    <row r="148" spans="4:13" ht="15" customHeight="1" x14ac:dyDescent="0.25">
      <c r="D148" s="156"/>
      <c r="F148" s="90" t="str">
        <f>IFERROR(VLOOKUP($C148,[2]Nod!$A$3:$E$992,4,FALSE)," ")</f>
        <v xml:space="preserve"> </v>
      </c>
      <c r="G148" s="90" t="str">
        <f>IFERROR(VLOOKUP($C148,[2]Nod!$A$3:$E$992,5,FALSE)," ")</f>
        <v xml:space="preserve"> </v>
      </c>
      <c r="K148" s="156"/>
      <c r="L148" s="90"/>
      <c r="M148" s="90"/>
    </row>
    <row r="149" spans="4:13" ht="15" customHeight="1" x14ac:dyDescent="0.25">
      <c r="D149" s="156"/>
      <c r="F149" s="90" t="str">
        <f>IFERROR(VLOOKUP($C149,[2]Nod!$A$3:$E$992,4,FALSE)," ")</f>
        <v xml:space="preserve"> </v>
      </c>
      <c r="G149" s="90" t="str">
        <f>IFERROR(VLOOKUP($C149,[2]Nod!$A$3:$E$992,5,FALSE)," ")</f>
        <v xml:space="preserve"> </v>
      </c>
      <c r="K149" s="156"/>
      <c r="L149" s="90"/>
      <c r="M149" s="90"/>
    </row>
    <row r="150" spans="4:13" ht="15" customHeight="1" x14ac:dyDescent="0.25">
      <c r="D150" s="156"/>
      <c r="F150" s="90" t="str">
        <f>IFERROR(VLOOKUP($C150,[2]Nod!$A$3:$E$992,4,FALSE)," ")</f>
        <v xml:space="preserve"> </v>
      </c>
      <c r="G150" s="90" t="str">
        <f>IFERROR(VLOOKUP($C150,[2]Nod!$A$3:$E$992,5,FALSE)," ")</f>
        <v xml:space="preserve"> </v>
      </c>
      <c r="K150" s="156"/>
      <c r="L150" s="90"/>
      <c r="M150" s="90"/>
    </row>
    <row r="151" spans="4:13" ht="15" customHeight="1" x14ac:dyDescent="0.25">
      <c r="D151" s="156"/>
      <c r="F151" s="90" t="str">
        <f>IFERROR(VLOOKUP($C151,[2]Nod!$A$3:$E$992,4,FALSE)," ")</f>
        <v xml:space="preserve"> </v>
      </c>
      <c r="G151" s="90" t="str">
        <f>IFERROR(VLOOKUP($C151,[2]Nod!$A$3:$E$992,5,FALSE)," ")</f>
        <v xml:space="preserve"> </v>
      </c>
      <c r="K151" s="156"/>
      <c r="L151" s="90"/>
      <c r="M151" s="90"/>
    </row>
    <row r="152" spans="4:13" ht="15" customHeight="1" x14ac:dyDescent="0.25">
      <c r="D152" s="156"/>
      <c r="F152" s="90" t="str">
        <f>IFERROR(VLOOKUP($C152,[2]Nod!$A$3:$E$992,4,FALSE)," ")</f>
        <v xml:space="preserve"> </v>
      </c>
      <c r="G152" s="90" t="str">
        <f>IFERROR(VLOOKUP($C152,[2]Nod!$A$3:$E$992,5,FALSE)," ")</f>
        <v xml:space="preserve"> </v>
      </c>
      <c r="K152" s="156"/>
      <c r="L152" s="90"/>
      <c r="M152" s="90"/>
    </row>
    <row r="153" spans="4:13" ht="15" customHeight="1" x14ac:dyDescent="0.25">
      <c r="D153" s="156"/>
      <c r="F153" s="90" t="str">
        <f>IFERROR(VLOOKUP($C153,[2]Nod!$A$3:$E$992,4,FALSE)," ")</f>
        <v xml:space="preserve"> </v>
      </c>
      <c r="G153" s="90" t="str">
        <f>IFERROR(VLOOKUP($C153,[2]Nod!$A$3:$E$992,5,FALSE)," ")</f>
        <v xml:space="preserve"> </v>
      </c>
      <c r="L153" s="90"/>
      <c r="M153" s="90"/>
    </row>
    <row r="154" spans="4:13" ht="15" customHeight="1" x14ac:dyDescent="0.25">
      <c r="D154" s="156"/>
      <c r="F154" s="90" t="str">
        <f>IFERROR(VLOOKUP($C154,[2]Nod!$A$3:$E$992,4,FALSE)," ")</f>
        <v xml:space="preserve"> </v>
      </c>
      <c r="G154" s="90" t="str">
        <f>IFERROR(VLOOKUP($C154,[2]Nod!$A$3:$E$992,5,FALSE)," ")</f>
        <v xml:space="preserve"> </v>
      </c>
      <c r="L154" s="90"/>
      <c r="M154" s="90"/>
    </row>
    <row r="155" spans="4:13" ht="15" customHeight="1" x14ac:dyDescent="0.25">
      <c r="D155" s="156"/>
      <c r="F155" s="90" t="str">
        <f>IFERROR(VLOOKUP($C155,[2]Nod!$A$3:$E$992,4,FALSE)," ")</f>
        <v xml:space="preserve"> </v>
      </c>
      <c r="G155" s="90" t="str">
        <f>IFERROR(VLOOKUP($C155,[2]Nod!$A$3:$E$992,5,FALSE)," ")</f>
        <v xml:space="preserve"> </v>
      </c>
      <c r="L155" s="90"/>
      <c r="M155" s="90"/>
    </row>
    <row r="156" spans="4:13" ht="15" customHeight="1" x14ac:dyDescent="0.25">
      <c r="D156" s="156"/>
      <c r="F156" s="90" t="str">
        <f>IFERROR(VLOOKUP($C156,[2]Nod!$A$3:$E$992,4,FALSE)," ")</f>
        <v xml:space="preserve"> </v>
      </c>
      <c r="G156" s="90" t="str">
        <f>IFERROR(VLOOKUP($C156,[2]Nod!$A$3:$E$992,5,FALSE)," ")</f>
        <v xml:space="preserve"> </v>
      </c>
      <c r="L156" s="90"/>
      <c r="M156" s="90"/>
    </row>
    <row r="157" spans="4:13" ht="15" customHeight="1" x14ac:dyDescent="0.25">
      <c r="D157" s="156"/>
      <c r="F157" s="90" t="str">
        <f>IFERROR(VLOOKUP($C157,[2]Nod!$A$3:$E$992,4,FALSE)," ")</f>
        <v xml:space="preserve"> </v>
      </c>
      <c r="G157" s="90" t="str">
        <f>IFERROR(VLOOKUP($C157,[2]Nod!$A$3:$E$992,5,FALSE)," ")</f>
        <v xml:space="preserve"> </v>
      </c>
      <c r="L157" s="90"/>
      <c r="M157" s="90"/>
    </row>
    <row r="158" spans="4:13" ht="15" customHeight="1" x14ac:dyDescent="0.25">
      <c r="D158" s="156"/>
      <c r="F158" s="90" t="str">
        <f>IFERROR(VLOOKUP($C158,[2]Nod!$A$3:$E$992,4,FALSE)," ")</f>
        <v xml:space="preserve"> </v>
      </c>
      <c r="G158" s="90" t="str">
        <f>IFERROR(VLOOKUP($C158,[2]Nod!$A$3:$E$992,5,FALSE)," ")</f>
        <v xml:space="preserve"> </v>
      </c>
      <c r="L158" s="90"/>
      <c r="M158" s="90"/>
    </row>
    <row r="159" spans="4:13" ht="15" customHeight="1" x14ac:dyDescent="0.25">
      <c r="D159" s="156"/>
      <c r="F159" s="90" t="str">
        <f>IFERROR(VLOOKUP($C159,[2]Nod!$A$3:$E$992,4,FALSE)," ")</f>
        <v xml:space="preserve"> </v>
      </c>
      <c r="G159" s="90" t="str">
        <f>IFERROR(VLOOKUP($C159,[2]Nod!$A$3:$E$992,5,FALSE)," ")</f>
        <v xml:space="preserve"> </v>
      </c>
      <c r="L159" s="90"/>
      <c r="M159" s="90"/>
    </row>
    <row r="160" spans="4:13" ht="15" customHeight="1" x14ac:dyDescent="0.25">
      <c r="D160" s="156"/>
      <c r="F160" s="90" t="str">
        <f>IFERROR(VLOOKUP($C160,[2]Nod!$A$3:$E$992,4,FALSE)," ")</f>
        <v xml:space="preserve"> </v>
      </c>
      <c r="G160" s="90" t="str">
        <f>IFERROR(VLOOKUP($C160,[2]Nod!$A$3:$E$992,5,FALSE)," ")</f>
        <v xml:space="preserve"> </v>
      </c>
      <c r="L160" s="90"/>
      <c r="M160" s="90"/>
    </row>
    <row r="161" spans="4:13" ht="15" customHeight="1" x14ac:dyDescent="0.25">
      <c r="D161" s="156"/>
      <c r="F161" s="90" t="str">
        <f>IFERROR(VLOOKUP($C161,[2]Nod!$A$3:$E$992,4,FALSE)," ")</f>
        <v xml:space="preserve"> </v>
      </c>
      <c r="G161" s="90" t="str">
        <f>IFERROR(VLOOKUP($C161,[2]Nod!$A$3:$E$992,5,FALSE)," ")</f>
        <v xml:space="preserve"> </v>
      </c>
      <c r="L161" s="90"/>
      <c r="M161" s="90"/>
    </row>
    <row r="162" spans="4:13" ht="15" customHeight="1" x14ac:dyDescent="0.25">
      <c r="D162" s="156"/>
      <c r="F162" s="90" t="str">
        <f>IFERROR(VLOOKUP($C162,[2]Nod!$A$3:$E$992,4,FALSE)," ")</f>
        <v xml:space="preserve"> </v>
      </c>
      <c r="G162" s="90" t="str">
        <f>IFERROR(VLOOKUP($C162,[2]Nod!$A$3:$E$992,5,FALSE)," ")</f>
        <v xml:space="preserve"> </v>
      </c>
      <c r="L162" s="90"/>
      <c r="M162" s="90"/>
    </row>
    <row r="163" spans="4:13" ht="15" customHeight="1" x14ac:dyDescent="0.25">
      <c r="D163" s="156"/>
      <c r="F163" s="90" t="str">
        <f>IFERROR(VLOOKUP($C163,[2]Nod!$A$3:$E$992,4,FALSE)," ")</f>
        <v xml:space="preserve"> </v>
      </c>
      <c r="G163" s="90" t="str">
        <f>IFERROR(VLOOKUP($C163,[2]Nod!$A$3:$E$992,5,FALSE)," ")</f>
        <v xml:space="preserve"> </v>
      </c>
      <c r="L163" s="90"/>
      <c r="M163" s="90"/>
    </row>
    <row r="164" spans="4:13" ht="15" customHeight="1" x14ac:dyDescent="0.25">
      <c r="D164" s="156"/>
      <c r="F164" s="90" t="str">
        <f>IFERROR(VLOOKUP($C164,[2]Nod!$A$3:$E$992,4,FALSE)," ")</f>
        <v xml:space="preserve"> </v>
      </c>
      <c r="G164" s="90" t="str">
        <f>IFERROR(VLOOKUP($C164,[2]Nod!$A$3:$E$992,5,FALSE)," ")</f>
        <v xml:space="preserve"> </v>
      </c>
      <c r="L164" s="90"/>
      <c r="M164" s="90"/>
    </row>
    <row r="165" spans="4:13" ht="15" customHeight="1" x14ac:dyDescent="0.25">
      <c r="D165" s="156"/>
      <c r="F165" s="90" t="str">
        <f>IFERROR(VLOOKUP($C165,[2]Nod!$A$3:$E$992,4,FALSE)," ")</f>
        <v xml:space="preserve"> </v>
      </c>
      <c r="G165" s="90" t="str">
        <f>IFERROR(VLOOKUP($C165,[2]Nod!$A$3:$E$992,5,FALSE)," ")</f>
        <v xml:space="preserve"> </v>
      </c>
      <c r="L165" s="90"/>
      <c r="M165" s="90"/>
    </row>
    <row r="166" spans="4:13" ht="15" customHeight="1" x14ac:dyDescent="0.25">
      <c r="D166" s="156"/>
      <c r="F166" s="90" t="str">
        <f>IFERROR(VLOOKUP($C166,[2]Nod!$A$3:$E$992,4,FALSE)," ")</f>
        <v xml:space="preserve"> </v>
      </c>
      <c r="G166" s="90" t="str">
        <f>IFERROR(VLOOKUP($C166,[2]Nod!$A$3:$E$992,5,FALSE)," ")</f>
        <v xml:space="preserve"> </v>
      </c>
      <c r="L166" s="90"/>
      <c r="M166" s="90"/>
    </row>
    <row r="167" spans="4:13" ht="15" customHeight="1" x14ac:dyDescent="0.25">
      <c r="D167" s="156"/>
      <c r="F167" s="90" t="str">
        <f>IFERROR(VLOOKUP($C167,[2]Nod!$A$3:$E$992,4,FALSE)," ")</f>
        <v xml:space="preserve"> </v>
      </c>
      <c r="G167" s="90" t="str">
        <f>IFERROR(VLOOKUP($C167,[2]Nod!$A$3:$E$992,5,FALSE)," ")</f>
        <v xml:space="preserve"> </v>
      </c>
      <c r="L167" s="90"/>
      <c r="M167" s="90"/>
    </row>
    <row r="168" spans="4:13" ht="15" customHeight="1" x14ac:dyDescent="0.25">
      <c r="D168" s="156"/>
      <c r="F168" s="90" t="str">
        <f>IFERROR(VLOOKUP($C168,[2]Nod!$A$3:$E$992,4,FALSE)," ")</f>
        <v xml:space="preserve"> </v>
      </c>
      <c r="G168" s="90" t="str">
        <f>IFERROR(VLOOKUP($C168,[2]Nod!$A$3:$E$992,5,FALSE)," ")</f>
        <v xml:space="preserve"> </v>
      </c>
      <c r="L168" s="90"/>
      <c r="M168" s="90"/>
    </row>
    <row r="169" spans="4:13" ht="15" customHeight="1" x14ac:dyDescent="0.25">
      <c r="F169" s="90" t="str">
        <f>IFERROR(VLOOKUP($C169,[2]Nod!$A$3:$E$992,4,FALSE)," ")</f>
        <v xml:space="preserve"> </v>
      </c>
      <c r="G169" s="90" t="str">
        <f>IFERROR(VLOOKUP($C169,[2]Nod!$A$3:$E$992,5,FALSE)," ")</f>
        <v xml:space="preserve"> </v>
      </c>
      <c r="L169" s="90"/>
      <c r="M169" s="90"/>
    </row>
    <row r="170" spans="4:13" ht="15" customHeight="1" x14ac:dyDescent="0.25">
      <c r="F170" s="90" t="str">
        <f>IFERROR(VLOOKUP($C170,[2]Nod!$A$3:$E$992,4,FALSE)," ")</f>
        <v xml:space="preserve"> </v>
      </c>
      <c r="G170" s="90" t="str">
        <f>IFERROR(VLOOKUP($C170,[2]Nod!$A$3:$E$992,5,FALSE)," ")</f>
        <v xml:space="preserve"> </v>
      </c>
      <c r="L170" s="90"/>
      <c r="M170" s="90"/>
    </row>
    <row r="171" spans="4:13" ht="15" customHeight="1" x14ac:dyDescent="0.25">
      <c r="F171" s="90" t="str">
        <f>IFERROR(VLOOKUP($C171,[2]Nod!$A$3:$E$992,4,FALSE)," ")</f>
        <v xml:space="preserve"> </v>
      </c>
      <c r="G171" s="90" t="str">
        <f>IFERROR(VLOOKUP($C171,[2]Nod!$A$3:$E$992,5,FALSE)," ")</f>
        <v xml:space="preserve"> </v>
      </c>
      <c r="L171" s="90"/>
      <c r="M171" s="90"/>
    </row>
    <row r="172" spans="4:13" ht="15" customHeight="1" x14ac:dyDescent="0.25">
      <c r="F172" s="90" t="str">
        <f>IFERROR(VLOOKUP($C172,[2]Nod!$A$3:$E$992,4,FALSE)," ")</f>
        <v xml:space="preserve"> </v>
      </c>
      <c r="G172" s="90" t="str">
        <f>IFERROR(VLOOKUP($C172,[2]Nod!$A$3:$E$992,5,FALSE)," ")</f>
        <v xml:space="preserve"> </v>
      </c>
      <c r="L172" s="90"/>
      <c r="M172" s="90"/>
    </row>
    <row r="173" spans="4:13" ht="15" customHeight="1" x14ac:dyDescent="0.25">
      <c r="F173" s="90" t="str">
        <f>IFERROR(VLOOKUP($C173,[2]Nod!$A$3:$E$992,4,FALSE)," ")</f>
        <v xml:space="preserve"> </v>
      </c>
      <c r="G173" s="90" t="str">
        <f>IFERROR(VLOOKUP($C173,[2]Nod!$A$3:$E$992,5,FALSE)," ")</f>
        <v xml:space="preserve"> </v>
      </c>
      <c r="L173" s="90"/>
      <c r="M173" s="90"/>
    </row>
    <row r="174" spans="4:13" ht="15" customHeight="1" x14ac:dyDescent="0.25">
      <c r="F174" s="90" t="str">
        <f>IFERROR(VLOOKUP($C174,[2]Nod!$A$3:$E$992,4,FALSE)," ")</f>
        <v xml:space="preserve"> </v>
      </c>
      <c r="G174" s="90" t="str">
        <f>IFERROR(VLOOKUP($C174,[2]Nod!$A$3:$E$992,5,FALSE)," ")</f>
        <v xml:space="preserve"> </v>
      </c>
      <c r="L174" s="90"/>
      <c r="M174" s="90"/>
    </row>
    <row r="175" spans="4:13" ht="15" customHeight="1" x14ac:dyDescent="0.25">
      <c r="F175" s="90" t="str">
        <f>IFERROR(VLOOKUP($C175,[2]Nod!$A$3:$E$992,4,FALSE)," ")</f>
        <v xml:space="preserve"> </v>
      </c>
      <c r="G175" s="90" t="str">
        <f>IFERROR(VLOOKUP($C175,[2]Nod!$A$3:$E$992,5,FALSE)," ")</f>
        <v xml:space="preserve"> </v>
      </c>
      <c r="L175" s="90"/>
      <c r="M175" s="90"/>
    </row>
    <row r="176" spans="4:13" ht="15" customHeight="1" x14ac:dyDescent="0.25">
      <c r="F176" s="90" t="str">
        <f>IFERROR(VLOOKUP($C176,[2]Nod!$A$3:$E$992,4,FALSE)," ")</f>
        <v xml:space="preserve"> </v>
      </c>
      <c r="G176" s="90" t="str">
        <f>IFERROR(VLOOKUP($C176,[2]Nod!$A$3:$E$992,5,FALSE)," ")</f>
        <v xml:space="preserve"> </v>
      </c>
      <c r="L176" s="90"/>
      <c r="M176" s="90"/>
    </row>
    <row r="177" spans="6:13" ht="15" customHeight="1" x14ac:dyDescent="0.25">
      <c r="F177" s="90" t="str">
        <f>IFERROR(VLOOKUP($C177,[2]Nod!$A$3:$E$992,4,FALSE)," ")</f>
        <v xml:space="preserve"> </v>
      </c>
      <c r="G177" s="90" t="str">
        <f>IFERROR(VLOOKUP($C177,[2]Nod!$A$3:$E$992,5,FALSE)," ")</f>
        <v xml:space="preserve"> </v>
      </c>
      <c r="L177" s="90"/>
      <c r="M177" s="90"/>
    </row>
    <row r="178" spans="6:13" ht="15" customHeight="1" x14ac:dyDescent="0.25">
      <c r="F178" s="90" t="str">
        <f>IFERROR(VLOOKUP($C178,[2]Nod!$A$3:$E$992,4,FALSE)," ")</f>
        <v xml:space="preserve"> </v>
      </c>
      <c r="G178" s="90" t="str">
        <f>IFERROR(VLOOKUP($C178,[2]Nod!$A$3:$E$992,5,FALSE)," ")</f>
        <v xml:space="preserve"> </v>
      </c>
      <c r="L178" s="90"/>
      <c r="M178" s="90"/>
    </row>
    <row r="179" spans="6:13" ht="15" customHeight="1" x14ac:dyDescent="0.25">
      <c r="F179" s="90" t="str">
        <f>IFERROR(VLOOKUP($C179,[2]Nod!$A$3:$E$992,4,FALSE)," ")</f>
        <v xml:space="preserve"> </v>
      </c>
      <c r="G179" s="90" t="str">
        <f>IFERROR(VLOOKUP($C179,[2]Nod!$A$3:$E$992,5,FALSE)," ")</f>
        <v xml:space="preserve"> </v>
      </c>
      <c r="L179" s="90"/>
      <c r="M179" s="90"/>
    </row>
    <row r="180" spans="6:13" ht="15" customHeight="1" x14ac:dyDescent="0.25">
      <c r="F180" s="90" t="str">
        <f>IFERROR(VLOOKUP($C180,[2]Nod!$A$3:$E$992,4,FALSE)," ")</f>
        <v xml:space="preserve"> </v>
      </c>
      <c r="G180" s="90" t="str">
        <f>IFERROR(VLOOKUP($C180,[2]Nod!$A$3:$E$992,5,FALSE)," ")</f>
        <v xml:space="preserve"> </v>
      </c>
      <c r="L180" s="90"/>
      <c r="M180" s="90"/>
    </row>
    <row r="181" spans="6:13" ht="15" customHeight="1" x14ac:dyDescent="0.25">
      <c r="F181" s="90" t="str">
        <f>IFERROR(VLOOKUP($C181,[2]Nod!$A$3:$E$992,4,FALSE)," ")</f>
        <v xml:space="preserve"> </v>
      </c>
      <c r="G181" s="90" t="str">
        <f>IFERROR(VLOOKUP($C181,[2]Nod!$A$3:$E$992,5,FALSE)," ")</f>
        <v xml:space="preserve"> </v>
      </c>
      <c r="L181" s="90"/>
      <c r="M181" s="90"/>
    </row>
    <row r="182" spans="6:13" ht="15" customHeight="1" x14ac:dyDescent="0.25">
      <c r="F182" s="90" t="str">
        <f>IFERROR(VLOOKUP($C182,[2]Nod!$A$3:$E$992,4,FALSE)," ")</f>
        <v xml:space="preserve"> </v>
      </c>
      <c r="G182" s="90" t="str">
        <f>IFERROR(VLOOKUP($C182,[2]Nod!$A$3:$E$992,5,FALSE)," ")</f>
        <v xml:space="preserve"> </v>
      </c>
      <c r="L182" s="90"/>
      <c r="M182" s="90"/>
    </row>
    <row r="183" spans="6:13" ht="15" customHeight="1" x14ac:dyDescent="0.25">
      <c r="F183" s="90" t="str">
        <f>IFERROR(VLOOKUP($C183,[2]Nod!$A$3:$E$992,4,FALSE)," ")</f>
        <v xml:space="preserve"> </v>
      </c>
      <c r="G183" s="90" t="str">
        <f>IFERROR(VLOOKUP($C183,[2]Nod!$A$3:$E$992,5,FALSE)," ")</f>
        <v xml:space="preserve"> </v>
      </c>
      <c r="L183" s="90"/>
      <c r="M183" s="90"/>
    </row>
    <row r="184" spans="6:13" ht="15" customHeight="1" x14ac:dyDescent="0.25">
      <c r="F184" s="90" t="str">
        <f>IFERROR(VLOOKUP($C184,[2]Nod!$A$3:$E$992,4,FALSE)," ")</f>
        <v xml:space="preserve"> </v>
      </c>
      <c r="G184" s="90" t="str">
        <f>IFERROR(VLOOKUP($C184,[2]Nod!$A$3:$E$992,5,FALSE)," ")</f>
        <v xml:space="preserve"> </v>
      </c>
      <c r="L184" s="90"/>
      <c r="M184" s="90"/>
    </row>
    <row r="185" spans="6:13" ht="15" customHeight="1" x14ac:dyDescent="0.25">
      <c r="F185" s="90" t="str">
        <f>IFERROR(VLOOKUP($C185,[2]Nod!$A$3:$E$992,4,FALSE)," ")</f>
        <v xml:space="preserve"> </v>
      </c>
      <c r="G185" s="90" t="str">
        <f>IFERROR(VLOOKUP($C185,[2]Nod!$A$3:$E$992,5,FALSE)," ")</f>
        <v xml:space="preserve"> </v>
      </c>
      <c r="L185" s="90"/>
      <c r="M185" s="90"/>
    </row>
    <row r="186" spans="6:13" ht="15" customHeight="1" x14ac:dyDescent="0.25">
      <c r="F186" s="90" t="str">
        <f>IFERROR(VLOOKUP($C186,[2]Nod!$A$3:$E$992,4,FALSE)," ")</f>
        <v xml:space="preserve"> </v>
      </c>
      <c r="G186" s="90" t="str">
        <f>IFERROR(VLOOKUP($C186,[2]Nod!$A$3:$E$992,5,FALSE)," ")</f>
        <v xml:space="preserve"> </v>
      </c>
      <c r="L186" s="90"/>
      <c r="M186" s="90"/>
    </row>
    <row r="187" spans="6:13" ht="15" customHeight="1" x14ac:dyDescent="0.25">
      <c r="F187" s="90"/>
      <c r="G187" s="90"/>
      <c r="L187" s="90"/>
      <c r="M187" s="90"/>
    </row>
    <row r="188" spans="6:13" ht="15" customHeight="1" x14ac:dyDescent="0.25">
      <c r="F188" s="90"/>
      <c r="G188" s="90"/>
      <c r="L188" s="90"/>
      <c r="M188" s="90"/>
    </row>
    <row r="189" spans="6:13" ht="15" customHeight="1" x14ac:dyDescent="0.25">
      <c r="F189" s="90"/>
      <c r="G189" s="90"/>
      <c r="L189" s="90"/>
      <c r="M189" s="90"/>
    </row>
    <row r="190" spans="6:13" ht="15" customHeight="1" x14ac:dyDescent="0.25">
      <c r="F190" s="90"/>
      <c r="G190" s="90"/>
      <c r="L190" s="90"/>
      <c r="M190" s="90"/>
    </row>
    <row r="191" spans="6:13" ht="15" customHeight="1" x14ac:dyDescent="0.25">
      <c r="F191" s="90"/>
      <c r="G191" s="90"/>
      <c r="L191" s="90"/>
      <c r="M191" s="90"/>
    </row>
    <row r="192" spans="6:13" ht="15" customHeight="1" x14ac:dyDescent="0.25">
      <c r="F192" s="90"/>
      <c r="G192" s="90"/>
      <c r="L192" s="90"/>
      <c r="M192" s="90"/>
    </row>
    <row r="193" spans="6:13" ht="15" customHeight="1" x14ac:dyDescent="0.25">
      <c r="F193" s="90"/>
      <c r="G193" s="90"/>
      <c r="L193" s="90"/>
      <c r="M193" s="90"/>
    </row>
    <row r="194" spans="6:13" ht="15" customHeight="1" x14ac:dyDescent="0.25">
      <c r="F194" s="90"/>
      <c r="G194" s="90"/>
      <c r="L194" s="90"/>
      <c r="M194" s="90"/>
    </row>
    <row r="195" spans="6:13" ht="15" customHeight="1" x14ac:dyDescent="0.25">
      <c r="F195" s="90"/>
      <c r="G195" s="90"/>
      <c r="L195" s="90"/>
      <c r="M195" s="90"/>
    </row>
    <row r="196" spans="6:13" ht="15" customHeight="1" x14ac:dyDescent="0.25">
      <c r="F196" s="90"/>
      <c r="G196" s="90"/>
      <c r="L196" s="90"/>
      <c r="M196" s="90"/>
    </row>
    <row r="197" spans="6:13" ht="15" customHeight="1" x14ac:dyDescent="0.25">
      <c r="F197" s="90"/>
      <c r="G197" s="90"/>
      <c r="L197" s="90"/>
      <c r="M197" s="90"/>
    </row>
    <row r="198" spans="6:13" ht="15" customHeight="1" x14ac:dyDescent="0.25">
      <c r="F198" s="90"/>
      <c r="G198" s="90"/>
      <c r="L198" s="90"/>
      <c r="M198" s="90"/>
    </row>
    <row r="199" spans="6:13" ht="15" customHeight="1" x14ac:dyDescent="0.25">
      <c r="F199" s="90"/>
      <c r="G199" s="90"/>
      <c r="L199" s="90"/>
      <c r="M199" s="90"/>
    </row>
    <row r="200" spans="6:13" ht="15" customHeight="1" x14ac:dyDescent="0.25">
      <c r="F200" s="90"/>
      <c r="G200" s="90"/>
      <c r="L200" s="90"/>
      <c r="M200" s="90"/>
    </row>
    <row r="201" spans="6:13" ht="15" customHeight="1" x14ac:dyDescent="0.25">
      <c r="F201" s="90"/>
      <c r="G201" s="90"/>
      <c r="L201" s="90"/>
      <c r="M201" s="90"/>
    </row>
    <row r="202" spans="6:13" ht="15" customHeight="1" x14ac:dyDescent="0.25">
      <c r="F202" s="90"/>
      <c r="G202" s="90"/>
      <c r="L202" s="90"/>
      <c r="M202" s="90"/>
    </row>
    <row r="203" spans="6:13" ht="15" customHeight="1" x14ac:dyDescent="0.25">
      <c r="F203" s="90"/>
      <c r="G203" s="90"/>
      <c r="L203" s="90"/>
      <c r="M203" s="90"/>
    </row>
    <row r="204" spans="6:13" ht="15" customHeight="1" x14ac:dyDescent="0.25">
      <c r="F204" s="90"/>
      <c r="G204" s="90"/>
      <c r="L204" s="90"/>
      <c r="M204" s="90"/>
    </row>
    <row r="205" spans="6:13" ht="15" customHeight="1" x14ac:dyDescent="0.25">
      <c r="F205" s="90"/>
      <c r="G205" s="90"/>
      <c r="L205" s="90"/>
      <c r="M205" s="90"/>
    </row>
    <row r="206" spans="6:13" ht="15" customHeight="1" x14ac:dyDescent="0.25">
      <c r="F206" s="90"/>
      <c r="G206" s="90"/>
      <c r="L206" s="90"/>
      <c r="M206" s="90"/>
    </row>
    <row r="207" spans="6:13" ht="15" customHeight="1" x14ac:dyDescent="0.25">
      <c r="F207" s="90"/>
      <c r="G207" s="90"/>
      <c r="L207" s="90"/>
      <c r="M207" s="90"/>
    </row>
    <row r="208" spans="6:13" ht="15" customHeight="1" x14ac:dyDescent="0.25">
      <c r="F208" s="90"/>
      <c r="G208" s="90"/>
      <c r="L208" s="90"/>
      <c r="M208" s="90"/>
    </row>
    <row r="209" spans="6:7" ht="15" customHeight="1" x14ac:dyDescent="0.25">
      <c r="F209" s="90"/>
      <c r="G209" s="90"/>
    </row>
    <row r="210" spans="6:7" ht="15" customHeight="1" x14ac:dyDescent="0.25">
      <c r="F210" s="90"/>
      <c r="G210" s="90"/>
    </row>
    <row r="211" spans="6:7" ht="15" customHeight="1" x14ac:dyDescent="0.25">
      <c r="F211" s="90"/>
      <c r="G211" s="90"/>
    </row>
    <row r="212" spans="6:7" ht="15" customHeight="1" x14ac:dyDescent="0.25">
      <c r="F212" s="90"/>
      <c r="G212" s="90"/>
    </row>
    <row r="213" spans="6:7" ht="15" customHeight="1" x14ac:dyDescent="0.25">
      <c r="F213" s="90"/>
      <c r="G213" s="90"/>
    </row>
  </sheetData>
  <sheetProtection algorithmName="SHA-512" hashValue="TD8FC6rK3g+pTU4QGGpSIOJqTTVxsonD4dj64wYQNhDl8akuKEQWPGpcRMjj/VHKJrIkqxG9S3cE5ub9wfXhEw==" saltValue="rg4LaeAR4bFXkOTzeVk67A==" spinCount="100000" sheet="1" objects="1" scenarios="1"/>
  <mergeCells count="1">
    <mergeCell ref="A9:L9"/>
  </mergeCells>
  <conditionalFormatting sqref="D131:D168 K109:K152 K104 D123:E125 D112:E112 D67:E69 D101:E102 D94:E99 D72:E74">
    <cfRule type="cellIs" dxfId="150" priority="20" operator="equal">
      <formula>0</formula>
    </cfRule>
  </conditionalFormatting>
  <conditionalFormatting sqref="B11:L12">
    <cfRule type="cellIs" dxfId="149" priority="19" operator="equal">
      <formula>0</formula>
    </cfRule>
  </conditionalFormatting>
  <conditionalFormatting sqref="M11">
    <cfRule type="cellIs" dxfId="148" priority="18" stopIfTrue="1" operator="notEqual">
      <formula>L11</formula>
    </cfRule>
  </conditionalFormatting>
  <conditionalFormatting sqref="M12">
    <cfRule type="cellIs" dxfId="147" priority="17" stopIfTrue="1" operator="notEqual">
      <formula>L12</formula>
    </cfRule>
  </conditionalFormatting>
  <conditionalFormatting sqref="D27:E31 D18:E19 D34:E39 D128:E130 D115:E116 D105:E107 D42:E47 E63:E64 D60:E62 D49:E55 D118:E122 D109:E111 D78:E89 D23:E24 D65:E66 D113:E113 D103:E103 D57:E58">
    <cfRule type="cellIs" dxfId="146" priority="16" operator="equal">
      <formula>0</formula>
    </cfRule>
  </conditionalFormatting>
  <conditionalFormatting sqref="D20:E21">
    <cfRule type="cellIs" dxfId="145" priority="15" operator="equal">
      <formula>0</formula>
    </cfRule>
  </conditionalFormatting>
  <conditionalFormatting sqref="D90:E91 E92:E93">
    <cfRule type="cellIs" dxfId="144" priority="14" operator="equal">
      <formula>0</formula>
    </cfRule>
  </conditionalFormatting>
  <conditionalFormatting sqref="D22:E22">
    <cfRule type="cellIs" dxfId="143" priority="13" operator="equal">
      <formula>0</formula>
    </cfRule>
  </conditionalFormatting>
  <conditionalFormatting sqref="D92:D93">
    <cfRule type="cellIs" dxfId="142" priority="12" operator="equal">
      <formula>0</formula>
    </cfRule>
  </conditionalFormatting>
  <conditionalFormatting sqref="D77:E77">
    <cfRule type="cellIs" dxfId="141" priority="11" operator="equal">
      <formula>0</formula>
    </cfRule>
  </conditionalFormatting>
  <conditionalFormatting sqref="D63">
    <cfRule type="cellIs" dxfId="140" priority="10" operator="equal">
      <formula>0</formula>
    </cfRule>
  </conditionalFormatting>
  <conditionalFormatting sqref="D48:E48">
    <cfRule type="cellIs" dxfId="139" priority="6" operator="equal">
      <formula>0</formula>
    </cfRule>
  </conditionalFormatting>
  <conditionalFormatting sqref="D64">
    <cfRule type="cellIs" dxfId="138" priority="9" operator="equal">
      <formula>0</formula>
    </cfRule>
  </conditionalFormatting>
  <conditionalFormatting sqref="D59:E59">
    <cfRule type="cellIs" dxfId="137" priority="8" operator="equal">
      <formula>0</formula>
    </cfRule>
  </conditionalFormatting>
  <conditionalFormatting sqref="D56:E56">
    <cfRule type="cellIs" dxfId="136" priority="7" operator="equal">
      <formula>0</formula>
    </cfRule>
  </conditionalFormatting>
  <conditionalFormatting sqref="D75:E76">
    <cfRule type="cellIs" dxfId="135" priority="5" operator="equal">
      <formula>0</formula>
    </cfRule>
  </conditionalFormatting>
  <conditionalFormatting sqref="K25:K26 K29:K31 K69:K73 K42:K46 K76:K77 K49:K62 K18:K20 K79:K80 K34:K39 K66">
    <cfRule type="cellIs" dxfId="134" priority="4" operator="equal">
      <formula>0</formula>
    </cfRule>
  </conditionalFormatting>
  <conditionalFormatting sqref="K65">
    <cfRule type="cellIs" dxfId="133" priority="3" operator="equal">
      <formula>0</formula>
    </cfRule>
  </conditionalFormatting>
  <conditionalFormatting sqref="K78">
    <cfRule type="cellIs" dxfId="132" priority="2" operator="equal">
      <formula>0</formula>
    </cfRule>
  </conditionalFormatting>
  <conditionalFormatting sqref="D100:E100">
    <cfRule type="cellIs" dxfId="131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zoomScaleNormal="100" workbookViewId="0">
      <selection activeCell="D102" sqref="D102"/>
    </sheetView>
  </sheetViews>
  <sheetFormatPr baseColWidth="10" defaultColWidth="8.7109375" defaultRowHeight="15" customHeight="1" x14ac:dyDescent="0.25"/>
  <cols>
    <col min="1" max="1" width="28.140625" style="39" bestFit="1" customWidth="1"/>
    <col min="2" max="2" width="8.85546875" style="39" bestFit="1" customWidth="1"/>
    <col min="3" max="3" width="8.7109375" style="39"/>
    <col min="4" max="4" width="9.7109375" style="39" bestFit="1" customWidth="1"/>
    <col min="5" max="5" width="9.42578125" style="39" bestFit="1" customWidth="1"/>
    <col min="6" max="6" width="9.7109375" style="39" bestFit="1" customWidth="1"/>
    <col min="7" max="7" width="8.7109375" style="39"/>
    <col min="8" max="8" width="25" style="39" customWidth="1"/>
    <col min="9" max="9" width="9.5703125" style="39" customWidth="1"/>
    <col min="10" max="11" width="8.7109375" style="39"/>
    <col min="12" max="12" width="11.28515625" style="39" bestFit="1" customWidth="1"/>
    <col min="13" max="13" width="9.140625" style="39" bestFit="1" customWidth="1"/>
    <col min="14" max="14" width="8.7109375" style="39"/>
    <col min="15" max="15" width="26.5703125" style="39" bestFit="1" customWidth="1"/>
    <col min="16" max="16" width="29.28515625" style="39" bestFit="1" customWidth="1"/>
    <col min="17" max="26" width="6.7109375" style="39" customWidth="1"/>
    <col min="27" max="16384" width="8.7109375" style="39"/>
  </cols>
  <sheetData>
    <row r="1" spans="1:14" ht="24.95" customHeight="1" x14ac:dyDescent="0.25">
      <c r="A1" s="37" t="s">
        <v>12</v>
      </c>
      <c r="B1" s="37">
        <v>1</v>
      </c>
      <c r="C1" s="38" t="s">
        <v>13</v>
      </c>
    </row>
    <row r="2" spans="1:14" ht="15" customHeight="1" x14ac:dyDescent="0.25">
      <c r="A2" s="40"/>
      <c r="B2" s="41" t="s">
        <v>14</v>
      </c>
      <c r="C2" s="42"/>
      <c r="D2" s="43" t="s">
        <v>15</v>
      </c>
      <c r="E2" s="44"/>
      <c r="F2" s="45" t="s">
        <v>16</v>
      </c>
    </row>
    <row r="3" spans="1:14" ht="15" customHeight="1" x14ac:dyDescent="0.25">
      <c r="A3" s="46" t="s">
        <v>17</v>
      </c>
      <c r="B3" s="47">
        <v>51220.151770625169</v>
      </c>
      <c r="C3" s="48">
        <f>SUM(C4:C5)</f>
        <v>1</v>
      </c>
      <c r="D3" s="49" t="e">
        <f>SUM(D4:D5)</f>
        <v>#VALUE!</v>
      </c>
      <c r="E3" s="48" t="e">
        <f>D3/$D$3</f>
        <v>#VALUE!</v>
      </c>
      <c r="F3" s="50" t="s">
        <v>18</v>
      </c>
      <c r="H3" s="51" t="s">
        <v>19</v>
      </c>
      <c r="I3" s="52">
        <v>0.7</v>
      </c>
      <c r="J3" s="53">
        <f>I3*B3</f>
        <v>35854.106239437613</v>
      </c>
    </row>
    <row r="4" spans="1:14" ht="15" customHeight="1" x14ac:dyDescent="0.25">
      <c r="A4" s="54" t="s">
        <v>20</v>
      </c>
      <c r="B4" s="55">
        <f>C4*B3</f>
        <v>43806.034477544112</v>
      </c>
      <c r="C4" s="56">
        <v>0.85524999366883825</v>
      </c>
      <c r="D4" s="57" t="e">
        <f>SUMIFS([3]Ram!G2:G993,[3]Ram!C2:C993,230,[3]Ram!F2:F993,"S")</f>
        <v>#VALUE!</v>
      </c>
      <c r="E4" s="58" t="e">
        <f>D4/$D$3</f>
        <v>#VALUE!</v>
      </c>
      <c r="F4" s="59" t="e">
        <f>B4/D4</f>
        <v>#VALUE!</v>
      </c>
      <c r="H4" s="51" t="s">
        <v>21</v>
      </c>
      <c r="I4" s="52">
        <v>0.3</v>
      </c>
      <c r="J4" s="53">
        <f>I4*B3</f>
        <v>15366.04553118755</v>
      </c>
    </row>
    <row r="5" spans="1:14" ht="15" customHeight="1" x14ac:dyDescent="0.25">
      <c r="A5" s="60" t="s">
        <v>22</v>
      </c>
      <c r="B5" s="61">
        <f>C5*B3</f>
        <v>7414.117293081059</v>
      </c>
      <c r="C5" s="62">
        <f>1-C4</f>
        <v>0.14475000633116175</v>
      </c>
      <c r="D5" s="63" t="e">
        <f>SUMIFS([3]Ram!G2:G993,[3]Ram!C2:C993,115,[3]Ram!F2:F993,"S")</f>
        <v>#VALUE!</v>
      </c>
      <c r="E5" s="64" t="e">
        <f>D5/$D$3</f>
        <v>#VALUE!</v>
      </c>
      <c r="F5" s="65" t="e">
        <f>B5/D5</f>
        <v>#VALUE!</v>
      </c>
    </row>
    <row r="6" spans="1:14" ht="15" customHeight="1" x14ac:dyDescent="0.25">
      <c r="A6" s="66"/>
      <c r="B6" s="66"/>
      <c r="C6" s="67"/>
      <c r="E6" s="67"/>
      <c r="H6" s="68" t="s">
        <v>23</v>
      </c>
      <c r="M6" s="69">
        <f>[3]ENERGIA!L17</f>
        <v>8728.5368300600003</v>
      </c>
      <c r="N6" s="70" t="s">
        <v>24</v>
      </c>
    </row>
    <row r="7" spans="1:14" ht="15" customHeight="1" x14ac:dyDescent="0.25">
      <c r="A7" s="71" t="s">
        <v>25</v>
      </c>
      <c r="B7" s="47">
        <v>55642.054105485877</v>
      </c>
      <c r="C7" s="48">
        <v>1</v>
      </c>
      <c r="D7" s="72" t="e">
        <f>SUMIF([3]Ram!F3:F993,"SD",[3]Ram!G3:G993)</f>
        <v>#VALUE!</v>
      </c>
      <c r="E7" s="48">
        <v>1</v>
      </c>
      <c r="F7" s="73" t="e">
        <f>IF(B7&gt;0,B7/D7,0)</f>
        <v>#VALUE!</v>
      </c>
      <c r="G7" s="39" t="s">
        <v>26</v>
      </c>
      <c r="L7" s="74" t="s">
        <v>27</v>
      </c>
      <c r="M7" s="75">
        <f>[3]ENERGIA!L2</f>
        <v>10391.438170650001</v>
      </c>
      <c r="N7" s="76" t="s">
        <v>24</v>
      </c>
    </row>
    <row r="9" spans="1:14" ht="15" customHeight="1" x14ac:dyDescent="0.25">
      <c r="A9" s="333" t="s">
        <v>28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4" ht="15" customHeight="1" x14ac:dyDescent="0.25">
      <c r="A10" s="77" t="s">
        <v>29</v>
      </c>
      <c r="B10" s="78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80">
        <v>10</v>
      </c>
      <c r="L10" s="81" t="s">
        <v>3</v>
      </c>
    </row>
    <row r="11" spans="1:14" ht="15" customHeight="1" x14ac:dyDescent="0.25">
      <c r="A11" s="82" t="s">
        <v>30</v>
      </c>
      <c r="B11" s="83">
        <f t="shared" ref="B11:K11" si="0">SUMIF($G$18:$G$1004,B$10,$D$18:$D$1004)</f>
        <v>218.9</v>
      </c>
      <c r="C11" s="83">
        <f t="shared" si="0"/>
        <v>537.79999999999995</v>
      </c>
      <c r="D11" s="83">
        <f t="shared" si="0"/>
        <v>155.26999999999998</v>
      </c>
      <c r="E11" s="83">
        <f t="shared" si="0"/>
        <v>326.15999999999997</v>
      </c>
      <c r="F11" s="83">
        <f t="shared" si="0"/>
        <v>359.97</v>
      </c>
      <c r="G11" s="83">
        <f t="shared" si="0"/>
        <v>147</v>
      </c>
      <c r="H11" s="83">
        <f t="shared" si="0"/>
        <v>576.98</v>
      </c>
      <c r="I11" s="83">
        <f t="shared" si="0"/>
        <v>260</v>
      </c>
      <c r="J11" s="83">
        <f t="shared" si="0"/>
        <v>792.53</v>
      </c>
      <c r="K11" s="83">
        <f t="shared" si="0"/>
        <v>252.17</v>
      </c>
      <c r="L11" s="84">
        <f>SUM(B11:K11)</f>
        <v>3626.7799999999997</v>
      </c>
      <c r="M11" s="85">
        <f>SUM(D17,D25,D32,D40,D66,D94,D98,D104,D107,D117)</f>
        <v>3626.7799999999997</v>
      </c>
    </row>
    <row r="12" spans="1:14" ht="15" customHeight="1" x14ac:dyDescent="0.25">
      <c r="A12" s="86" t="s">
        <v>31</v>
      </c>
      <c r="B12" s="87">
        <f t="shared" ref="B12:K12" si="1">SUMIF($M$18:$M$1005,B$10,$K$18:$K$1005)</f>
        <v>38.67</v>
      </c>
      <c r="C12" s="87">
        <f t="shared" si="1"/>
        <v>0</v>
      </c>
      <c r="D12" s="87">
        <f t="shared" si="1"/>
        <v>0.11</v>
      </c>
      <c r="E12" s="87">
        <f t="shared" si="1"/>
        <v>110.14999999999999</v>
      </c>
      <c r="F12" s="87">
        <f t="shared" si="1"/>
        <v>232.27983529537579</v>
      </c>
      <c r="G12" s="87">
        <f t="shared" si="1"/>
        <v>165.64199929453994</v>
      </c>
      <c r="H12" s="87">
        <f t="shared" si="1"/>
        <v>1242.5836696510787</v>
      </c>
      <c r="I12" s="87">
        <f t="shared" si="1"/>
        <v>23.17</v>
      </c>
      <c r="J12" s="87">
        <f t="shared" si="1"/>
        <v>113.44050338355613</v>
      </c>
      <c r="K12" s="87">
        <f t="shared" si="1"/>
        <v>90.39</v>
      </c>
      <c r="L12" s="88">
        <f>SUM(B12:K12)</f>
        <v>2016.4360076245507</v>
      </c>
      <c r="M12" s="89">
        <f>SUM(K17,K22,K24,K28,K33,K41,K48,K65,K69,K76)</f>
        <v>2016.4360076245507</v>
      </c>
    </row>
    <row r="13" spans="1:14" ht="15" customHeight="1" x14ac:dyDescent="0.25">
      <c r="M13" s="90"/>
    </row>
    <row r="15" spans="1:14" ht="15" customHeight="1" x14ac:dyDescent="0.25">
      <c r="A15" s="91" t="s">
        <v>32</v>
      </c>
      <c r="B15" s="92"/>
      <c r="C15" s="92"/>
      <c r="D15" s="92"/>
      <c r="E15" s="92"/>
      <c r="F15" s="92"/>
      <c r="G15" s="93"/>
      <c r="H15" s="91" t="s">
        <v>33</v>
      </c>
      <c r="I15" s="92"/>
      <c r="J15" s="92"/>
      <c r="K15" s="92"/>
      <c r="L15" s="92"/>
      <c r="M15" s="92"/>
    </row>
    <row r="16" spans="1:14" ht="25.5" x14ac:dyDescent="0.25">
      <c r="A16" s="94" t="s">
        <v>34</v>
      </c>
      <c r="B16" s="95"/>
      <c r="C16" s="96" t="s">
        <v>35</v>
      </c>
      <c r="D16" s="97" t="s">
        <v>30</v>
      </c>
      <c r="E16" s="97" t="s">
        <v>36</v>
      </c>
      <c r="F16" s="98"/>
      <c r="G16" s="98"/>
      <c r="H16" s="99" t="s">
        <v>34</v>
      </c>
      <c r="I16" s="100"/>
      <c r="J16" s="101" t="s">
        <v>35</v>
      </c>
      <c r="K16" s="102" t="s">
        <v>31</v>
      </c>
      <c r="L16" s="98"/>
      <c r="M16" s="98"/>
    </row>
    <row r="17" spans="1:13" ht="15" customHeight="1" x14ac:dyDescent="0.25">
      <c r="A17" s="103">
        <v>1</v>
      </c>
      <c r="B17" s="104"/>
      <c r="C17" s="105"/>
      <c r="D17" s="106">
        <f>SUM(D18:D23)</f>
        <v>218.9</v>
      </c>
      <c r="E17" s="107"/>
      <c r="F17" s="90"/>
      <c r="G17" s="90"/>
      <c r="H17" s="103">
        <v>1</v>
      </c>
      <c r="I17" s="104"/>
      <c r="J17" s="105"/>
      <c r="K17" s="106">
        <f>SUM(K18:K21)</f>
        <v>38.67</v>
      </c>
      <c r="L17" s="90"/>
      <c r="M17" s="90"/>
    </row>
    <row r="18" spans="1:13" ht="15" customHeight="1" x14ac:dyDescent="0.25">
      <c r="A18" s="108" t="s">
        <v>37</v>
      </c>
      <c r="B18" s="109"/>
      <c r="C18" s="110">
        <v>6014</v>
      </c>
      <c r="D18" s="111">
        <v>87.6</v>
      </c>
      <c r="E18" s="112">
        <v>0</v>
      </c>
      <c r="F18" s="90" t="str">
        <f>IFERROR(VLOOKUP($C18,[3]Nod!$A$3:$E$991,4,FALSE)," ")</f>
        <v>PRO230</v>
      </c>
      <c r="G18" s="90">
        <f>IFERROR(VLOOKUP($C18,[3]Nod!$A$3:$E$991,5,FALSE)," ")</f>
        <v>1</v>
      </c>
      <c r="H18" s="113" t="s">
        <v>38</v>
      </c>
      <c r="I18" s="109"/>
      <c r="J18" s="110"/>
      <c r="K18" s="111"/>
      <c r="L18" s="90"/>
      <c r="M18" s="90"/>
    </row>
    <row r="19" spans="1:13" ht="15" customHeight="1" x14ac:dyDescent="0.25">
      <c r="A19" s="108" t="s">
        <v>39</v>
      </c>
      <c r="B19" s="109"/>
      <c r="C19" s="110">
        <v>6014</v>
      </c>
      <c r="D19" s="111">
        <v>57.4</v>
      </c>
      <c r="E19" s="112">
        <v>0</v>
      </c>
      <c r="F19" s="90" t="str">
        <f>IFERROR(VLOOKUP($C19,[3]Nod!$A$3:$E$991,4,FALSE)," ")</f>
        <v>PRO230</v>
      </c>
      <c r="G19" s="90">
        <f>IFERROR(VLOOKUP($C19,[3]Nod!$A$3:$E$991,5,FALSE)," ")</f>
        <v>1</v>
      </c>
      <c r="H19" s="114" t="s">
        <v>40</v>
      </c>
      <c r="I19" s="109"/>
      <c r="J19" s="115">
        <v>6014</v>
      </c>
      <c r="K19" s="111">
        <v>37.32</v>
      </c>
      <c r="L19" s="90" t="str">
        <f>VLOOKUP($J19,[3]Nod!$A$3:$E$991,4,FALSE)</f>
        <v>PRO230</v>
      </c>
      <c r="M19" s="90">
        <f>VLOOKUP($J19,[3]Nod!$A$3:$E$991,5,FALSE)</f>
        <v>1</v>
      </c>
    </row>
    <row r="20" spans="1:13" ht="15" customHeight="1" x14ac:dyDescent="0.25">
      <c r="A20" s="108" t="s">
        <v>41</v>
      </c>
      <c r="B20" s="109"/>
      <c r="C20" s="110">
        <v>6014</v>
      </c>
      <c r="D20" s="111">
        <v>30</v>
      </c>
      <c r="E20" s="112">
        <v>0</v>
      </c>
      <c r="F20" s="90" t="str">
        <f>IFERROR(VLOOKUP($C20,[3]Nod!$A$3:$E$991,4,FALSE)," ")</f>
        <v>PRO230</v>
      </c>
      <c r="G20" s="90">
        <f>IFERROR(VLOOKUP($C20,[3]Nod!$A$3:$E$991,5,FALSE)," ")</f>
        <v>1</v>
      </c>
      <c r="H20" s="114" t="s">
        <v>42</v>
      </c>
      <c r="I20" s="109"/>
      <c r="J20" s="115">
        <v>6014</v>
      </c>
      <c r="K20" s="111">
        <v>1.35</v>
      </c>
      <c r="L20" s="90" t="str">
        <f>VLOOKUP($J20,[3]Nod!$A$3:$E$991,4,FALSE)</f>
        <v>PRO230</v>
      </c>
      <c r="M20" s="90">
        <f>VLOOKUP($J20,[3]Nod!$A$3:$E$991,5,FALSE)</f>
        <v>1</v>
      </c>
    </row>
    <row r="21" spans="1:13" ht="15" customHeight="1" x14ac:dyDescent="0.25">
      <c r="A21" s="108" t="s">
        <v>43</v>
      </c>
      <c r="B21" s="109"/>
      <c r="C21" s="110">
        <v>6014</v>
      </c>
      <c r="D21" s="111">
        <v>27.9</v>
      </c>
      <c r="E21" s="112">
        <v>0</v>
      </c>
      <c r="F21" s="90" t="str">
        <f>IFERROR(VLOOKUP($C21,[3]Nod!$A$3:$E$991,4,FALSE)," ")</f>
        <v>PRO230</v>
      </c>
      <c r="G21" s="90">
        <f>IFERROR(VLOOKUP($C21,[3]Nod!$A$3:$E$991,5,FALSE)," ")</f>
        <v>1</v>
      </c>
      <c r="H21" s="116" t="s">
        <v>44</v>
      </c>
      <c r="I21" s="117"/>
      <c r="J21" s="118"/>
      <c r="K21" s="119"/>
      <c r="L21" s="90"/>
      <c r="M21" s="90"/>
    </row>
    <row r="22" spans="1:13" ht="15" customHeight="1" x14ac:dyDescent="0.25">
      <c r="A22" s="120" t="s">
        <v>45</v>
      </c>
      <c r="B22" s="109"/>
      <c r="C22" s="110">
        <v>6014</v>
      </c>
      <c r="D22" s="111">
        <v>10</v>
      </c>
      <c r="E22" s="112">
        <v>13</v>
      </c>
      <c r="F22" s="90" t="str">
        <f>IFERROR(VLOOKUP($C22,[3]Nod!$A$3:$E$991,4,FALSE)," ")</f>
        <v>PRO230</v>
      </c>
      <c r="G22" s="90">
        <f>IFERROR(VLOOKUP($C22,[3]Nod!$A$3:$E$991,5,FALSE)," ")</f>
        <v>1</v>
      </c>
      <c r="H22" s="121">
        <v>2</v>
      </c>
      <c r="I22" s="122"/>
      <c r="J22" s="123"/>
      <c r="K22" s="124">
        <f>SUM(K23)</f>
        <v>0</v>
      </c>
      <c r="L22" s="90"/>
      <c r="M22" s="90"/>
    </row>
    <row r="23" spans="1:13" ht="15" customHeight="1" x14ac:dyDescent="0.25">
      <c r="A23" s="120" t="s">
        <v>46</v>
      </c>
      <c r="B23" s="109"/>
      <c r="C23" s="110">
        <v>6014</v>
      </c>
      <c r="D23" s="111">
        <v>6</v>
      </c>
      <c r="E23" s="112">
        <v>13</v>
      </c>
      <c r="F23" s="90" t="str">
        <f>IFERROR(VLOOKUP($C23,[3]Nod!$A$3:$E$991,4,FALSE)," ")</f>
        <v>PRO230</v>
      </c>
      <c r="G23" s="90">
        <f>IFERROR(VLOOKUP($C23,[3]Nod!$A$3:$E$991,5,FALSE)," ")</f>
        <v>1</v>
      </c>
      <c r="H23" s="116" t="s">
        <v>44</v>
      </c>
      <c r="I23" s="117"/>
      <c r="J23" s="118"/>
      <c r="K23" s="125"/>
      <c r="L23" s="90"/>
      <c r="M23" s="90"/>
    </row>
    <row r="24" spans="1:13" ht="15" customHeight="1" x14ac:dyDescent="0.25">
      <c r="A24" s="126" t="s">
        <v>44</v>
      </c>
      <c r="B24" s="109"/>
      <c r="C24" s="110"/>
      <c r="D24" s="127"/>
      <c r="E24" s="112"/>
      <c r="F24" s="90" t="str">
        <f>IFERROR(VLOOKUP($C24,[3]Nod!$A$3:$E$991,4,FALSE)," ")</f>
        <v xml:space="preserve"> </v>
      </c>
      <c r="G24" s="90" t="str">
        <f>IFERROR(VLOOKUP($C24,[3]Nod!$A$3:$E$991,5,FALSE)," ")</f>
        <v xml:space="preserve"> </v>
      </c>
      <c r="H24" s="103">
        <v>3</v>
      </c>
      <c r="I24" s="104"/>
      <c r="J24" s="105"/>
      <c r="K24" s="106">
        <f>SUM(K25:K27)</f>
        <v>0.11</v>
      </c>
      <c r="L24" s="90"/>
      <c r="M24" s="90"/>
    </row>
    <row r="25" spans="1:13" ht="15" customHeight="1" x14ac:dyDescent="0.25">
      <c r="A25" s="121">
        <v>2</v>
      </c>
      <c r="B25" s="122"/>
      <c r="C25" s="123"/>
      <c r="D25" s="124">
        <f>SUM(D26:D30)</f>
        <v>537.79999999999995</v>
      </c>
      <c r="E25" s="128"/>
      <c r="F25" s="90" t="str">
        <f>IFERROR(VLOOKUP($C25,[3]Nod!$A$3:$E$991,4,FALSE)," ")</f>
        <v xml:space="preserve"> </v>
      </c>
      <c r="G25" s="90" t="str">
        <f>IFERROR(VLOOKUP($C25,[3]Nod!$A$3:$E$991,5,FALSE)," ")</f>
        <v xml:space="preserve"> </v>
      </c>
      <c r="H25" s="113" t="s">
        <v>38</v>
      </c>
      <c r="I25" s="109"/>
      <c r="J25" s="110"/>
      <c r="K25" s="129"/>
      <c r="L25" s="90"/>
      <c r="M25" s="90"/>
    </row>
    <row r="26" spans="1:13" ht="15" customHeight="1" x14ac:dyDescent="0.25">
      <c r="A26" s="108" t="s">
        <v>47</v>
      </c>
      <c r="B26" s="109"/>
      <c r="C26" s="110">
        <v>6096</v>
      </c>
      <c r="D26" s="111">
        <v>300</v>
      </c>
      <c r="E26" s="112">
        <v>0</v>
      </c>
      <c r="F26" s="90" t="str">
        <f>IFERROR(VLOOKUP($C26,[3]Nod!$A$3:$E$991,4,FALSE)," ")</f>
        <v>FOR230</v>
      </c>
      <c r="G26" s="90">
        <f>IFERROR(VLOOKUP($C26,[3]Nod!$A$3:$E$991,5,FALSE)," ")</f>
        <v>2</v>
      </c>
      <c r="H26" s="114" t="s">
        <v>48</v>
      </c>
      <c r="I26" s="109"/>
      <c r="J26" s="115">
        <v>6087</v>
      </c>
      <c r="K26" s="111">
        <v>0.11</v>
      </c>
      <c r="L26" s="90" t="str">
        <f>VLOOKUP($J26,[3]Nod!$A$3:$E$991,4,FALSE)</f>
        <v>CAL115</v>
      </c>
      <c r="M26" s="90">
        <f>VLOOKUP($J26,[3]Nod!$A$3:$E$991,5,FALSE)</f>
        <v>3</v>
      </c>
    </row>
    <row r="27" spans="1:13" ht="15" customHeight="1" x14ac:dyDescent="0.25">
      <c r="A27" s="108" t="s">
        <v>49</v>
      </c>
      <c r="B27" s="109"/>
      <c r="C27" s="110">
        <v>6179</v>
      </c>
      <c r="D27" s="111">
        <v>120</v>
      </c>
      <c r="E27" s="112">
        <v>0</v>
      </c>
      <c r="F27" s="90" t="str">
        <f>IFERROR(VLOOKUP($C27,[3]Nod!$A$3:$E$991,4,FALSE)," ")</f>
        <v>GUA230</v>
      </c>
      <c r="G27" s="90">
        <f>IFERROR(VLOOKUP($C27,[3]Nod!$A$3:$E$991,5,FALSE)," ")</f>
        <v>2</v>
      </c>
      <c r="H27" s="130" t="s">
        <v>44</v>
      </c>
      <c r="I27" s="109"/>
      <c r="J27" s="115"/>
      <c r="K27" s="111"/>
      <c r="L27" s="90"/>
      <c r="M27" s="90"/>
    </row>
    <row r="28" spans="1:13" ht="15" customHeight="1" x14ac:dyDescent="0.25">
      <c r="A28" s="108" t="s">
        <v>50</v>
      </c>
      <c r="B28" s="109"/>
      <c r="C28" s="110">
        <v>6179</v>
      </c>
      <c r="D28" s="111">
        <v>25.34</v>
      </c>
      <c r="E28" s="112">
        <v>0</v>
      </c>
      <c r="F28" s="90" t="str">
        <f>IFERROR(VLOOKUP($C28,[3]Nod!$A$3:$E$991,4,FALSE)," ")</f>
        <v>GUA230</v>
      </c>
      <c r="G28" s="90">
        <f>IFERROR(VLOOKUP($C28,[3]Nod!$A$3:$E$991,5,FALSE)," ")</f>
        <v>2</v>
      </c>
      <c r="H28" s="121">
        <v>4</v>
      </c>
      <c r="I28" s="122"/>
      <c r="J28" s="123"/>
      <c r="K28" s="124">
        <f>SUM(K29:K32)</f>
        <v>110.14999999999999</v>
      </c>
      <c r="L28" s="90"/>
      <c r="M28" s="90"/>
    </row>
    <row r="29" spans="1:13" ht="15" customHeight="1" x14ac:dyDescent="0.25">
      <c r="A29" s="108" t="s">
        <v>51</v>
      </c>
      <c r="B29" s="109"/>
      <c r="C29" s="110">
        <v>6179</v>
      </c>
      <c r="D29" s="111">
        <v>33.799999999999997</v>
      </c>
      <c r="E29" s="112">
        <v>0</v>
      </c>
      <c r="F29" s="90" t="str">
        <f>IFERROR(VLOOKUP($C29,[3]Nod!$A$3:$E$991,4,FALSE)," ")</f>
        <v>GUA230</v>
      </c>
      <c r="G29" s="90">
        <f>IFERROR(VLOOKUP($C29,[3]Nod!$A$3:$E$991,5,FALSE)," ")</f>
        <v>2</v>
      </c>
      <c r="H29" s="113" t="s">
        <v>38</v>
      </c>
      <c r="I29" s="109"/>
      <c r="J29" s="110"/>
      <c r="K29" s="129"/>
      <c r="L29" s="90"/>
      <c r="M29" s="90"/>
    </row>
    <row r="30" spans="1:13" ht="15" customHeight="1" x14ac:dyDescent="0.25">
      <c r="A30" s="108" t="s">
        <v>52</v>
      </c>
      <c r="B30" s="109"/>
      <c r="C30" s="110">
        <v>6179</v>
      </c>
      <c r="D30" s="111">
        <v>58.66</v>
      </c>
      <c r="E30" s="112">
        <v>0</v>
      </c>
      <c r="F30" s="90" t="str">
        <f>IFERROR(VLOOKUP($C30,[3]Nod!$A$3:$E$991,4,FALSE)," ")</f>
        <v>GUA230</v>
      </c>
      <c r="G30" s="90">
        <f>IFERROR(VLOOKUP($C30,[3]Nod!$A$3:$E$991,5,FALSE)," ")</f>
        <v>2</v>
      </c>
      <c r="H30" s="114" t="s">
        <v>53</v>
      </c>
      <c r="I30" s="109"/>
      <c r="J30" s="115">
        <v>6013</v>
      </c>
      <c r="K30" s="111">
        <v>12.41</v>
      </c>
      <c r="L30" s="90" t="str">
        <f>VLOOKUP($J30,[3]Nod!$A$3:$E$991,4,FALSE)</f>
        <v>MDN34</v>
      </c>
      <c r="M30" s="90">
        <f>VLOOKUP($J30,[3]Nod!$A$3:$E$991,5,FALSE)</f>
        <v>4</v>
      </c>
    </row>
    <row r="31" spans="1:13" ht="15" customHeight="1" x14ac:dyDescent="0.25">
      <c r="A31" s="131" t="s">
        <v>44</v>
      </c>
      <c r="B31" s="117"/>
      <c r="C31" s="118"/>
      <c r="D31" s="132"/>
      <c r="E31" s="133"/>
      <c r="F31" s="90" t="str">
        <f>IFERROR(VLOOKUP($C31,[3]Nod!$A$3:$E$991,4,FALSE)," ")</f>
        <v xml:space="preserve"> </v>
      </c>
      <c r="G31" s="90" t="str">
        <f>IFERROR(VLOOKUP($C31,[3]Nod!$A$3:$E$991,5,FALSE)," ")</f>
        <v xml:space="preserve"> </v>
      </c>
      <c r="H31" s="114" t="s">
        <v>54</v>
      </c>
      <c r="I31" s="109"/>
      <c r="J31" s="115">
        <v>6013</v>
      </c>
      <c r="K31" s="111">
        <v>97.74</v>
      </c>
      <c r="L31" s="90" t="str">
        <f>VLOOKUP($J31,[3]Nod!$A$3:$E$991,4,FALSE)</f>
        <v>MDN34</v>
      </c>
      <c r="M31" s="90">
        <f>VLOOKUP($J31,[3]Nod!$A$3:$E$991,5,FALSE)</f>
        <v>4</v>
      </c>
    </row>
    <row r="32" spans="1:13" ht="15" customHeight="1" x14ac:dyDescent="0.25">
      <c r="A32" s="103">
        <v>3</v>
      </c>
      <c r="B32" s="104"/>
      <c r="C32" s="105"/>
      <c r="D32" s="106">
        <f>SUM(D33:D38)</f>
        <v>155.26999999999998</v>
      </c>
      <c r="E32" s="107"/>
      <c r="F32" s="90" t="str">
        <f>IFERROR(VLOOKUP($C32,[3]Nod!$A$3:$E$991,4,FALSE)," ")</f>
        <v xml:space="preserve"> </v>
      </c>
      <c r="G32" s="90" t="str">
        <f>IFERROR(VLOOKUP($C32,[3]Nod!$A$3:$E$991,5,FALSE)," ")</f>
        <v xml:space="preserve"> </v>
      </c>
      <c r="H32" s="116" t="s">
        <v>44</v>
      </c>
      <c r="I32" s="117"/>
      <c r="J32" s="134"/>
      <c r="K32" s="119"/>
      <c r="L32" s="90"/>
      <c r="M32" s="90"/>
    </row>
    <row r="33" spans="1:13" ht="15" customHeight="1" x14ac:dyDescent="0.25">
      <c r="A33" s="108" t="s">
        <v>55</v>
      </c>
      <c r="B33" s="109"/>
      <c r="C33" s="110">
        <v>6087</v>
      </c>
      <c r="D33" s="111">
        <v>47.2</v>
      </c>
      <c r="E33" s="112">
        <v>0</v>
      </c>
      <c r="F33" s="90" t="str">
        <f>IFERROR(VLOOKUP($C33,[3]Nod!$A$3:$E$991,4,FALSE)," ")</f>
        <v>CAL115</v>
      </c>
      <c r="G33" s="90">
        <f>IFERROR(VLOOKUP($C33,[3]Nod!$A$3:$E$991,5,FALSE)," ")</f>
        <v>3</v>
      </c>
      <c r="H33" s="103">
        <v>5</v>
      </c>
      <c r="I33" s="104"/>
      <c r="J33" s="105"/>
      <c r="K33" s="106">
        <f>SUM(K34:K40)</f>
        <v>232.27983529537579</v>
      </c>
      <c r="L33" s="90"/>
      <c r="M33" s="90"/>
    </row>
    <row r="34" spans="1:13" ht="15" customHeight="1" x14ac:dyDescent="0.25">
      <c r="A34" s="108" t="s">
        <v>56</v>
      </c>
      <c r="B34" s="109"/>
      <c r="C34" s="110">
        <v>6087</v>
      </c>
      <c r="D34" s="111">
        <v>54.76</v>
      </c>
      <c r="E34" s="112">
        <v>0</v>
      </c>
      <c r="F34" s="90" t="str">
        <f>IFERROR(VLOOKUP($C34,[3]Nod!$A$3:$E$991,4,FALSE)," ")</f>
        <v>CAL115</v>
      </c>
      <c r="G34" s="90">
        <f>IFERROR(VLOOKUP($C34,[3]Nod!$A$3:$E$991,5,FALSE)," ")</f>
        <v>3</v>
      </c>
      <c r="H34" s="113" t="s">
        <v>57</v>
      </c>
      <c r="I34" s="109"/>
      <c r="J34" s="110"/>
      <c r="K34" s="129"/>
      <c r="L34" s="90"/>
      <c r="M34" s="90"/>
    </row>
    <row r="35" spans="1:13" ht="15" customHeight="1" x14ac:dyDescent="0.25">
      <c r="A35" s="108" t="s">
        <v>58</v>
      </c>
      <c r="B35" s="109"/>
      <c r="C35" s="110">
        <v>6087</v>
      </c>
      <c r="D35" s="111">
        <v>19.75</v>
      </c>
      <c r="E35" s="112">
        <v>0</v>
      </c>
      <c r="F35" s="90" t="str">
        <f>IFERROR(VLOOKUP($C35,[3]Nod!$A$3:$E$991,4,FALSE)," ")</f>
        <v>CAL115</v>
      </c>
      <c r="G35" s="90">
        <f>IFERROR(VLOOKUP($C35,[3]Nod!$A$3:$E$991,5,FALSE)," ")</f>
        <v>3</v>
      </c>
      <c r="H35" s="114" t="s">
        <v>59</v>
      </c>
      <c r="I35" s="109"/>
      <c r="J35" s="115">
        <v>6009</v>
      </c>
      <c r="K35" s="111">
        <v>230.36</v>
      </c>
      <c r="L35" s="90" t="str">
        <f>VLOOKUP($J35,[3]Nod!$A$3:$E$991,4,FALSE)</f>
        <v>LSA115</v>
      </c>
      <c r="M35" s="90">
        <f>VLOOKUP($J35,[3]Nod!$A$3:$E$991,5,FALSE)</f>
        <v>5</v>
      </c>
    </row>
    <row r="36" spans="1:13" ht="15" customHeight="1" x14ac:dyDescent="0.25">
      <c r="A36" s="108" t="s">
        <v>60</v>
      </c>
      <c r="B36" s="109"/>
      <c r="C36" s="110">
        <v>6087</v>
      </c>
      <c r="D36" s="111">
        <v>15.5</v>
      </c>
      <c r="E36" s="112">
        <v>0</v>
      </c>
      <c r="F36" s="90" t="str">
        <f>IFERROR(VLOOKUP($C36,[3]Nod!$A$3:$E$991,4,FALSE)," ")</f>
        <v>CAL115</v>
      </c>
      <c r="G36" s="90">
        <f>IFERROR(VLOOKUP($C36,[3]Nod!$A$3:$E$991,5,FALSE)," ")</f>
        <v>3</v>
      </c>
      <c r="H36" s="113" t="s">
        <v>61</v>
      </c>
      <c r="I36" s="109"/>
      <c r="J36" s="115"/>
      <c r="K36" s="111"/>
      <c r="L36" s="90"/>
      <c r="M36" s="90"/>
    </row>
    <row r="37" spans="1:13" ht="15" customHeight="1" x14ac:dyDescent="0.25">
      <c r="A37" s="108" t="s">
        <v>62</v>
      </c>
      <c r="B37" s="109"/>
      <c r="C37" s="110">
        <v>6087</v>
      </c>
      <c r="D37" s="111">
        <v>8.1999999999999993</v>
      </c>
      <c r="E37" s="112">
        <v>0</v>
      </c>
      <c r="F37" s="90" t="str">
        <f>IFERROR(VLOOKUP($C37,[3]Nod!$A$3:$E$991,4,FALSE)," ")</f>
        <v>CAL115</v>
      </c>
      <c r="G37" s="90">
        <f>IFERROR(VLOOKUP($C37,[3]Nod!$A$3:$E$991,5,FALSE)," ")</f>
        <v>3</v>
      </c>
      <c r="H37" s="114" t="s">
        <v>63</v>
      </c>
      <c r="I37" s="109"/>
      <c r="J37" s="115">
        <v>6009</v>
      </c>
      <c r="K37" s="111">
        <v>0.98298267347968538</v>
      </c>
      <c r="L37" s="90" t="str">
        <f>VLOOKUP($J37,[3]Nod!$A$3:$E$991,4,FALSE)</f>
        <v>LSA115</v>
      </c>
      <c r="M37" s="90">
        <f>VLOOKUP($J37,[3]Nod!$A$3:$E$991,5,FALSE)</f>
        <v>5</v>
      </c>
    </row>
    <row r="38" spans="1:13" ht="15" customHeight="1" x14ac:dyDescent="0.25">
      <c r="A38" s="108" t="s">
        <v>64</v>
      </c>
      <c r="B38" s="109"/>
      <c r="C38" s="110">
        <v>6087</v>
      </c>
      <c r="D38" s="111">
        <v>9.86</v>
      </c>
      <c r="E38" s="112">
        <v>0</v>
      </c>
      <c r="F38" s="90" t="str">
        <f>IFERROR(VLOOKUP($C38,[3]Nod!$A$3:$E$991,4,FALSE)," ")</f>
        <v>CAL115</v>
      </c>
      <c r="G38" s="90">
        <f>IFERROR(VLOOKUP($C38,[3]Nod!$A$3:$E$991,5,FALSE)," ")</f>
        <v>3</v>
      </c>
      <c r="H38" s="114" t="s">
        <v>65</v>
      </c>
      <c r="I38" s="109"/>
      <c r="J38" s="115">
        <v>6009</v>
      </c>
      <c r="K38" s="111">
        <v>0.81643298536117104</v>
      </c>
      <c r="L38" s="90" t="str">
        <f>VLOOKUP($J38,[3]Nod!$A$3:$E$991,4,FALSE)</f>
        <v>LSA115</v>
      </c>
      <c r="M38" s="90">
        <f>VLOOKUP($J38,[3]Nod!$A$3:$E$991,5,FALSE)</f>
        <v>5</v>
      </c>
    </row>
    <row r="39" spans="1:13" ht="15" customHeight="1" x14ac:dyDescent="0.25">
      <c r="A39" s="126" t="s">
        <v>44</v>
      </c>
      <c r="B39" s="109"/>
      <c r="C39" s="110"/>
      <c r="D39" s="127"/>
      <c r="E39" s="112"/>
      <c r="F39" s="90" t="str">
        <f>IFERROR(VLOOKUP($C39,[3]Nod!$A$3:$E$991,4,FALSE)," ")</f>
        <v xml:space="preserve"> </v>
      </c>
      <c r="G39" s="90" t="str">
        <f>IFERROR(VLOOKUP($C39,[3]Nod!$A$3:$E$991,5,FALSE)," ")</f>
        <v xml:space="preserve"> </v>
      </c>
      <c r="H39" s="114" t="s">
        <v>66</v>
      </c>
      <c r="I39" s="109"/>
      <c r="J39" s="115">
        <v>6009</v>
      </c>
      <c r="K39" s="111">
        <v>0.12041963653493307</v>
      </c>
      <c r="L39" s="90" t="str">
        <f>VLOOKUP($J39,[3]Nod!$A$3:$E$991,4,FALSE)</f>
        <v>LSA115</v>
      </c>
      <c r="M39" s="90">
        <f>VLOOKUP($J39,[3]Nod!$A$3:$E$991,5,FALSE)</f>
        <v>5</v>
      </c>
    </row>
    <row r="40" spans="1:13" ht="15" customHeight="1" x14ac:dyDescent="0.25">
      <c r="A40" s="121">
        <v>4</v>
      </c>
      <c r="B40" s="122"/>
      <c r="C40" s="123"/>
      <c r="D40" s="124">
        <f>SUM(D41:D64)</f>
        <v>326.15999999999997</v>
      </c>
      <c r="E40" s="128"/>
      <c r="F40" s="90" t="str">
        <f>IFERROR(VLOOKUP($C40,[3]Nod!$A$3:$E$991,4,FALSE)," ")</f>
        <v xml:space="preserve"> </v>
      </c>
      <c r="G40" s="90" t="str">
        <f>IFERROR(VLOOKUP($C40,[3]Nod!$A$3:$E$991,5,FALSE)," ")</f>
        <v xml:space="preserve"> </v>
      </c>
      <c r="H40" s="130" t="s">
        <v>44</v>
      </c>
      <c r="I40" s="109"/>
      <c r="J40" s="110"/>
      <c r="K40" s="129"/>
      <c r="L40" s="90"/>
      <c r="M40" s="90"/>
    </row>
    <row r="41" spans="1:13" ht="15" customHeight="1" x14ac:dyDescent="0.25">
      <c r="A41" s="108" t="s">
        <v>67</v>
      </c>
      <c r="B41" s="109"/>
      <c r="C41" s="115">
        <v>6380</v>
      </c>
      <c r="D41" s="111">
        <v>10</v>
      </c>
      <c r="E41" s="112">
        <v>0</v>
      </c>
      <c r="F41" s="90" t="str">
        <f>IFERROR(VLOOKUP($C41,[3]Nod!$A$3:$E$991,4,FALSE)," ")</f>
        <v>BOQIII230</v>
      </c>
      <c r="G41" s="90">
        <f>IFERROR(VLOOKUP($C41,[3]Nod!$A$3:$E$991,5,FALSE)," ")</f>
        <v>4</v>
      </c>
      <c r="H41" s="121">
        <v>6</v>
      </c>
      <c r="I41" s="122"/>
      <c r="J41" s="123"/>
      <c r="K41" s="124">
        <f>SUM(K42:K47)</f>
        <v>165.64199929453994</v>
      </c>
      <c r="L41" s="90"/>
      <c r="M41" s="90"/>
    </row>
    <row r="42" spans="1:13" ht="15" customHeight="1" x14ac:dyDescent="0.25">
      <c r="A42" s="135" t="s">
        <v>68</v>
      </c>
      <c r="B42" s="109"/>
      <c r="C42" s="115">
        <v>6380</v>
      </c>
      <c r="D42" s="111">
        <v>3.5</v>
      </c>
      <c r="E42" s="112">
        <v>0</v>
      </c>
      <c r="F42" s="90" t="str">
        <f>IFERROR(VLOOKUP($C42,[3]Nod!$A$3:$E$991,4,FALSE)," ")</f>
        <v>BOQIII230</v>
      </c>
      <c r="G42" s="90">
        <f>IFERROR(VLOOKUP($C42,[3]Nod!$A$3:$E$991,5,FALSE)," ")</f>
        <v>4</v>
      </c>
      <c r="H42" s="113" t="s">
        <v>57</v>
      </c>
      <c r="I42" s="109"/>
      <c r="J42" s="110"/>
      <c r="K42" s="129"/>
      <c r="L42" s="90"/>
      <c r="M42" s="90"/>
    </row>
    <row r="43" spans="1:13" ht="15" customHeight="1" x14ac:dyDescent="0.25">
      <c r="A43" s="108" t="s">
        <v>69</v>
      </c>
      <c r="B43" s="109"/>
      <c r="C43" s="115">
        <v>6013</v>
      </c>
      <c r="D43" s="111">
        <v>6.12</v>
      </c>
      <c r="E43" s="112">
        <v>0</v>
      </c>
      <c r="F43" s="90" t="str">
        <f>IFERROR(VLOOKUP($C43,[3]Nod!$A$3:$E$991,4,FALSE)," ")</f>
        <v>MDN34</v>
      </c>
      <c r="G43" s="90">
        <f>IFERROR(VLOOKUP($C43,[3]Nod!$A$3:$E$991,5,FALSE)," ")</f>
        <v>4</v>
      </c>
      <c r="H43" s="114" t="s">
        <v>70</v>
      </c>
      <c r="I43" s="109"/>
      <c r="J43" s="115">
        <v>6005</v>
      </c>
      <c r="K43" s="111">
        <v>164.31</v>
      </c>
      <c r="L43" s="90" t="str">
        <f>VLOOKUP($J43,[3]Nod!$A$3:$E$991,4,FALSE)</f>
        <v>CHO230</v>
      </c>
      <c r="M43" s="90">
        <f>VLOOKUP($J43,[3]Nod!$A$3:$E$991,5,FALSE)</f>
        <v>6</v>
      </c>
    </row>
    <row r="44" spans="1:13" ht="15" customHeight="1" x14ac:dyDescent="0.25">
      <c r="A44" s="135" t="s">
        <v>71</v>
      </c>
      <c r="B44" s="109"/>
      <c r="C44" s="115">
        <v>6013</v>
      </c>
      <c r="D44" s="111">
        <v>4.95</v>
      </c>
      <c r="E44" s="112">
        <v>0</v>
      </c>
      <c r="F44" s="90" t="str">
        <f>IFERROR(VLOOKUP($C44,[3]Nod!$A$3:$E$991,4,FALSE)," ")</f>
        <v>MDN34</v>
      </c>
      <c r="G44" s="90">
        <f>IFERROR(VLOOKUP($C44,[3]Nod!$A$3:$E$991,5,FALSE)," ")</f>
        <v>4</v>
      </c>
      <c r="H44" s="113" t="s">
        <v>61</v>
      </c>
      <c r="I44" s="109"/>
      <c r="J44" s="115"/>
      <c r="K44" s="111"/>
      <c r="L44" s="90"/>
      <c r="M44" s="90"/>
    </row>
    <row r="45" spans="1:13" ht="15" customHeight="1" x14ac:dyDescent="0.25">
      <c r="A45" s="108" t="s">
        <v>72</v>
      </c>
      <c r="B45" s="109"/>
      <c r="C45" s="115">
        <v>6380</v>
      </c>
      <c r="D45" s="111">
        <v>20</v>
      </c>
      <c r="E45" s="136">
        <v>0</v>
      </c>
      <c r="F45" s="90" t="str">
        <f>IFERROR(VLOOKUP($C45,[3]Nod!$A$3:$E$991,4,FALSE)," ")</f>
        <v>BOQIII230</v>
      </c>
      <c r="G45" s="90">
        <f>IFERROR(VLOOKUP($C45,[3]Nod!$A$3:$E$991,5,FALSE)," ")</f>
        <v>4</v>
      </c>
      <c r="H45" s="114" t="s">
        <v>63</v>
      </c>
      <c r="I45" s="109"/>
      <c r="J45" s="115">
        <v>6005</v>
      </c>
      <c r="K45" s="111">
        <v>0.29932012016500509</v>
      </c>
      <c r="L45" s="90" t="str">
        <f>VLOOKUP($J45,[3]Nod!$A$3:$E$991,4,FALSE)</f>
        <v>CHO230</v>
      </c>
      <c r="M45" s="90">
        <f>VLOOKUP($J45,[3]Nod!$A$3:$E$991,5,FALSE)</f>
        <v>6</v>
      </c>
    </row>
    <row r="46" spans="1:13" ht="15" customHeight="1" x14ac:dyDescent="0.25">
      <c r="A46" s="108" t="s">
        <v>73</v>
      </c>
      <c r="B46" s="109"/>
      <c r="C46" s="115">
        <v>6380</v>
      </c>
      <c r="D46" s="111">
        <v>14</v>
      </c>
      <c r="E46" s="136">
        <v>0</v>
      </c>
      <c r="F46" s="90" t="str">
        <f>IFERROR(VLOOKUP($C46,[3]Nod!$A$3:$E$991,4,FALSE)," ")</f>
        <v>BOQIII230</v>
      </c>
      <c r="G46" s="90">
        <f>IFERROR(VLOOKUP($C46,[3]Nod!$A$3:$E$991,5,FALSE)," ")</f>
        <v>4</v>
      </c>
      <c r="H46" s="114" t="s">
        <v>74</v>
      </c>
      <c r="I46" s="109"/>
      <c r="J46" s="115">
        <v>6005</v>
      </c>
      <c r="K46" s="111">
        <v>1.0326791743749477</v>
      </c>
      <c r="L46" s="90" t="str">
        <f>VLOOKUP($J46,[3]Nod!$A$3:$E$991,4,FALSE)</f>
        <v>CHO230</v>
      </c>
      <c r="M46" s="90">
        <f>VLOOKUP($J46,[3]Nod!$A$3:$E$991,5,FALSE)</f>
        <v>6</v>
      </c>
    </row>
    <row r="47" spans="1:13" ht="15" customHeight="1" x14ac:dyDescent="0.25">
      <c r="A47" s="108" t="s">
        <v>75</v>
      </c>
      <c r="B47" s="109"/>
      <c r="C47" s="115">
        <v>6380</v>
      </c>
      <c r="D47" s="111">
        <v>14</v>
      </c>
      <c r="E47" s="136">
        <v>0</v>
      </c>
      <c r="F47" s="90" t="str">
        <f>IFERROR(VLOOKUP($C47,[3]Nod!$A$3:$E$991,4,FALSE)," ")</f>
        <v>BOQIII230</v>
      </c>
      <c r="G47" s="90">
        <f>IFERROR(VLOOKUP($C47,[3]Nod!$A$3:$E$991,5,FALSE)," ")</f>
        <v>4</v>
      </c>
      <c r="H47" s="116" t="s">
        <v>44</v>
      </c>
      <c r="I47" s="117"/>
      <c r="J47" s="118"/>
      <c r="K47" s="125"/>
      <c r="L47" s="90"/>
      <c r="M47" s="90"/>
    </row>
    <row r="48" spans="1:13" ht="15" customHeight="1" x14ac:dyDescent="0.25">
      <c r="A48" s="135" t="s">
        <v>76</v>
      </c>
      <c r="B48" s="109"/>
      <c r="C48" s="137">
        <v>6013</v>
      </c>
      <c r="D48" s="111">
        <v>2.5</v>
      </c>
      <c r="E48" s="112">
        <v>0</v>
      </c>
      <c r="F48" s="90" t="str">
        <f>IFERROR(VLOOKUP($C48,[3]Nod!$A$3:$E$991,4,FALSE)," ")</f>
        <v>MDN34</v>
      </c>
      <c r="G48" s="90">
        <f>IFERROR(VLOOKUP($C48,[3]Nod!$A$3:$E$991,5,FALSE)," ")</f>
        <v>4</v>
      </c>
      <c r="H48" s="103">
        <v>7</v>
      </c>
      <c r="I48" s="104"/>
      <c r="J48" s="105"/>
      <c r="K48" s="106">
        <f>SUM(K49:K64)</f>
        <v>1234.193028004541</v>
      </c>
      <c r="L48" s="90"/>
      <c r="M48" s="90"/>
    </row>
    <row r="49" spans="1:13" ht="15" customHeight="1" x14ac:dyDescent="0.25">
      <c r="A49" s="135" t="s">
        <v>77</v>
      </c>
      <c r="B49" s="109"/>
      <c r="C49" s="137">
        <v>6013</v>
      </c>
      <c r="D49" s="111">
        <v>3.12</v>
      </c>
      <c r="E49" s="112">
        <v>0</v>
      </c>
      <c r="F49" s="90" t="str">
        <f>IFERROR(VLOOKUP($C49,[3]Nod!$A$3:$E$991,4,FALSE)," ")</f>
        <v>MDN34</v>
      </c>
      <c r="G49" s="90">
        <f>IFERROR(VLOOKUP($C49,[3]Nod!$A$3:$E$991,5,FALSE)," ")</f>
        <v>4</v>
      </c>
      <c r="H49" s="113" t="s">
        <v>78</v>
      </c>
      <c r="I49" s="109"/>
      <c r="J49" s="110"/>
      <c r="K49" s="111"/>
      <c r="L49" s="90"/>
      <c r="M49" s="90"/>
    </row>
    <row r="50" spans="1:13" ht="15" customHeight="1" x14ac:dyDescent="0.25">
      <c r="A50" s="108" t="s">
        <v>79</v>
      </c>
      <c r="B50" s="109"/>
      <c r="C50" s="115">
        <v>6380</v>
      </c>
      <c r="D50" s="111">
        <v>10</v>
      </c>
      <c r="E50" s="112">
        <v>0</v>
      </c>
      <c r="F50" s="90" t="str">
        <f>IFERROR(VLOOKUP($C50,[3]Nod!$A$3:$E$991,4,FALSE)," ")</f>
        <v>BOQIII230</v>
      </c>
      <c r="G50" s="90">
        <f>IFERROR(VLOOKUP($C50,[3]Nod!$A$3:$E$991,5,FALSE)," ")</f>
        <v>4</v>
      </c>
      <c r="H50" s="114" t="s">
        <v>80</v>
      </c>
      <c r="I50" s="109"/>
      <c r="J50" s="115">
        <v>6002</v>
      </c>
      <c r="K50" s="111">
        <v>502.81</v>
      </c>
      <c r="L50" s="90" t="str">
        <f>VLOOKUP($J50,[3]Nod!$A$3:$E$991,4,FALSE)</f>
        <v>PAN115</v>
      </c>
      <c r="M50" s="90">
        <f>VLOOKUP($J50,[3]Nod!$A$3:$E$991,5,FALSE)</f>
        <v>7</v>
      </c>
    </row>
    <row r="51" spans="1:13" ht="15" customHeight="1" x14ac:dyDescent="0.25">
      <c r="A51" s="108" t="s">
        <v>81</v>
      </c>
      <c r="B51" s="109"/>
      <c r="C51" s="115">
        <v>6380</v>
      </c>
      <c r="D51" s="111">
        <v>10</v>
      </c>
      <c r="E51" s="112">
        <v>0</v>
      </c>
      <c r="F51" s="90" t="str">
        <f>IFERROR(VLOOKUP($C51,[3]Nod!$A$3:$E$991,4,FALSE)," ")</f>
        <v>BOQIII230</v>
      </c>
      <c r="G51" s="90">
        <f>IFERROR(VLOOKUP($C51,[3]Nod!$A$3:$E$991,5,FALSE)," ")</f>
        <v>4</v>
      </c>
      <c r="H51" s="114" t="s">
        <v>82</v>
      </c>
      <c r="I51" s="109"/>
      <c r="J51" s="115">
        <v>6004</v>
      </c>
      <c r="K51" s="111">
        <v>219.28</v>
      </c>
      <c r="L51" s="90" t="str">
        <f>VLOOKUP($J51,[3]Nod!$A$3:$E$991,4,FALSE)</f>
        <v>PANII115</v>
      </c>
      <c r="M51" s="90">
        <f>VLOOKUP($J51,[3]Nod!$A$3:$E$991,5,FALSE)</f>
        <v>7</v>
      </c>
    </row>
    <row r="52" spans="1:13" ht="15" customHeight="1" x14ac:dyDescent="0.25">
      <c r="A52" s="108" t="s">
        <v>83</v>
      </c>
      <c r="B52" s="109"/>
      <c r="C52" s="115">
        <v>6013</v>
      </c>
      <c r="D52" s="111">
        <v>8.1199999999999992</v>
      </c>
      <c r="E52" s="112">
        <v>0</v>
      </c>
      <c r="F52" s="90" t="str">
        <f>IFERROR(VLOOKUP($C52,[3]Nod!$A$3:$E$991,4,FALSE)," ")</f>
        <v>MDN34</v>
      </c>
      <c r="G52" s="90">
        <f>IFERROR(VLOOKUP($C52,[3]Nod!$A$3:$E$991,5,FALSE)," ")</f>
        <v>4</v>
      </c>
      <c r="H52" s="114"/>
      <c r="I52" s="109"/>
      <c r="J52" s="115"/>
      <c r="K52" s="111"/>
      <c r="L52" s="90"/>
      <c r="M52" s="90"/>
    </row>
    <row r="53" spans="1:13" ht="15" customHeight="1" x14ac:dyDescent="0.25">
      <c r="A53" s="108" t="s">
        <v>84</v>
      </c>
      <c r="B53" s="109"/>
      <c r="C53" s="115">
        <v>6182</v>
      </c>
      <c r="D53" s="111">
        <v>51.65</v>
      </c>
      <c r="E53" s="112">
        <v>0</v>
      </c>
      <c r="F53" s="90" t="str">
        <f>IFERROR(VLOOKUP($C53,[3]Nod!$A$3:$E$991,4,FALSE)," ")</f>
        <v>VEL230</v>
      </c>
      <c r="G53" s="90">
        <f>IFERROR(VLOOKUP($C53,[3]Nod!$A$3:$E$991,5,FALSE)," ")</f>
        <v>4</v>
      </c>
      <c r="H53" s="113" t="s">
        <v>57</v>
      </c>
      <c r="I53" s="109"/>
      <c r="J53" s="115"/>
      <c r="K53" s="111"/>
      <c r="L53" s="90"/>
      <c r="M53" s="90"/>
    </row>
    <row r="54" spans="1:13" ht="15" customHeight="1" x14ac:dyDescent="0.25">
      <c r="A54" s="135" t="s">
        <v>85</v>
      </c>
      <c r="B54" s="109"/>
      <c r="C54" s="115">
        <v>6380</v>
      </c>
      <c r="D54" s="111">
        <v>3.29</v>
      </c>
      <c r="E54" s="112">
        <v>0</v>
      </c>
      <c r="F54" s="90" t="str">
        <f>IFERROR(VLOOKUP($C54,[3]Nod!$A$3:$E$991,4,FALSE)," ")</f>
        <v>BOQIII230</v>
      </c>
      <c r="G54" s="90">
        <f>IFERROR(VLOOKUP($C54,[3]Nod!$A$3:$E$991,5,FALSE)," ")</f>
        <v>4</v>
      </c>
      <c r="H54" s="114" t="s">
        <v>80</v>
      </c>
      <c r="I54" s="109"/>
      <c r="J54" s="115">
        <v>6002</v>
      </c>
      <c r="K54" s="111">
        <v>476.72</v>
      </c>
      <c r="L54" s="90" t="str">
        <f>VLOOKUP($J54,[3]Nod!$A$3:$E$991,4,FALSE)</f>
        <v>PAN115</v>
      </c>
      <c r="M54" s="90">
        <f>VLOOKUP($J54,[3]Nod!$A$3:$E$991,5,FALSE)</f>
        <v>7</v>
      </c>
    </row>
    <row r="55" spans="1:13" ht="15" customHeight="1" x14ac:dyDescent="0.25">
      <c r="A55" s="135" t="s">
        <v>86</v>
      </c>
      <c r="B55" s="109"/>
      <c r="C55" s="115">
        <v>6380</v>
      </c>
      <c r="D55" s="111">
        <v>4</v>
      </c>
      <c r="E55" s="112">
        <v>13</v>
      </c>
      <c r="F55" s="90" t="str">
        <f>IFERROR(VLOOKUP($C55,[3]Nod!$A$3:$E$991,4,FALSE)," ")</f>
        <v>BOQIII230</v>
      </c>
      <c r="G55" s="90">
        <f>IFERROR(VLOOKUP($C55,[3]Nod!$A$3:$E$991,5,FALSE)," ")</f>
        <v>4</v>
      </c>
      <c r="H55" s="113" t="s">
        <v>61</v>
      </c>
      <c r="I55" s="109"/>
      <c r="J55" s="115"/>
      <c r="K55" s="111"/>
      <c r="L55" s="90"/>
      <c r="M55" s="90"/>
    </row>
    <row r="56" spans="1:13" ht="15" customHeight="1" x14ac:dyDescent="0.25">
      <c r="A56" s="108" t="s">
        <v>87</v>
      </c>
      <c r="B56" s="109"/>
      <c r="C56" s="115">
        <v>6182</v>
      </c>
      <c r="D56" s="111">
        <v>69.48</v>
      </c>
      <c r="E56" s="112">
        <v>0</v>
      </c>
      <c r="F56" s="90" t="str">
        <f>IFERROR(VLOOKUP($C56,[3]Nod!$A$3:$E$991,4,FALSE)," ")</f>
        <v>VEL230</v>
      </c>
      <c r="G56" s="90">
        <f>IFERROR(VLOOKUP($C56,[3]Nod!$A$3:$E$991,5,FALSE)," ")</f>
        <v>4</v>
      </c>
      <c r="H56" s="114" t="s">
        <v>88</v>
      </c>
      <c r="I56" s="109"/>
      <c r="J56" s="115">
        <v>6024</v>
      </c>
      <c r="K56" s="111">
        <v>24.14123591370431</v>
      </c>
      <c r="L56" s="90" t="str">
        <f>VLOOKUP($J56,[3]Nod!$A$3:$E$991,4,FALSE)</f>
        <v>CHI115</v>
      </c>
      <c r="M56" s="90">
        <f>VLOOKUP($J56,[3]Nod!$A$3:$E$991,5,FALSE)</f>
        <v>7</v>
      </c>
    </row>
    <row r="57" spans="1:13" ht="15" customHeight="1" x14ac:dyDescent="0.25">
      <c r="A57" s="138" t="s">
        <v>89</v>
      </c>
      <c r="B57" s="139"/>
      <c r="C57" s="140">
        <v>6380</v>
      </c>
      <c r="D57" s="141">
        <v>5</v>
      </c>
      <c r="E57" s="142">
        <v>13</v>
      </c>
      <c r="F57" s="90" t="str">
        <f>IFERROR(VLOOKUP($C57,[3]Nod!$A$3:$E$991,4,FALSE)," ")</f>
        <v>BOQIII230</v>
      </c>
      <c r="G57" s="90">
        <f>IFERROR(VLOOKUP($C57,[3]Nod!$A$3:$E$991,5,FALSE)," ")</f>
        <v>4</v>
      </c>
      <c r="H57" s="114" t="s">
        <v>90</v>
      </c>
      <c r="I57" s="109"/>
      <c r="J57" s="115">
        <v>6002</v>
      </c>
      <c r="K57" s="111">
        <v>1.178379235147794</v>
      </c>
      <c r="L57" s="90" t="str">
        <f>VLOOKUP($J57,[3]Nod!$A$3:$E$991,4,FALSE)</f>
        <v>PAN115</v>
      </c>
      <c r="M57" s="90">
        <f>VLOOKUP($J57,[3]Nod!$A$3:$E$991,5,FALSE)</f>
        <v>7</v>
      </c>
    </row>
    <row r="58" spans="1:13" ht="15" customHeight="1" x14ac:dyDescent="0.25">
      <c r="A58" s="143" t="s">
        <v>91</v>
      </c>
      <c r="B58" s="139"/>
      <c r="C58" s="140">
        <v>6013</v>
      </c>
      <c r="D58" s="141">
        <v>3.72</v>
      </c>
      <c r="E58" s="142">
        <v>13</v>
      </c>
      <c r="F58" s="90" t="str">
        <f>IFERROR(VLOOKUP($C58,[3]Nod!$A$3:$E$991,4,FALSE)," ")</f>
        <v>MDN34</v>
      </c>
      <c r="G58" s="90">
        <f>IFERROR(VLOOKUP($C58,[3]Nod!$A$3:$E$991,5,FALSE)," ")</f>
        <v>4</v>
      </c>
      <c r="H58" s="114" t="s">
        <v>63</v>
      </c>
      <c r="I58" s="109"/>
      <c r="J58" s="115">
        <v>6002</v>
      </c>
      <c r="K58" s="111">
        <v>3.9782919721040182</v>
      </c>
      <c r="L58" s="90" t="str">
        <f>VLOOKUP($J58,[3]Nod!$A$3:$E$991,4,FALSE)</f>
        <v>PAN115</v>
      </c>
      <c r="M58" s="90">
        <f>VLOOKUP($J58,[3]Nod!$A$3:$E$991,5,FALSE)</f>
        <v>7</v>
      </c>
    </row>
    <row r="59" spans="1:13" ht="15" customHeight="1" x14ac:dyDescent="0.25">
      <c r="A59" s="108" t="s">
        <v>92</v>
      </c>
      <c r="B59" s="109"/>
      <c r="C59" s="137">
        <v>6013</v>
      </c>
      <c r="D59" s="111">
        <v>10</v>
      </c>
      <c r="E59" s="112">
        <v>13</v>
      </c>
      <c r="F59" s="90" t="str">
        <f>IFERROR(VLOOKUP($C59,[3]Nod!$A$3:$E$991,4,FALSE)," ")</f>
        <v>MDN34</v>
      </c>
      <c r="G59" s="90">
        <f>IFERROR(VLOOKUP($C59,[3]Nod!$A$3:$E$991,5,FALSE)," ")</f>
        <v>4</v>
      </c>
      <c r="H59" s="114" t="s">
        <v>93</v>
      </c>
      <c r="I59" s="109"/>
      <c r="J59" s="115">
        <v>6002</v>
      </c>
      <c r="K59" s="111">
        <v>0.91532859317102244</v>
      </c>
      <c r="L59" s="90" t="str">
        <f>VLOOKUP($J59,[3]Nod!$A$3:$E$991,4,FALSE)</f>
        <v>PAN115</v>
      </c>
      <c r="M59" s="90">
        <f>VLOOKUP($J59,[3]Nod!$A$3:$E$991,5,FALSE)</f>
        <v>7</v>
      </c>
    </row>
    <row r="60" spans="1:13" ht="15" customHeight="1" x14ac:dyDescent="0.25">
      <c r="A60" s="108" t="s">
        <v>94</v>
      </c>
      <c r="B60" s="109"/>
      <c r="C60" s="137">
        <v>6520</v>
      </c>
      <c r="D60" s="141">
        <v>19.87</v>
      </c>
      <c r="E60" s="136">
        <v>0</v>
      </c>
      <c r="F60" s="90" t="str">
        <f>IFERROR(VLOOKUP($C60,[3]Nod!$A$3:$E$991,4,FALSE)," ")</f>
        <v>SBA34</v>
      </c>
      <c r="G60" s="90">
        <f>IFERROR(VLOOKUP($C60,[3]Nod!$A$3:$E$991,5,FALSE)," ")</f>
        <v>4</v>
      </c>
      <c r="H60" s="114" t="s">
        <v>95</v>
      </c>
      <c r="I60" s="109"/>
      <c r="J60" s="115">
        <v>6002</v>
      </c>
      <c r="K60" s="111">
        <v>0.16502931546830643</v>
      </c>
      <c r="L60" s="90" t="str">
        <f>VLOOKUP($J60,[3]Nod!$A$3:$E$991,4,FALSE)</f>
        <v>PAN115</v>
      </c>
      <c r="M60" s="90">
        <f>VLOOKUP($J60,[3]Nod!$A$3:$E$991,5,FALSE)</f>
        <v>7</v>
      </c>
    </row>
    <row r="61" spans="1:13" ht="15" customHeight="1" x14ac:dyDescent="0.25">
      <c r="A61" s="120" t="s">
        <v>96</v>
      </c>
      <c r="C61" s="137">
        <v>6550</v>
      </c>
      <c r="D61" s="144">
        <v>28.5</v>
      </c>
      <c r="E61" s="136">
        <v>0</v>
      </c>
      <c r="F61" s="90" t="str">
        <f>IFERROR(VLOOKUP($C61,[3]Nod!$A$3:$E$991,4,FALSE)," ")</f>
        <v>BEV230</v>
      </c>
      <c r="G61" s="90">
        <f>IFERROR(VLOOKUP($C61,[3]Nod!$A$3:$E$991,5,FALSE)," ")</f>
        <v>4</v>
      </c>
      <c r="H61" s="114" t="s">
        <v>97</v>
      </c>
      <c r="I61" s="109"/>
      <c r="J61" s="115">
        <v>6002</v>
      </c>
      <c r="K61" s="111">
        <v>1.3409961685823757</v>
      </c>
      <c r="L61" s="90" t="str">
        <f>VLOOKUP($J61,[3]Nod!$A$3:$E$991,4,FALSE)</f>
        <v>PAN115</v>
      </c>
      <c r="M61" s="90">
        <f>VLOOKUP($J61,[3]Nod!$A$3:$E$991,5,FALSE)</f>
        <v>7</v>
      </c>
    </row>
    <row r="62" spans="1:13" ht="15" customHeight="1" x14ac:dyDescent="0.25">
      <c r="A62" s="120" t="s">
        <v>98</v>
      </c>
      <c r="C62" s="115">
        <v>6380</v>
      </c>
      <c r="D62" s="144">
        <v>13.14</v>
      </c>
      <c r="E62" s="136">
        <v>0</v>
      </c>
      <c r="F62" s="90" t="str">
        <f>IFERROR(VLOOKUP($C62,[3]Nod!$A$3:$E$991,4,FALSE)," ")</f>
        <v>BOQIII230</v>
      </c>
      <c r="G62" s="90">
        <f>IFERROR(VLOOKUP($C62,[3]Nod!$A$3:$E$991,5,FALSE)," ")</f>
        <v>4</v>
      </c>
      <c r="H62" s="114" t="s">
        <v>99</v>
      </c>
      <c r="I62" s="109"/>
      <c r="J62" s="115">
        <v>6002</v>
      </c>
      <c r="K62" s="111">
        <v>3.3687567575172861</v>
      </c>
      <c r="L62" s="90" t="str">
        <f>VLOOKUP($J62,[3]Nod!$A$3:$E$991,4,FALSE)</f>
        <v>PAN115</v>
      </c>
      <c r="M62" s="90">
        <f>VLOOKUP($J62,[3]Nod!$A$3:$E$991,5,FALSE)</f>
        <v>7</v>
      </c>
    </row>
    <row r="63" spans="1:13" ht="15" customHeight="1" x14ac:dyDescent="0.25">
      <c r="A63" s="120" t="s">
        <v>100</v>
      </c>
      <c r="C63" s="115">
        <v>6380</v>
      </c>
      <c r="D63" s="129">
        <v>3</v>
      </c>
      <c r="E63" s="136">
        <v>13</v>
      </c>
      <c r="F63" s="90" t="str">
        <f>IFERROR(VLOOKUP($C63,[3]Nod!$A$3:$E$991,4,FALSE)," ")</f>
        <v>BOQIII230</v>
      </c>
      <c r="G63" s="90">
        <f>IFERROR(VLOOKUP($C63,[3]Nod!$A$3:$E$991,5,FALSE)," ")</f>
        <v>4</v>
      </c>
      <c r="H63" s="114" t="s">
        <v>101</v>
      </c>
      <c r="I63" s="109"/>
      <c r="J63" s="115">
        <v>6004</v>
      </c>
      <c r="K63" s="111">
        <v>0.29501004884593701</v>
      </c>
      <c r="L63" s="90" t="str">
        <f>VLOOKUP($J63,[3]Nod!$A$3:$E$991,4,FALSE)</f>
        <v>PANII115</v>
      </c>
      <c r="M63" s="90">
        <f>VLOOKUP($J63,[3]Nod!$A$3:$E$991,5,FALSE)</f>
        <v>7</v>
      </c>
    </row>
    <row r="64" spans="1:13" ht="15" customHeight="1" x14ac:dyDescent="0.25">
      <c r="A64" s="120" t="s">
        <v>102</v>
      </c>
      <c r="C64" s="115">
        <v>6380</v>
      </c>
      <c r="D64" s="129">
        <v>8.1999999999999993</v>
      </c>
      <c r="E64" s="136">
        <v>0</v>
      </c>
      <c r="F64" s="90" t="str">
        <f>IFERROR(VLOOKUP($C64,[3]Nod!$A$3:$E$991,4,FALSE)," ")</f>
        <v>BOQIII230</v>
      </c>
      <c r="G64" s="90">
        <f>IFERROR(VLOOKUP($C64,[3]Nod!$A$3:$E$991,5,FALSE)," ")</f>
        <v>4</v>
      </c>
      <c r="H64" s="116" t="s">
        <v>44</v>
      </c>
      <c r="I64" s="117"/>
      <c r="J64" s="134"/>
      <c r="K64" s="119"/>
      <c r="L64" s="90"/>
      <c r="M64" s="90"/>
    </row>
    <row r="65" spans="1:14" ht="15" customHeight="1" x14ac:dyDescent="0.25">
      <c r="A65" s="131" t="s">
        <v>44</v>
      </c>
      <c r="B65" s="117"/>
      <c r="C65" s="118"/>
      <c r="D65" s="132"/>
      <c r="E65" s="133"/>
      <c r="F65" s="90" t="str">
        <f>IFERROR(VLOOKUP($C65,[3]Nod!$A$3:$E$991,4,FALSE)," ")</f>
        <v xml:space="preserve"> </v>
      </c>
      <c r="G65" s="90" t="str">
        <f>IFERROR(VLOOKUP($C65,[3]Nod!$A$3:$E$991,5,FALSE)," ")</f>
        <v xml:space="preserve"> </v>
      </c>
      <c r="H65" s="121">
        <v>8</v>
      </c>
      <c r="I65" s="122"/>
      <c r="J65" s="123"/>
      <c r="K65" s="124">
        <f>SUM(K66:K68)</f>
        <v>23.17</v>
      </c>
      <c r="L65" s="90"/>
      <c r="M65" s="90"/>
      <c r="N65"/>
    </row>
    <row r="66" spans="1:14" ht="15" customHeight="1" x14ac:dyDescent="0.25">
      <c r="A66" s="103">
        <v>5</v>
      </c>
      <c r="B66" s="104"/>
      <c r="C66" s="105"/>
      <c r="D66" s="106">
        <f>SUM(D67:D92)</f>
        <v>359.97</v>
      </c>
      <c r="E66" s="107"/>
      <c r="F66" s="90" t="str">
        <f>IFERROR(VLOOKUP($C66,[3]Nod!$A$3:$E$991,4,FALSE)," ")</f>
        <v xml:space="preserve"> </v>
      </c>
      <c r="G66" s="90" t="str">
        <f>IFERROR(VLOOKUP($C66,[3]Nod!$A$3:$E$991,5,FALSE)," ")</f>
        <v xml:space="preserve"> </v>
      </c>
      <c r="H66" s="113" t="s">
        <v>78</v>
      </c>
      <c r="I66" s="109"/>
      <c r="J66" s="115"/>
      <c r="K66" s="111"/>
      <c r="L66" s="90"/>
      <c r="M66" s="90"/>
      <c r="N66"/>
    </row>
    <row r="67" spans="1:14" ht="15" customHeight="1" x14ac:dyDescent="0.25">
      <c r="A67" s="108" t="s">
        <v>103</v>
      </c>
      <c r="B67" s="109"/>
      <c r="C67" s="137">
        <v>6010</v>
      </c>
      <c r="D67" s="111">
        <v>5.35</v>
      </c>
      <c r="E67" s="112">
        <v>0</v>
      </c>
      <c r="F67" s="90" t="str">
        <f>IFERROR(VLOOKUP($C67,[3]Nod!$A$3:$E$991,4,FALSE)," ")</f>
        <v>LSA34</v>
      </c>
      <c r="G67" s="90">
        <f>IFERROR(VLOOKUP($C67,[3]Nod!$A$3:$E$991,5,FALSE)," ")</f>
        <v>5</v>
      </c>
      <c r="H67" s="145" t="s">
        <v>104</v>
      </c>
      <c r="I67" s="109"/>
      <c r="J67" s="115">
        <v>6470</v>
      </c>
      <c r="K67" s="111">
        <v>23.17</v>
      </c>
      <c r="L67" s="90" t="str">
        <f>VLOOKUP($J67,[3]Nod!$A$3:$E$991,4,FALSE)</f>
        <v>24DIC230</v>
      </c>
      <c r="M67" s="90">
        <f>VLOOKUP($J67,[3]Nod!$A$3:$E$991,5,FALSE)</f>
        <v>8</v>
      </c>
    </row>
    <row r="68" spans="1:14" ht="15" customHeight="1" x14ac:dyDescent="0.25">
      <c r="A68" s="114" t="s">
        <v>105</v>
      </c>
      <c r="B68" s="109"/>
      <c r="C68" s="137">
        <v>6010</v>
      </c>
      <c r="D68" s="111">
        <v>1.35</v>
      </c>
      <c r="E68" s="112">
        <v>7</v>
      </c>
      <c r="F68" s="90" t="str">
        <f>IFERROR(VLOOKUP($C68,[3]Nod!$A$3:$E$991,4,FALSE)," ")</f>
        <v>LSA34</v>
      </c>
      <c r="G68" s="90">
        <f>IFERROR(VLOOKUP($C68,[3]Nod!$A$3:$E$991,5,FALSE)," ")</f>
        <v>5</v>
      </c>
      <c r="H68" s="116" t="s">
        <v>44</v>
      </c>
      <c r="I68" s="117"/>
      <c r="J68" s="134"/>
      <c r="K68" s="119"/>
      <c r="L68" s="90"/>
      <c r="M68" s="90"/>
    </row>
    <row r="69" spans="1:14" ht="15" customHeight="1" x14ac:dyDescent="0.25">
      <c r="A69" s="108" t="s">
        <v>106</v>
      </c>
      <c r="B69" s="109"/>
      <c r="C69" s="137">
        <v>6010</v>
      </c>
      <c r="D69" s="111">
        <v>6.6</v>
      </c>
      <c r="E69" s="112">
        <v>0</v>
      </c>
      <c r="F69" s="90" t="str">
        <f>IFERROR(VLOOKUP($C69,[3]Nod!$A$3:$E$991,4,FALSE)," ")</f>
        <v>LSA34</v>
      </c>
      <c r="G69" s="90">
        <f>IFERROR(VLOOKUP($C69,[3]Nod!$A$3:$E$991,5,FALSE)," ")</f>
        <v>5</v>
      </c>
      <c r="H69" s="103">
        <v>9</v>
      </c>
      <c r="I69" s="104"/>
      <c r="J69" s="105"/>
      <c r="K69" s="106">
        <f>SUM(K70:K75)</f>
        <v>121.83114503009377</v>
      </c>
      <c r="L69" s="90"/>
      <c r="M69" s="90"/>
    </row>
    <row r="70" spans="1:14" ht="15" customHeight="1" x14ac:dyDescent="0.25">
      <c r="A70" s="108" t="s">
        <v>107</v>
      </c>
      <c r="B70" s="109"/>
      <c r="C70" s="137">
        <v>6010</v>
      </c>
      <c r="D70" s="111">
        <v>2.0099999999999998</v>
      </c>
      <c r="E70" s="112">
        <v>13</v>
      </c>
      <c r="F70" s="90" t="str">
        <f>IFERROR(VLOOKUP($C70,[3]Nod!$A$3:$E$991,4,FALSE)," ")</f>
        <v>LSA34</v>
      </c>
      <c r="G70" s="90">
        <f>IFERROR(VLOOKUP($C70,[3]Nod!$A$3:$E$991,5,FALSE)," ")</f>
        <v>5</v>
      </c>
      <c r="H70" s="113" t="s">
        <v>78</v>
      </c>
      <c r="I70" s="109"/>
      <c r="J70" s="115"/>
      <c r="K70" s="111"/>
      <c r="L70" s="90"/>
      <c r="M70" s="90"/>
    </row>
    <row r="71" spans="1:14" ht="15" customHeight="1" x14ac:dyDescent="0.25">
      <c r="A71" s="114" t="s">
        <v>108</v>
      </c>
      <c r="B71" s="109"/>
      <c r="C71" s="137">
        <v>6010</v>
      </c>
      <c r="D71" s="111">
        <v>7.99</v>
      </c>
      <c r="E71" s="112">
        <v>13</v>
      </c>
      <c r="F71" s="90" t="str">
        <f>IFERROR(VLOOKUP($C71,[3]Nod!$A$3:$E$991,4,FALSE)," ")</f>
        <v>LSA34</v>
      </c>
      <c r="G71" s="90">
        <f>IFERROR(VLOOKUP($C71,[3]Nod!$A$3:$E$991,5,FALSE)," ")</f>
        <v>5</v>
      </c>
      <c r="H71" s="114" t="s">
        <v>109</v>
      </c>
      <c r="I71" s="109"/>
      <c r="J71" s="115">
        <v>6059</v>
      </c>
      <c r="K71" s="111">
        <v>113.16</v>
      </c>
      <c r="L71" s="90" t="str">
        <f>VLOOKUP($J71,[3]Nod!$A$3:$E$991,4,FALSE)</f>
        <v>LM1115</v>
      </c>
      <c r="M71" s="90">
        <f>VLOOKUP($J71,[3]Nod!$A$3:$E$991,5,FALSE)</f>
        <v>9</v>
      </c>
    </row>
    <row r="72" spans="1:14" ht="15" customHeight="1" x14ac:dyDescent="0.25">
      <c r="A72" s="108" t="s">
        <v>110</v>
      </c>
      <c r="B72" s="109"/>
      <c r="C72" s="137">
        <v>6010</v>
      </c>
      <c r="D72" s="111">
        <v>2.4</v>
      </c>
      <c r="E72" s="112">
        <v>13</v>
      </c>
      <c r="F72" s="90" t="str">
        <f>IFERROR(VLOOKUP($C72,[3]Nod!$A$3:$E$991,4,FALSE)," ")</f>
        <v>LSA34</v>
      </c>
      <c r="G72" s="90">
        <f>IFERROR(VLOOKUP($C72,[3]Nod!$A$3:$E$991,5,FALSE)," ")</f>
        <v>5</v>
      </c>
      <c r="H72" s="113" t="s">
        <v>61</v>
      </c>
      <c r="I72" s="109"/>
      <c r="J72" s="115"/>
      <c r="K72" s="111"/>
      <c r="L72" s="90"/>
      <c r="M72" s="90"/>
    </row>
    <row r="73" spans="1:14" ht="15" customHeight="1" x14ac:dyDescent="0.25">
      <c r="A73" s="108" t="s">
        <v>111</v>
      </c>
      <c r="B73" s="109"/>
      <c r="C73" s="137">
        <v>6010</v>
      </c>
      <c r="D73" s="111">
        <v>10</v>
      </c>
      <c r="E73" s="112">
        <v>13</v>
      </c>
      <c r="F73" s="90" t="str">
        <f>IFERROR(VLOOKUP($C73,[3]Nod!$A$3:$E$991,4,FALSE)," ")</f>
        <v>LSA34</v>
      </c>
      <c r="G73" s="90">
        <f>IFERROR(VLOOKUP($C73,[3]Nod!$A$3:$E$991,5,FALSE)," ")</f>
        <v>5</v>
      </c>
      <c r="H73" s="114" t="s">
        <v>112</v>
      </c>
      <c r="I73" s="109"/>
      <c r="J73" s="115">
        <v>6170</v>
      </c>
      <c r="K73" s="111">
        <v>8.3906416465376381</v>
      </c>
      <c r="L73" s="90" t="str">
        <f>VLOOKUP($J73,[3]Nod!$A$3:$E$991,4,FALSE)</f>
        <v>CPA115</v>
      </c>
      <c r="M73" s="90">
        <f>VLOOKUP($J73,[3]Nod!$A$3:$E$991,5,FALSE)</f>
        <v>7</v>
      </c>
    </row>
    <row r="74" spans="1:14" ht="15" customHeight="1" x14ac:dyDescent="0.25">
      <c r="A74" s="120" t="s">
        <v>113</v>
      </c>
      <c r="C74" s="137">
        <v>6010</v>
      </c>
      <c r="D74" s="111">
        <v>0.96</v>
      </c>
      <c r="E74" s="112">
        <v>13</v>
      </c>
      <c r="F74" s="90" t="str">
        <f>IFERROR(VLOOKUP($C74,[3]Nod!$A$3:$E$991,4,FALSE)," ")</f>
        <v>LSA34</v>
      </c>
      <c r="G74" s="90">
        <f>IFERROR(VLOOKUP($C74,[3]Nod!$A$3:$E$991,5,FALSE)," ")</f>
        <v>5</v>
      </c>
      <c r="H74" s="114" t="s">
        <v>63</v>
      </c>
      <c r="I74" s="109"/>
      <c r="J74" s="115">
        <v>6059</v>
      </c>
      <c r="K74" s="111">
        <v>0.28050338355614318</v>
      </c>
      <c r="L74" s="90" t="str">
        <f>VLOOKUP($J74,[3]Nod!$A$3:$E$991,4,FALSE)</f>
        <v>LM1115</v>
      </c>
      <c r="M74" s="90">
        <f>VLOOKUP($J74,[3]Nod!$A$3:$E$991,5,FALSE)</f>
        <v>9</v>
      </c>
    </row>
    <row r="75" spans="1:14" ht="15" customHeight="1" x14ac:dyDescent="0.25">
      <c r="A75" s="120" t="s">
        <v>114</v>
      </c>
      <c r="C75" s="137">
        <v>6010</v>
      </c>
      <c r="D75" s="111">
        <v>0.96</v>
      </c>
      <c r="E75" s="112">
        <v>13</v>
      </c>
      <c r="F75" s="90" t="str">
        <f>IFERROR(VLOOKUP($C75,[3]Nod!$A$3:$E$991,4,FALSE)," ")</f>
        <v>LSA34</v>
      </c>
      <c r="G75" s="90">
        <f>IFERROR(VLOOKUP($C75,[3]Nod!$A$3:$E$991,5,FALSE)," ")</f>
        <v>5</v>
      </c>
      <c r="H75" s="116" t="s">
        <v>44</v>
      </c>
      <c r="I75" s="117"/>
      <c r="J75" s="134"/>
      <c r="K75" s="119"/>
      <c r="L75" s="90"/>
      <c r="M75" s="90"/>
    </row>
    <row r="76" spans="1:14" ht="15" customHeight="1" x14ac:dyDescent="0.25">
      <c r="A76" s="120" t="s">
        <v>115</v>
      </c>
      <c r="C76" s="137">
        <v>6010</v>
      </c>
      <c r="D76" s="111">
        <v>0.48</v>
      </c>
      <c r="E76" s="112">
        <v>13</v>
      </c>
      <c r="F76" s="90" t="str">
        <f>IFERROR(VLOOKUP($C76,[3]Nod!$A$3:$E$991,4,FALSE)," ")</f>
        <v>LSA34</v>
      </c>
      <c r="G76" s="90">
        <f>IFERROR(VLOOKUP($C76,[3]Nod!$A$3:$E$991,5,FALSE)," ")</f>
        <v>5</v>
      </c>
      <c r="H76" s="121">
        <v>10</v>
      </c>
      <c r="I76" s="122"/>
      <c r="J76" s="123"/>
      <c r="K76" s="124">
        <f>SUM(K77:K81)</f>
        <v>90.39</v>
      </c>
      <c r="L76" s="90"/>
      <c r="M76" s="90"/>
    </row>
    <row r="77" spans="1:14" ht="15" customHeight="1" x14ac:dyDescent="0.25">
      <c r="A77" s="120" t="s">
        <v>116</v>
      </c>
      <c r="C77" s="137">
        <v>6010</v>
      </c>
      <c r="D77" s="111">
        <v>8.99</v>
      </c>
      <c r="E77" s="112">
        <v>13</v>
      </c>
      <c r="F77" s="90" t="str">
        <f>IFERROR(VLOOKUP($C77,[3]Nod!$A$3:$E$991,4,FALSE)," ")</f>
        <v>LSA34</v>
      </c>
      <c r="G77" s="90">
        <f>IFERROR(VLOOKUP($C77,[3]Nod!$A$3:$E$991,5,FALSE)," ")</f>
        <v>5</v>
      </c>
      <c r="H77" s="113" t="s">
        <v>38</v>
      </c>
      <c r="I77" s="109"/>
      <c r="J77" s="115"/>
      <c r="K77" s="111"/>
      <c r="L77" s="90"/>
      <c r="M77" s="90"/>
    </row>
    <row r="78" spans="1:14" ht="15" customHeight="1" x14ac:dyDescent="0.25">
      <c r="A78" s="120" t="s">
        <v>117</v>
      </c>
      <c r="C78" s="137">
        <v>6010</v>
      </c>
      <c r="D78" s="111">
        <v>8.99</v>
      </c>
      <c r="E78" s="112">
        <v>13</v>
      </c>
      <c r="F78" s="90" t="str">
        <f>IFERROR(VLOOKUP($C78,[3]Nod!$A$3:$E$991,4,FALSE)," ")</f>
        <v>LSA34</v>
      </c>
      <c r="G78" s="90">
        <f>IFERROR(VLOOKUP($C78,[3]Nod!$A$3:$E$991,5,FALSE)," ")</f>
        <v>5</v>
      </c>
      <c r="H78" s="114" t="s">
        <v>118</v>
      </c>
      <c r="I78" s="109"/>
      <c r="J78" s="115">
        <v>6340</v>
      </c>
      <c r="K78" s="111">
        <v>27.34</v>
      </c>
      <c r="L78" s="90" t="str">
        <f>VLOOKUP($J78,[3]Nod!$A$3:$E$991,4,FALSE)</f>
        <v>CAN230</v>
      </c>
      <c r="M78" s="90">
        <f>VLOOKUP($J78,[3]Nod!$A$3:$E$991,5,FALSE)</f>
        <v>10</v>
      </c>
    </row>
    <row r="79" spans="1:14" ht="15" customHeight="1" x14ac:dyDescent="0.25">
      <c r="A79" s="120" t="s">
        <v>119</v>
      </c>
      <c r="C79" s="137">
        <v>6010</v>
      </c>
      <c r="D79" s="111">
        <v>9.52</v>
      </c>
      <c r="E79" s="112">
        <v>13</v>
      </c>
      <c r="F79" s="90" t="str">
        <f>IFERROR(VLOOKUP($C79,[3]Nod!$A$3:$E$991,4,FALSE)," ")</f>
        <v>LSA34</v>
      </c>
      <c r="G79" s="90">
        <f>IFERROR(VLOOKUP($C79,[3]Nod!$A$3:$E$991,5,FALSE)," ")</f>
        <v>5</v>
      </c>
      <c r="H79" s="114" t="s">
        <v>120</v>
      </c>
      <c r="I79" s="109"/>
      <c r="J79" s="115">
        <v>6262</v>
      </c>
      <c r="K79" s="111">
        <v>17.850000000000001</v>
      </c>
      <c r="L79" s="90" t="s">
        <v>121</v>
      </c>
      <c r="M79" s="90">
        <v>10</v>
      </c>
    </row>
    <row r="80" spans="1:14" ht="15" customHeight="1" x14ac:dyDescent="0.25">
      <c r="A80" s="146" t="s">
        <v>122</v>
      </c>
      <c r="C80" s="137">
        <v>6010</v>
      </c>
      <c r="D80" s="111">
        <v>10.78</v>
      </c>
      <c r="E80" s="112">
        <v>13</v>
      </c>
      <c r="F80" s="90" t="str">
        <f>IFERROR(VLOOKUP($C80,[3]Nod!$A$3:$E$991,4,FALSE)," ")</f>
        <v>LSA34</v>
      </c>
      <c r="G80" s="90">
        <f>IFERROR(VLOOKUP($C80,[3]Nod!$A$3:$E$991,5,FALSE)," ")</f>
        <v>5</v>
      </c>
      <c r="H80" s="147" t="s">
        <v>123</v>
      </c>
      <c r="I80" s="109"/>
      <c r="J80" s="115">
        <v>6262</v>
      </c>
      <c r="K80" s="111">
        <v>45.2</v>
      </c>
      <c r="L80" s="90" t="s">
        <v>121</v>
      </c>
      <c r="M80" s="90">
        <v>10</v>
      </c>
    </row>
    <row r="81" spans="1:13" ht="15" customHeight="1" x14ac:dyDescent="0.25">
      <c r="A81" s="146" t="s">
        <v>124</v>
      </c>
      <c r="C81" s="137">
        <v>6010</v>
      </c>
      <c r="D81" s="111">
        <v>8.5</v>
      </c>
      <c r="E81" s="112">
        <v>13</v>
      </c>
      <c r="F81" s="90" t="str">
        <f>IFERROR(VLOOKUP($C81,[3]Nod!$A$3:$E$991,4,FALSE)," ")</f>
        <v>LSA34</v>
      </c>
      <c r="G81" s="90">
        <f>IFERROR(VLOOKUP($C81,[3]Nod!$A$3:$E$991,5,FALSE)," ")</f>
        <v>5</v>
      </c>
      <c r="H81" s="116" t="s">
        <v>44</v>
      </c>
      <c r="I81" s="117"/>
      <c r="J81" s="134"/>
      <c r="K81" s="119"/>
      <c r="L81" s="90"/>
      <c r="M81" s="90"/>
    </row>
    <row r="82" spans="1:13" ht="15" customHeight="1" x14ac:dyDescent="0.25">
      <c r="A82" s="120" t="s">
        <v>125</v>
      </c>
      <c r="C82" s="137">
        <v>6010</v>
      </c>
      <c r="D82" s="111">
        <v>10</v>
      </c>
      <c r="E82" s="112">
        <v>13</v>
      </c>
      <c r="F82" s="90" t="str">
        <f>IFERROR(VLOOKUP($C82,[3]Nod!$A$3:$E$991,4,FALSE)," ")</f>
        <v>LSA34</v>
      </c>
      <c r="G82" s="90">
        <f>IFERROR(VLOOKUP($C82,[3]Nod!$A$3:$E$991,5,FALSE)," ")</f>
        <v>5</v>
      </c>
    </row>
    <row r="83" spans="1:13" ht="15" customHeight="1" x14ac:dyDescent="0.25">
      <c r="A83" s="120" t="s">
        <v>126</v>
      </c>
      <c r="C83" s="137">
        <v>6010</v>
      </c>
      <c r="D83" s="111">
        <v>10</v>
      </c>
      <c r="E83" s="112">
        <v>13</v>
      </c>
      <c r="F83" s="90" t="str">
        <f>IFERROR(VLOOKUP($C83,[3]Nod!$A$3:$E$991,4,FALSE)," ")</f>
        <v>LSA34</v>
      </c>
      <c r="G83" s="90">
        <f>IFERROR(VLOOKUP($C83,[3]Nod!$A$3:$E$991,5,FALSE)," ")</f>
        <v>5</v>
      </c>
    </row>
    <row r="84" spans="1:13" ht="15" customHeight="1" x14ac:dyDescent="0.25">
      <c r="A84" s="108" t="s">
        <v>127</v>
      </c>
      <c r="B84" s="109"/>
      <c r="C84" s="115">
        <v>6460</v>
      </c>
      <c r="D84" s="111">
        <v>55</v>
      </c>
      <c r="E84" s="112">
        <v>13</v>
      </c>
      <c r="F84" s="90" t="str">
        <f>IFERROR(VLOOKUP($C84,[3]Nod!$A$3:$E$991,4,FALSE)," ")</f>
        <v>ECO230</v>
      </c>
      <c r="G84" s="90">
        <f>IFERROR(VLOOKUP($C84,[3]Nod!$A$3:$E$991,5,FALSE)," ")</f>
        <v>5</v>
      </c>
    </row>
    <row r="85" spans="1:13" ht="15" customHeight="1" x14ac:dyDescent="0.25">
      <c r="A85" s="108" t="s">
        <v>128</v>
      </c>
      <c r="B85" s="109"/>
      <c r="C85" s="115">
        <v>6460</v>
      </c>
      <c r="D85" s="111">
        <v>17.5</v>
      </c>
      <c r="E85" s="112">
        <v>13</v>
      </c>
      <c r="F85" s="90" t="str">
        <f>IFERROR(VLOOKUP($C85,[3]Nod!$A$3:$E$991,4,FALSE)," ")</f>
        <v>ECO230</v>
      </c>
      <c r="G85" s="90">
        <f>IFERROR(VLOOKUP($C85,[3]Nod!$A$3:$E$991,5,FALSE)," ")</f>
        <v>5</v>
      </c>
    </row>
    <row r="86" spans="1:13" ht="15" customHeight="1" x14ac:dyDescent="0.25">
      <c r="A86" s="108" t="s">
        <v>129</v>
      </c>
      <c r="B86" s="109"/>
      <c r="C86" s="115">
        <v>6460</v>
      </c>
      <c r="D86" s="111">
        <v>52.5</v>
      </c>
      <c r="E86" s="112">
        <v>13</v>
      </c>
      <c r="F86" s="90" t="str">
        <f>IFERROR(VLOOKUP($C86,[3]Nod!$A$3:$E$991,4,FALSE)," ")</f>
        <v>ECO230</v>
      </c>
      <c r="G86" s="90">
        <f>IFERROR(VLOOKUP($C86,[3]Nod!$A$3:$E$991,5,FALSE)," ")</f>
        <v>5</v>
      </c>
    </row>
    <row r="87" spans="1:13" ht="15" customHeight="1" x14ac:dyDescent="0.25">
      <c r="A87" s="108" t="s">
        <v>130</v>
      </c>
      <c r="B87" s="109"/>
      <c r="C87" s="115">
        <v>6460</v>
      </c>
      <c r="D87" s="111">
        <v>62.5</v>
      </c>
      <c r="E87" s="112">
        <v>13</v>
      </c>
      <c r="F87" s="90" t="str">
        <f>IFERROR(VLOOKUP($C87,[3]Nod!$A$3:$E$991,4,FALSE)," ")</f>
        <v>ECO230</v>
      </c>
      <c r="G87" s="90">
        <f>IFERROR(VLOOKUP($C87,[3]Nod!$A$3:$E$991,5,FALSE)," ")</f>
        <v>5</v>
      </c>
      <c r="L87" s="90"/>
      <c r="M87" s="90"/>
    </row>
    <row r="88" spans="1:13" ht="15" customHeight="1" x14ac:dyDescent="0.25">
      <c r="A88" s="108" t="s">
        <v>131</v>
      </c>
      <c r="B88" s="109"/>
      <c r="C88" s="115">
        <v>6460</v>
      </c>
      <c r="D88" s="111">
        <v>32.5</v>
      </c>
      <c r="E88" s="112">
        <v>13</v>
      </c>
      <c r="F88" s="90" t="str">
        <f>IFERROR(VLOOKUP($C88,[3]Nod!$A$3:$E$991,4,FALSE)," ")</f>
        <v>ECO230</v>
      </c>
      <c r="G88" s="90">
        <f>IFERROR(VLOOKUP($C88,[3]Nod!$A$3:$E$991,5,FALSE)," ")</f>
        <v>5</v>
      </c>
      <c r="L88" s="90"/>
      <c r="M88" s="90"/>
    </row>
    <row r="89" spans="1:13" ht="15" customHeight="1" x14ac:dyDescent="0.25">
      <c r="A89" s="135" t="s">
        <v>132</v>
      </c>
      <c r="B89" s="109"/>
      <c r="C89" s="137">
        <v>6240</v>
      </c>
      <c r="D89" s="111">
        <v>4.3</v>
      </c>
      <c r="E89" s="112">
        <v>0</v>
      </c>
      <c r="F89" s="90" t="str">
        <f>IFERROR(VLOOKUP($C89,[3]Nod!$A$3:$E$991,4,FALSE)," ")</f>
        <v>EHIG230</v>
      </c>
      <c r="G89" s="90">
        <f>IFERROR(VLOOKUP($C89,[3]Nod!$A$3:$E$991,5,FALSE)," ")</f>
        <v>5</v>
      </c>
      <c r="L89" s="90"/>
      <c r="M89" s="90"/>
    </row>
    <row r="90" spans="1:13" ht="15" customHeight="1" x14ac:dyDescent="0.25">
      <c r="A90" s="146" t="s">
        <v>133</v>
      </c>
      <c r="B90" s="109"/>
      <c r="C90" s="137">
        <v>6010</v>
      </c>
      <c r="D90" s="111">
        <v>10</v>
      </c>
      <c r="E90" s="112">
        <v>13</v>
      </c>
      <c r="F90" s="90" t="str">
        <f>IFERROR(VLOOKUP($C90,[3]Nod!$A$3:$E$991,4,FALSE)," ")</f>
        <v>LSA34</v>
      </c>
      <c r="G90" s="90">
        <f>IFERROR(VLOOKUP($C90,[3]Nod!$A$3:$E$991,5,FALSE)," ")</f>
        <v>5</v>
      </c>
      <c r="L90" s="90"/>
      <c r="M90" s="90"/>
    </row>
    <row r="91" spans="1:13" ht="15" customHeight="1" x14ac:dyDescent="0.25">
      <c r="A91" s="146" t="s">
        <v>134</v>
      </c>
      <c r="B91" s="109"/>
      <c r="C91" s="137">
        <v>6010</v>
      </c>
      <c r="D91" s="111">
        <v>16</v>
      </c>
      <c r="E91" s="112">
        <v>13</v>
      </c>
      <c r="F91" s="90" t="str">
        <f>IFERROR(VLOOKUP($C91,[3]Nod!$A$3:$E$991,4,FALSE)," ")</f>
        <v>LSA34</v>
      </c>
      <c r="G91" s="90">
        <f>IFERROR(VLOOKUP($C91,[3]Nod!$A$3:$E$991,5,FALSE)," ")</f>
        <v>5</v>
      </c>
      <c r="L91" s="90"/>
      <c r="M91" s="90"/>
    </row>
    <row r="92" spans="1:13" ht="15" customHeight="1" x14ac:dyDescent="0.25">
      <c r="A92" s="146" t="s">
        <v>135</v>
      </c>
      <c r="B92" s="109"/>
      <c r="C92" s="137">
        <v>6010</v>
      </c>
      <c r="D92" s="111">
        <v>4.79</v>
      </c>
      <c r="E92" s="112">
        <v>13</v>
      </c>
      <c r="F92" s="90" t="str">
        <f>IFERROR(VLOOKUP($C92,[3]Nod!$A$3:$E$991,4,FALSE)," ")</f>
        <v>LSA34</v>
      </c>
      <c r="G92" s="90">
        <f>IFERROR(VLOOKUP($C92,[3]Nod!$A$3:$E$991,5,FALSE)," ")</f>
        <v>5</v>
      </c>
      <c r="L92" s="90"/>
      <c r="M92" s="90"/>
    </row>
    <row r="93" spans="1:13" ht="15" customHeight="1" x14ac:dyDescent="0.25">
      <c r="A93" s="114" t="s">
        <v>44</v>
      </c>
      <c r="B93" s="109"/>
      <c r="C93" s="110"/>
      <c r="D93" s="129"/>
      <c r="E93" s="112"/>
      <c r="F93" s="90" t="str">
        <f>IFERROR(VLOOKUP($C93,[3]Nod!$A$3:$E$991,4,FALSE)," ")</f>
        <v xml:space="preserve"> </v>
      </c>
      <c r="G93" s="90" t="str">
        <f>IFERROR(VLOOKUP($C93,[3]Nod!$A$3:$E$991,5,FALSE)," ")</f>
        <v xml:space="preserve"> </v>
      </c>
      <c r="L93" s="90"/>
      <c r="M93" s="90"/>
    </row>
    <row r="94" spans="1:13" ht="15" customHeight="1" x14ac:dyDescent="0.25">
      <c r="A94" s="121">
        <v>6</v>
      </c>
      <c r="B94" s="122"/>
      <c r="C94" s="123"/>
      <c r="D94" s="124">
        <f>SUM(D95:D96)</f>
        <v>147</v>
      </c>
      <c r="E94" s="128"/>
      <c r="F94" s="90" t="str">
        <f>IFERROR(VLOOKUP($C94,[3]Nod!$A$3:$E$991,4,FALSE)," ")</f>
        <v xml:space="preserve"> </v>
      </c>
      <c r="G94" s="90" t="str">
        <f>IFERROR(VLOOKUP($C94,[3]Nod!$A$3:$E$991,5,FALSE)," ")</f>
        <v xml:space="preserve"> </v>
      </c>
      <c r="L94" s="90"/>
      <c r="M94" s="90"/>
    </row>
    <row r="95" spans="1:13" ht="15" customHeight="1" x14ac:dyDescent="0.25">
      <c r="A95" s="108" t="s">
        <v>136</v>
      </c>
      <c r="B95" s="109"/>
      <c r="C95" s="115">
        <v>6005</v>
      </c>
      <c r="D95" s="111">
        <v>97</v>
      </c>
      <c r="E95" s="112">
        <v>0</v>
      </c>
      <c r="F95" s="90" t="str">
        <f>IFERROR(VLOOKUP($C95,[3]Nod!$A$3:$E$991,4,FALSE)," ")</f>
        <v>CHO230</v>
      </c>
      <c r="G95" s="90">
        <f>IFERROR(VLOOKUP($C95,[3]Nod!$A$3:$E$991,5,FALSE)," ")</f>
        <v>6</v>
      </c>
      <c r="L95" s="90"/>
      <c r="M95" s="90"/>
    </row>
    <row r="96" spans="1:13" ht="15" customHeight="1" x14ac:dyDescent="0.25">
      <c r="A96" s="108" t="s">
        <v>137</v>
      </c>
      <c r="B96" s="109"/>
      <c r="C96" s="115">
        <v>6005</v>
      </c>
      <c r="D96" s="111">
        <v>50</v>
      </c>
      <c r="E96" s="136">
        <v>0</v>
      </c>
      <c r="F96" s="90" t="str">
        <f>IFERROR(VLOOKUP($C96,[3]Nod!$A$3:$E$991,4,FALSE)," ")</f>
        <v>CHO230</v>
      </c>
      <c r="G96" s="90">
        <f>IFERROR(VLOOKUP($C96,[3]Nod!$A$3:$E$991,5,FALSE)," ")</f>
        <v>6</v>
      </c>
      <c r="L96" s="90"/>
      <c r="M96" s="90"/>
    </row>
    <row r="97" spans="1:13" ht="15" customHeight="1" x14ac:dyDescent="0.25">
      <c r="A97" s="148" t="s">
        <v>44</v>
      </c>
      <c r="B97" s="117"/>
      <c r="C97" s="118"/>
      <c r="D97" s="125"/>
      <c r="E97" s="133"/>
      <c r="F97" s="90" t="str">
        <f>IFERROR(VLOOKUP($C97,[3]Nod!$A$3:$E$991,4,FALSE)," ")</f>
        <v xml:space="preserve"> </v>
      </c>
      <c r="G97" s="90" t="str">
        <f>IFERROR(VLOOKUP($C97,[3]Nod!$A$3:$E$991,5,FALSE)," ")</f>
        <v xml:space="preserve"> </v>
      </c>
      <c r="L97" s="90"/>
      <c r="M97" s="90"/>
    </row>
    <row r="98" spans="1:13" ht="15" customHeight="1" x14ac:dyDescent="0.25">
      <c r="A98" s="103">
        <v>7</v>
      </c>
      <c r="B98" s="104"/>
      <c r="C98" s="105"/>
      <c r="D98" s="106">
        <f>SUM(D99:D102)</f>
        <v>576.98</v>
      </c>
      <c r="E98" s="107"/>
      <c r="F98" s="90" t="str">
        <f>IFERROR(VLOOKUP($C98,[3]Nod!$A$3:$E$991,4,FALSE)," ")</f>
        <v xml:space="preserve"> </v>
      </c>
      <c r="G98" s="90" t="str">
        <f>IFERROR(VLOOKUP($C98,[3]Nod!$A$3:$E$991,5,FALSE)," ")</f>
        <v xml:space="preserve"> </v>
      </c>
      <c r="L98" s="90"/>
      <c r="M98" s="90"/>
    </row>
    <row r="99" spans="1:13" ht="15" customHeight="1" x14ac:dyDescent="0.25">
      <c r="A99" s="120" t="s">
        <v>138</v>
      </c>
      <c r="B99" s="149"/>
      <c r="C99" s="115">
        <v>6018</v>
      </c>
      <c r="D99" s="111">
        <v>135.63</v>
      </c>
      <c r="E99" s="136">
        <v>0</v>
      </c>
      <c r="F99" s="90" t="str">
        <f>IFERROR(VLOOKUP($C99,[3]Nod!$A$3:$E$991,4,FALSE)," ")</f>
        <v>CAC115</v>
      </c>
      <c r="G99" s="90">
        <f>IFERROR(VLOOKUP($C99,[3]Nod!$A$3:$E$991,5,FALSE)," ")</f>
        <v>7</v>
      </c>
      <c r="L99" s="90"/>
      <c r="M99" s="90"/>
    </row>
    <row r="100" spans="1:13" ht="15" customHeight="1" x14ac:dyDescent="0.25">
      <c r="A100" s="108" t="s">
        <v>139</v>
      </c>
      <c r="B100" s="109"/>
      <c r="C100" s="115">
        <v>6170</v>
      </c>
      <c r="D100" s="111">
        <v>50.35</v>
      </c>
      <c r="E100" s="112">
        <v>0</v>
      </c>
      <c r="F100" s="90" t="str">
        <f>IFERROR(VLOOKUP($C100,[3]Nod!$A$3:$E$991,4,FALSE)," ")</f>
        <v>CPA115</v>
      </c>
      <c r="G100" s="90">
        <f>IFERROR(VLOOKUP($C100,[3]Nod!$A$3:$E$991,5,FALSE)," ")</f>
        <v>7</v>
      </c>
      <c r="L100" s="90"/>
      <c r="M100" s="90"/>
    </row>
    <row r="101" spans="1:13" ht="15" customHeight="1" x14ac:dyDescent="0.25">
      <c r="A101" s="120" t="s">
        <v>140</v>
      </c>
      <c r="B101" s="109"/>
      <c r="C101" s="115">
        <v>6002</v>
      </c>
      <c r="D101" s="111">
        <v>10</v>
      </c>
      <c r="E101" s="112">
        <v>0</v>
      </c>
      <c r="F101" s="90" t="str">
        <f>IFERROR(VLOOKUP($C101,[3]Nod!$A$3:$E$991,4,FALSE)," ")</f>
        <v>PAN115</v>
      </c>
      <c r="G101" s="90">
        <f>IFERROR(VLOOKUP($C101,[3]Nod!$A$3:$E$991,5,FALSE)," ")</f>
        <v>7</v>
      </c>
      <c r="L101" s="90"/>
      <c r="M101" s="90"/>
    </row>
    <row r="102" spans="1:13" ht="15" customHeight="1" x14ac:dyDescent="0.25">
      <c r="A102" s="114" t="s">
        <v>141</v>
      </c>
      <c r="B102" s="109"/>
      <c r="C102" s="115">
        <v>6003</v>
      </c>
      <c r="D102" s="111">
        <v>381</v>
      </c>
      <c r="E102" s="136">
        <v>0</v>
      </c>
      <c r="F102" s="90" t="str">
        <f>IFERROR(VLOOKUP($C102,[3]Nod!$A$3:$E$991,4,FALSE)," ")</f>
        <v>PANII230</v>
      </c>
      <c r="G102" s="90">
        <f>IFERROR(VLOOKUP($C102,[3]Nod!$A$3:$E$991,5,FALSE)," ")</f>
        <v>7</v>
      </c>
      <c r="L102" s="90"/>
      <c r="M102" s="90"/>
    </row>
    <row r="103" spans="1:13" ht="15" customHeight="1" x14ac:dyDescent="0.25">
      <c r="A103" s="114" t="s">
        <v>44</v>
      </c>
      <c r="B103" s="150"/>
      <c r="C103" s="151"/>
      <c r="D103" s="152"/>
      <c r="E103" s="153"/>
      <c r="F103" s="90" t="str">
        <f>IFERROR(VLOOKUP($C103,[3]Nod!$A$3:$E$991,4,FALSE)," ")</f>
        <v xml:space="preserve"> </v>
      </c>
      <c r="G103" s="90" t="str">
        <f>IFERROR(VLOOKUP($C103,[3]Nod!$A$3:$E$991,5,FALSE)," ")</f>
        <v xml:space="preserve"> </v>
      </c>
      <c r="L103" s="90"/>
      <c r="M103" s="90"/>
    </row>
    <row r="104" spans="1:13" ht="15" customHeight="1" x14ac:dyDescent="0.25">
      <c r="A104" s="121">
        <v>8</v>
      </c>
      <c r="B104" s="154"/>
      <c r="C104" s="123"/>
      <c r="D104" s="124">
        <f>SUM(D105)</f>
        <v>260</v>
      </c>
      <c r="E104" s="128"/>
      <c r="F104" s="90" t="str">
        <f>IFERROR(VLOOKUP($C104,[3]Nod!$A$3:$E$991,4,FALSE)," ")</f>
        <v xml:space="preserve"> </v>
      </c>
      <c r="G104" s="90" t="str">
        <f>IFERROR(VLOOKUP($C104,[3]Nod!$A$3:$E$991,5,FALSE)," ")</f>
        <v xml:space="preserve"> </v>
      </c>
      <c r="L104" s="90"/>
      <c r="M104" s="90"/>
    </row>
    <row r="105" spans="1:13" ht="15" customHeight="1" x14ac:dyDescent="0.25">
      <c r="A105" s="108" t="s">
        <v>142</v>
      </c>
      <c r="B105" s="109"/>
      <c r="C105" s="115">
        <v>6100</v>
      </c>
      <c r="D105" s="111">
        <v>260</v>
      </c>
      <c r="E105" s="112">
        <v>0</v>
      </c>
      <c r="F105" s="90" t="str">
        <f>IFERROR(VLOOKUP($C105,[3]Nod!$A$3:$E$991,4,FALSE)," ")</f>
        <v>BAY230</v>
      </c>
      <c r="G105" s="90">
        <f>IFERROR(VLOOKUP($C105,[3]Nod!$A$3:$E$991,5,FALSE)," ")</f>
        <v>8</v>
      </c>
      <c r="L105" s="90"/>
      <c r="M105" s="90"/>
    </row>
    <row r="106" spans="1:13" ht="15" customHeight="1" x14ac:dyDescent="0.25">
      <c r="A106" s="114" t="s">
        <v>44</v>
      </c>
      <c r="B106" s="117"/>
      <c r="C106" s="118"/>
      <c r="D106" s="125"/>
      <c r="E106" s="133"/>
      <c r="F106" s="90" t="str">
        <f>IFERROR(VLOOKUP($C106,[3]Nod!$A$3:$E$991,4,FALSE)," ")</f>
        <v xml:space="preserve"> </v>
      </c>
      <c r="G106" s="90" t="str">
        <f>IFERROR(VLOOKUP($C106,[3]Nod!$A$3:$E$991,5,FALSE)," ")</f>
        <v xml:space="preserve"> </v>
      </c>
      <c r="L106" s="90"/>
      <c r="M106" s="90"/>
    </row>
    <row r="107" spans="1:13" ht="15" customHeight="1" x14ac:dyDescent="0.25">
      <c r="A107" s="121">
        <v>9</v>
      </c>
      <c r="B107" s="154"/>
      <c r="C107" s="155"/>
      <c r="D107" s="106">
        <f>SUM(D108:D115)</f>
        <v>792.53</v>
      </c>
      <c r="E107" s="107"/>
      <c r="F107" s="90" t="str">
        <f>IFERROR(VLOOKUP($C107,[3]Nod!$A$3:$E$991,4,FALSE)," ")</f>
        <v xml:space="preserve"> </v>
      </c>
      <c r="G107" s="90" t="str">
        <f>IFERROR(VLOOKUP($C107,[3]Nod!$A$3:$E$991,5,FALSE)," ")</f>
        <v xml:space="preserve"> </v>
      </c>
      <c r="L107" s="90"/>
      <c r="M107" s="90"/>
    </row>
    <row r="108" spans="1:13" ht="15" customHeight="1" x14ac:dyDescent="0.25">
      <c r="A108" s="108" t="s">
        <v>143</v>
      </c>
      <c r="B108" s="109"/>
      <c r="C108" s="115">
        <v>6059</v>
      </c>
      <c r="D108" s="111">
        <v>160</v>
      </c>
      <c r="E108" s="112">
        <v>0</v>
      </c>
      <c r="F108" s="90" t="str">
        <f>IFERROR(VLOOKUP($C108,[3]Nod!$A$3:$E$991,4,FALSE)," ")</f>
        <v>LM1115</v>
      </c>
      <c r="G108" s="90">
        <f>IFERROR(VLOOKUP($C108,[3]Nod!$A$3:$E$991,5,FALSE)," ")</f>
        <v>9</v>
      </c>
      <c r="L108" s="90"/>
      <c r="M108" s="90"/>
    </row>
    <row r="109" spans="1:13" ht="15" customHeight="1" x14ac:dyDescent="0.25">
      <c r="A109" s="108" t="s">
        <v>144</v>
      </c>
      <c r="B109" s="109"/>
      <c r="C109" s="115">
        <v>6060</v>
      </c>
      <c r="D109" s="111">
        <v>120</v>
      </c>
      <c r="E109" s="112">
        <v>0</v>
      </c>
      <c r="F109" s="90" t="str">
        <f>IFERROR(VLOOKUP($C109,[3]Nod!$A$3:$E$991,4,FALSE)," ")</f>
        <v>LM2115</v>
      </c>
      <c r="G109" s="90">
        <f>IFERROR(VLOOKUP($C109,[3]Nod!$A$3:$E$991,5,FALSE)," ")</f>
        <v>9</v>
      </c>
      <c r="L109" s="90"/>
      <c r="M109" s="90"/>
    </row>
    <row r="110" spans="1:13" ht="15" customHeight="1" x14ac:dyDescent="0.25">
      <c r="A110" s="108" t="s">
        <v>145</v>
      </c>
      <c r="B110" s="109"/>
      <c r="C110" s="115">
        <v>6059</v>
      </c>
      <c r="D110" s="111">
        <v>87.2</v>
      </c>
      <c r="E110" s="112">
        <v>0</v>
      </c>
      <c r="F110" s="90" t="str">
        <f>IFERROR(VLOOKUP($C110,[3]Nod!$A$3:$E$991,4,FALSE)," ")</f>
        <v>LM1115</v>
      </c>
      <c r="G110" s="90">
        <f>IFERROR(VLOOKUP($C110,[3]Nod!$A$3:$E$991,5,FALSE)," ")</f>
        <v>9</v>
      </c>
      <c r="K110" s="156"/>
      <c r="L110" s="90"/>
      <c r="M110" s="90"/>
    </row>
    <row r="111" spans="1:13" ht="15" customHeight="1" x14ac:dyDescent="0.25">
      <c r="A111" s="108" t="s">
        <v>146</v>
      </c>
      <c r="B111" s="109"/>
      <c r="C111" s="115">
        <v>6290</v>
      </c>
      <c r="D111" s="111">
        <v>150</v>
      </c>
      <c r="E111" s="112">
        <v>0</v>
      </c>
      <c r="F111" s="90" t="str">
        <f>IFERROR(VLOOKUP($C111,[3]Nod!$A$3:$E$991,4,FALSE)," ")</f>
        <v>CATII115</v>
      </c>
      <c r="G111" s="90">
        <f>IFERROR(VLOOKUP($C111,[3]Nod!$A$3:$E$991,5,FALSE)," ")</f>
        <v>9</v>
      </c>
      <c r="K111" s="156"/>
      <c r="L111" s="90"/>
      <c r="M111" s="90"/>
    </row>
    <row r="112" spans="1:13" ht="15" customHeight="1" x14ac:dyDescent="0.25">
      <c r="A112" s="108" t="s">
        <v>147</v>
      </c>
      <c r="B112" s="109"/>
      <c r="C112" s="115">
        <v>6171</v>
      </c>
      <c r="D112" s="111">
        <v>53.53</v>
      </c>
      <c r="E112" s="112">
        <v>0</v>
      </c>
      <c r="F112" s="90" t="str">
        <f>IFERROR(VLOOKUP($C112,[3]Nod!$A$3:$E$991,4,FALSE)," ")</f>
        <v>PAC230</v>
      </c>
      <c r="G112" s="90">
        <f>IFERROR(VLOOKUP($C112,[3]Nod!$A$3:$E$991,5,FALSE)," ")</f>
        <v>9</v>
      </c>
      <c r="K112" s="156"/>
      <c r="L112" s="90"/>
      <c r="M112" s="90"/>
    </row>
    <row r="113" spans="1:13" ht="15" customHeight="1" x14ac:dyDescent="0.25">
      <c r="A113" s="108" t="s">
        <v>148</v>
      </c>
      <c r="B113" s="109"/>
      <c r="C113" s="115">
        <v>6059</v>
      </c>
      <c r="D113" s="111">
        <v>72</v>
      </c>
      <c r="E113" s="112">
        <v>0</v>
      </c>
      <c r="F113" s="90" t="str">
        <f>IFERROR(VLOOKUP($C113,[3]Nod!$A$3:$E$991,4,FALSE)," ")</f>
        <v>LM1115</v>
      </c>
      <c r="G113" s="90">
        <f>IFERROR(VLOOKUP($C113,[3]Nod!$A$3:$E$991,5,FALSE)," ")</f>
        <v>9</v>
      </c>
      <c r="K113" s="156"/>
      <c r="L113" s="90"/>
      <c r="M113" s="90"/>
    </row>
    <row r="114" spans="1:13" ht="15" customHeight="1" x14ac:dyDescent="0.25">
      <c r="A114" s="108" t="s">
        <v>149</v>
      </c>
      <c r="B114" s="109"/>
      <c r="C114" s="115">
        <v>6173</v>
      </c>
      <c r="D114" s="111">
        <v>57.8</v>
      </c>
      <c r="E114" s="136">
        <v>0</v>
      </c>
      <c r="F114" s="90" t="str">
        <f>IFERROR(VLOOKUP($C114,[3]Nod!$A$3:$E$991,4,FALSE)," ")</f>
        <v>STR115</v>
      </c>
      <c r="G114" s="90">
        <f>IFERROR(VLOOKUP($C114,[3]Nod!$A$3:$E$991,5,FALSE)," ")</f>
        <v>9</v>
      </c>
      <c r="K114" s="156"/>
      <c r="L114" s="90"/>
      <c r="M114" s="90"/>
    </row>
    <row r="115" spans="1:13" ht="15" customHeight="1" x14ac:dyDescent="0.25">
      <c r="A115" s="108" t="s">
        <v>150</v>
      </c>
      <c r="B115" s="109"/>
      <c r="C115" s="115">
        <v>6059</v>
      </c>
      <c r="D115" s="111">
        <v>92</v>
      </c>
      <c r="E115" s="136">
        <v>0</v>
      </c>
      <c r="F115" s="90" t="str">
        <f>IFERROR(VLOOKUP($C115,[3]Nod!$A$3:$E$991,4,FALSE)," ")</f>
        <v>LM1115</v>
      </c>
      <c r="G115" s="90">
        <f>IFERROR(VLOOKUP($C115,[3]Nod!$A$3:$E$991,5,FALSE)," ")</f>
        <v>9</v>
      </c>
      <c r="K115" s="156"/>
      <c r="L115" s="90"/>
      <c r="M115" s="90"/>
    </row>
    <row r="116" spans="1:13" ht="15" customHeight="1" x14ac:dyDescent="0.25">
      <c r="A116" s="114" t="s">
        <v>44</v>
      </c>
      <c r="B116" s="109"/>
      <c r="C116" s="115"/>
      <c r="D116" s="157"/>
      <c r="E116" s="112"/>
      <c r="F116" s="90" t="str">
        <f>IFERROR(VLOOKUP($C116,[3]Nod!$A$3:$E$991,4,FALSE)," ")</f>
        <v xml:space="preserve"> </v>
      </c>
      <c r="G116" s="90" t="str">
        <f>IFERROR(VLOOKUP($C116,[3]Nod!$A$3:$E$991,5,FALSE)," ")</f>
        <v xml:space="preserve"> </v>
      </c>
      <c r="K116" s="156"/>
      <c r="L116" s="90"/>
      <c r="M116" s="90"/>
    </row>
    <row r="117" spans="1:13" ht="15" customHeight="1" x14ac:dyDescent="0.25">
      <c r="A117" s="121">
        <v>10</v>
      </c>
      <c r="B117" s="154"/>
      <c r="C117" s="158"/>
      <c r="D117" s="124">
        <f>SUM(D118:D119)</f>
        <v>252.17</v>
      </c>
      <c r="E117" s="128"/>
      <c r="F117" s="90" t="str">
        <f>IFERROR(VLOOKUP($C117,[3]Nod!$A$3:$E$991,4,FALSE)," ")</f>
        <v xml:space="preserve"> </v>
      </c>
      <c r="G117" s="90" t="str">
        <f>IFERROR(VLOOKUP($C117,[3]Nod!$A$3:$E$991,5,FALSE)," ")</f>
        <v xml:space="preserve"> </v>
      </c>
      <c r="K117" s="156"/>
      <c r="L117" s="90"/>
      <c r="M117" s="90"/>
    </row>
    <row r="118" spans="1:13" ht="15" customHeight="1" x14ac:dyDescent="0.25">
      <c r="A118" s="108" t="s">
        <v>151</v>
      </c>
      <c r="B118" s="109"/>
      <c r="C118" s="115">
        <v>6263</v>
      </c>
      <c r="D118" s="111">
        <v>222.17</v>
      </c>
      <c r="E118" s="112">
        <v>0</v>
      </c>
      <c r="F118" s="90" t="str">
        <f>IFERROR(VLOOKUP($C118,[3]Nod!$A$3:$E$991,4,FALSE)," ")</f>
        <v>ESP230</v>
      </c>
      <c r="G118" s="90">
        <f>IFERROR(VLOOKUP($C118,[3]Nod!$A$3:$E$991,5,FALSE)," ")</f>
        <v>10</v>
      </c>
      <c r="K118" s="156"/>
      <c r="L118" s="90"/>
      <c r="M118" s="90"/>
    </row>
    <row r="119" spans="1:13" ht="15" customHeight="1" x14ac:dyDescent="0.25">
      <c r="A119" s="108" t="s">
        <v>152</v>
      </c>
      <c r="B119" s="109"/>
      <c r="C119" s="115">
        <v>6261</v>
      </c>
      <c r="D119" s="111">
        <v>30</v>
      </c>
      <c r="E119" s="112">
        <v>0</v>
      </c>
      <c r="F119" s="90" t="str">
        <f>IFERROR(VLOOKUP($C119,[3]Nod!$A$3:$E$991,4,FALSE)," ")</f>
        <v>CHA115</v>
      </c>
      <c r="G119" s="90">
        <f>IFERROR(VLOOKUP($C119,[3]Nod!$A$3:$E$991,5,FALSE)," ")</f>
        <v>10</v>
      </c>
      <c r="K119" s="156"/>
      <c r="L119" s="90"/>
      <c r="M119" s="90"/>
    </row>
    <row r="120" spans="1:13" ht="15" customHeight="1" x14ac:dyDescent="0.25">
      <c r="A120" s="148" t="s">
        <v>44</v>
      </c>
      <c r="B120" s="117"/>
      <c r="C120" s="134"/>
      <c r="D120" s="119"/>
      <c r="E120" s="133"/>
      <c r="F120" s="90" t="s">
        <v>153</v>
      </c>
      <c r="G120" s="90" t="s">
        <v>153</v>
      </c>
      <c r="K120" s="156"/>
      <c r="L120" s="90"/>
      <c r="M120" s="90"/>
    </row>
    <row r="121" spans="1:13" ht="15" customHeight="1" x14ac:dyDescent="0.2">
      <c r="A121" s="159"/>
      <c r="D121" s="156"/>
      <c r="F121" s="90"/>
      <c r="G121" s="90"/>
      <c r="K121" s="156"/>
      <c r="L121" s="90"/>
      <c r="M121" s="90"/>
    </row>
    <row r="122" spans="1:13" ht="15" customHeight="1" x14ac:dyDescent="0.2">
      <c r="A122" s="159"/>
      <c r="D122" s="156"/>
      <c r="F122" s="90"/>
      <c r="G122" s="90"/>
      <c r="K122" s="156"/>
      <c r="L122" s="90"/>
      <c r="M122" s="90"/>
    </row>
    <row r="123" spans="1:13" ht="15" customHeight="1" x14ac:dyDescent="0.25">
      <c r="D123" s="156"/>
      <c r="F123" s="90"/>
      <c r="G123" s="90"/>
      <c r="K123" s="156"/>
      <c r="L123" s="90"/>
      <c r="M123" s="90"/>
    </row>
    <row r="124" spans="1:13" ht="15" customHeight="1" x14ac:dyDescent="0.25">
      <c r="D124" s="156"/>
      <c r="F124" s="90"/>
      <c r="G124" s="90"/>
      <c r="K124" s="156"/>
      <c r="L124" s="90"/>
      <c r="M124" s="90"/>
    </row>
    <row r="125" spans="1:13" ht="15" customHeight="1" x14ac:dyDescent="0.25">
      <c r="D125" s="156"/>
      <c r="F125" s="90"/>
      <c r="G125" s="90"/>
      <c r="K125" s="156"/>
      <c r="L125" s="90"/>
      <c r="M125" s="90"/>
    </row>
    <row r="126" spans="1:13" ht="15" customHeight="1" x14ac:dyDescent="0.25">
      <c r="D126" s="156"/>
      <c r="F126" s="90"/>
      <c r="G126" s="90"/>
      <c r="K126" s="156"/>
      <c r="L126" s="90"/>
      <c r="M126" s="90"/>
    </row>
    <row r="127" spans="1:13" ht="15" customHeight="1" x14ac:dyDescent="0.25">
      <c r="D127" s="156"/>
      <c r="F127" s="90"/>
      <c r="G127" s="90"/>
      <c r="K127" s="156"/>
      <c r="L127" s="90"/>
      <c r="M127" s="90"/>
    </row>
    <row r="128" spans="1:13" ht="15" customHeight="1" x14ac:dyDescent="0.25">
      <c r="D128" s="156"/>
      <c r="F128" s="90"/>
      <c r="G128" s="90"/>
      <c r="K128" s="156"/>
      <c r="L128" s="90"/>
      <c r="M128" s="90"/>
    </row>
    <row r="129" spans="4:13" ht="15" customHeight="1" x14ac:dyDescent="0.25">
      <c r="D129" s="156"/>
      <c r="F129" s="90"/>
      <c r="G129" s="90"/>
      <c r="K129" s="156"/>
      <c r="L129" s="90"/>
      <c r="M129" s="90"/>
    </row>
    <row r="130" spans="4:13" ht="15" customHeight="1" x14ac:dyDescent="0.25">
      <c r="D130" s="156"/>
      <c r="F130" s="90"/>
      <c r="G130" s="90"/>
      <c r="K130" s="156"/>
      <c r="L130" s="90"/>
      <c r="M130" s="90"/>
    </row>
    <row r="131" spans="4:13" ht="15" customHeight="1" x14ac:dyDescent="0.25">
      <c r="D131" s="156"/>
      <c r="F131" s="90"/>
      <c r="G131" s="90"/>
      <c r="K131" s="156"/>
      <c r="L131" s="90"/>
      <c r="M131" s="90"/>
    </row>
    <row r="132" spans="4:13" ht="15" customHeight="1" x14ac:dyDescent="0.25">
      <c r="D132" s="156"/>
      <c r="F132" s="90"/>
      <c r="G132" s="90"/>
      <c r="K132" s="156"/>
      <c r="L132" s="90"/>
      <c r="M132" s="90"/>
    </row>
    <row r="133" spans="4:13" ht="15" customHeight="1" x14ac:dyDescent="0.25">
      <c r="D133" s="156"/>
      <c r="F133" s="90"/>
      <c r="G133" s="90"/>
      <c r="K133" s="156"/>
      <c r="L133" s="90"/>
      <c r="M133" s="90"/>
    </row>
    <row r="134" spans="4:13" ht="15" customHeight="1" x14ac:dyDescent="0.25">
      <c r="D134" s="156"/>
      <c r="F134" s="90"/>
      <c r="G134" s="90"/>
      <c r="K134" s="156"/>
      <c r="L134" s="90"/>
      <c r="M134" s="90"/>
    </row>
    <row r="135" spans="4:13" ht="15" customHeight="1" x14ac:dyDescent="0.25">
      <c r="D135" s="156"/>
      <c r="F135" s="90"/>
      <c r="G135" s="90"/>
      <c r="K135" s="156"/>
      <c r="L135" s="90"/>
      <c r="M135" s="90"/>
    </row>
    <row r="136" spans="4:13" ht="15" customHeight="1" x14ac:dyDescent="0.25">
      <c r="D136" s="156"/>
      <c r="F136" s="90"/>
      <c r="G136" s="90"/>
      <c r="K136" s="156"/>
      <c r="L136" s="90"/>
      <c r="M136" s="90"/>
    </row>
    <row r="137" spans="4:13" ht="15" customHeight="1" x14ac:dyDescent="0.25">
      <c r="D137" s="156"/>
      <c r="F137" s="90"/>
      <c r="G137" s="90"/>
      <c r="K137" s="156"/>
      <c r="L137" s="90"/>
      <c r="M137" s="90"/>
    </row>
    <row r="138" spans="4:13" ht="15" customHeight="1" x14ac:dyDescent="0.25">
      <c r="D138" s="156"/>
      <c r="F138" s="90"/>
      <c r="G138" s="90"/>
      <c r="K138" s="156"/>
      <c r="L138" s="90"/>
      <c r="M138" s="90"/>
    </row>
    <row r="139" spans="4:13" ht="15" customHeight="1" x14ac:dyDescent="0.25">
      <c r="D139" s="156"/>
      <c r="F139" s="90"/>
      <c r="G139" s="90"/>
      <c r="K139" s="156"/>
      <c r="L139" s="90"/>
      <c r="M139" s="90"/>
    </row>
    <row r="140" spans="4:13" ht="15" customHeight="1" x14ac:dyDescent="0.25">
      <c r="D140" s="156"/>
      <c r="F140" s="90"/>
      <c r="G140" s="90"/>
      <c r="K140" s="156"/>
      <c r="L140" s="90"/>
      <c r="M140" s="90"/>
    </row>
    <row r="141" spans="4:13" ht="15" customHeight="1" x14ac:dyDescent="0.25">
      <c r="D141" s="156"/>
      <c r="F141" s="90"/>
      <c r="G141" s="90"/>
      <c r="K141" s="156"/>
      <c r="L141" s="90"/>
      <c r="M141" s="90"/>
    </row>
    <row r="142" spans="4:13" ht="15" customHeight="1" x14ac:dyDescent="0.25">
      <c r="D142" s="156"/>
      <c r="F142" s="90"/>
      <c r="G142" s="90"/>
      <c r="K142" s="156"/>
      <c r="L142" s="90"/>
      <c r="M142" s="90"/>
    </row>
    <row r="143" spans="4:13" ht="15" customHeight="1" x14ac:dyDescent="0.25">
      <c r="D143" s="156"/>
      <c r="F143" s="90"/>
      <c r="G143" s="90"/>
      <c r="K143" s="156"/>
      <c r="L143" s="90"/>
      <c r="M143" s="90"/>
    </row>
    <row r="144" spans="4:13" ht="15" customHeight="1" x14ac:dyDescent="0.25">
      <c r="D144" s="156"/>
      <c r="F144" s="90"/>
      <c r="G144" s="90"/>
      <c r="K144" s="156"/>
      <c r="L144" s="90"/>
      <c r="M144" s="90"/>
    </row>
    <row r="145" spans="4:13" ht="15" customHeight="1" x14ac:dyDescent="0.25">
      <c r="D145" s="156"/>
      <c r="F145" s="90"/>
      <c r="G145" s="90"/>
      <c r="K145" s="156"/>
      <c r="L145" s="90"/>
      <c r="M145" s="90"/>
    </row>
    <row r="146" spans="4:13" ht="15" customHeight="1" x14ac:dyDescent="0.25">
      <c r="D146" s="156"/>
      <c r="F146" s="90"/>
      <c r="G146" s="90"/>
      <c r="K146" s="156"/>
      <c r="L146" s="90"/>
      <c r="M146" s="90"/>
    </row>
    <row r="147" spans="4:13" ht="15" customHeight="1" x14ac:dyDescent="0.25">
      <c r="D147" s="156"/>
      <c r="F147" s="90"/>
      <c r="G147" s="90"/>
      <c r="K147" s="156"/>
      <c r="L147" s="90"/>
      <c r="M147" s="90"/>
    </row>
    <row r="148" spans="4:13" ht="15" customHeight="1" x14ac:dyDescent="0.25">
      <c r="D148" s="156"/>
      <c r="F148" s="90"/>
      <c r="G148" s="90"/>
      <c r="K148" s="156"/>
      <c r="L148" s="90"/>
      <c r="M148" s="90"/>
    </row>
    <row r="149" spans="4:13" ht="15" customHeight="1" x14ac:dyDescent="0.25">
      <c r="D149" s="156"/>
      <c r="F149" s="90"/>
      <c r="G149" s="90"/>
      <c r="K149" s="156"/>
      <c r="L149" s="90"/>
      <c r="M149" s="90"/>
    </row>
    <row r="150" spans="4:13" ht="15" customHeight="1" x14ac:dyDescent="0.25">
      <c r="D150" s="156"/>
      <c r="F150" s="90"/>
      <c r="G150" s="90"/>
      <c r="L150" s="90"/>
      <c r="M150" s="90"/>
    </row>
    <row r="151" spans="4:13" ht="15" customHeight="1" x14ac:dyDescent="0.25">
      <c r="D151" s="156"/>
      <c r="F151" s="90"/>
      <c r="G151" s="90"/>
      <c r="L151" s="90"/>
      <c r="M151" s="90"/>
    </row>
    <row r="152" spans="4:13" ht="15" customHeight="1" x14ac:dyDescent="0.25">
      <c r="D152" s="156"/>
      <c r="F152" s="90"/>
      <c r="G152" s="90"/>
      <c r="L152" s="90"/>
      <c r="M152" s="90"/>
    </row>
    <row r="153" spans="4:13" ht="15" customHeight="1" x14ac:dyDescent="0.25">
      <c r="D153" s="156"/>
      <c r="F153" s="90"/>
      <c r="G153" s="90"/>
      <c r="L153" s="90"/>
      <c r="M153" s="90"/>
    </row>
    <row r="154" spans="4:13" ht="15" customHeight="1" x14ac:dyDescent="0.25">
      <c r="D154" s="156"/>
      <c r="F154" s="90"/>
      <c r="G154" s="90"/>
      <c r="L154" s="90"/>
      <c r="M154" s="90"/>
    </row>
    <row r="155" spans="4:13" ht="15" customHeight="1" x14ac:dyDescent="0.25">
      <c r="D155" s="156"/>
      <c r="F155" s="90"/>
      <c r="G155" s="90"/>
      <c r="L155" s="90"/>
      <c r="M155" s="90"/>
    </row>
    <row r="156" spans="4:13" ht="15" customHeight="1" x14ac:dyDescent="0.25">
      <c r="D156" s="156"/>
      <c r="F156" s="90"/>
      <c r="G156" s="90"/>
      <c r="L156" s="90"/>
      <c r="M156" s="90"/>
    </row>
    <row r="157" spans="4:13" ht="15" customHeight="1" x14ac:dyDescent="0.25">
      <c r="D157" s="156"/>
      <c r="F157" s="90"/>
      <c r="G157" s="90"/>
      <c r="L157" s="90"/>
      <c r="M157" s="90"/>
    </row>
    <row r="158" spans="4:13" ht="15" customHeight="1" x14ac:dyDescent="0.25">
      <c r="D158" s="156"/>
      <c r="F158" s="90"/>
      <c r="G158" s="90"/>
      <c r="L158" s="90"/>
      <c r="M158" s="90"/>
    </row>
    <row r="159" spans="4:13" ht="15" customHeight="1" x14ac:dyDescent="0.25">
      <c r="D159" s="156"/>
      <c r="F159" s="90"/>
      <c r="G159" s="90"/>
      <c r="L159" s="90"/>
      <c r="M159" s="90"/>
    </row>
    <row r="160" spans="4:13" ht="15" customHeight="1" x14ac:dyDescent="0.25">
      <c r="F160" s="90"/>
      <c r="G160" s="90"/>
      <c r="L160" s="90"/>
      <c r="M160" s="90"/>
    </row>
    <row r="161" spans="6:13" ht="15" customHeight="1" x14ac:dyDescent="0.25">
      <c r="F161" s="90"/>
      <c r="G161" s="90"/>
      <c r="L161" s="90"/>
      <c r="M161" s="90"/>
    </row>
    <row r="162" spans="6:13" ht="15" customHeight="1" x14ac:dyDescent="0.25">
      <c r="F162" s="90"/>
      <c r="G162" s="90"/>
      <c r="L162" s="90"/>
      <c r="M162" s="90"/>
    </row>
    <row r="163" spans="6:13" ht="15" customHeight="1" x14ac:dyDescent="0.25">
      <c r="F163" s="90"/>
      <c r="G163" s="90"/>
      <c r="L163" s="90"/>
      <c r="M163" s="90"/>
    </row>
    <row r="164" spans="6:13" ht="15" customHeight="1" x14ac:dyDescent="0.25">
      <c r="F164" s="90"/>
      <c r="G164" s="90"/>
      <c r="L164" s="90"/>
      <c r="M164" s="90"/>
    </row>
    <row r="165" spans="6:13" ht="15" customHeight="1" x14ac:dyDescent="0.25">
      <c r="F165" s="90"/>
      <c r="G165" s="90"/>
      <c r="L165" s="90"/>
      <c r="M165" s="90"/>
    </row>
    <row r="166" spans="6:13" ht="15" customHeight="1" x14ac:dyDescent="0.25">
      <c r="F166" s="90"/>
      <c r="G166" s="90"/>
      <c r="L166" s="90"/>
      <c r="M166" s="90"/>
    </row>
    <row r="167" spans="6:13" ht="15" customHeight="1" x14ac:dyDescent="0.25">
      <c r="F167" s="90"/>
      <c r="G167" s="90"/>
      <c r="L167" s="90"/>
      <c r="M167" s="90"/>
    </row>
    <row r="168" spans="6:13" ht="15" customHeight="1" x14ac:dyDescent="0.25">
      <c r="F168" s="90"/>
      <c r="G168" s="90"/>
      <c r="L168" s="90"/>
      <c r="M168" s="90"/>
    </row>
    <row r="169" spans="6:13" ht="15" customHeight="1" x14ac:dyDescent="0.25">
      <c r="F169" s="90"/>
      <c r="G169" s="90"/>
      <c r="L169" s="90"/>
      <c r="M169" s="90"/>
    </row>
    <row r="170" spans="6:13" ht="15" customHeight="1" x14ac:dyDescent="0.25">
      <c r="F170" s="90"/>
      <c r="G170" s="90"/>
      <c r="L170" s="90"/>
      <c r="M170" s="90"/>
    </row>
    <row r="171" spans="6:13" ht="15" customHeight="1" x14ac:dyDescent="0.25">
      <c r="F171" s="90"/>
      <c r="G171" s="90"/>
      <c r="L171" s="90"/>
      <c r="M171" s="90"/>
    </row>
    <row r="172" spans="6:13" ht="15" customHeight="1" x14ac:dyDescent="0.25">
      <c r="F172" s="90"/>
      <c r="G172" s="90"/>
      <c r="L172" s="90"/>
      <c r="M172" s="90"/>
    </row>
    <row r="173" spans="6:13" ht="15" customHeight="1" x14ac:dyDescent="0.25">
      <c r="F173" s="90"/>
      <c r="G173" s="90"/>
      <c r="L173" s="90"/>
      <c r="M173" s="90"/>
    </row>
    <row r="174" spans="6:13" ht="15" customHeight="1" x14ac:dyDescent="0.25">
      <c r="F174" s="90"/>
      <c r="G174" s="90"/>
      <c r="L174" s="90"/>
      <c r="M174" s="90"/>
    </row>
    <row r="175" spans="6:13" ht="15" customHeight="1" x14ac:dyDescent="0.25">
      <c r="F175" s="90"/>
      <c r="G175" s="90"/>
      <c r="L175" s="90"/>
      <c r="M175" s="90"/>
    </row>
    <row r="176" spans="6:13" ht="15" customHeight="1" x14ac:dyDescent="0.25">
      <c r="F176" s="90"/>
      <c r="G176" s="90"/>
      <c r="L176" s="90"/>
      <c r="M176" s="90"/>
    </row>
    <row r="177" spans="6:13" ht="15" customHeight="1" x14ac:dyDescent="0.25">
      <c r="F177" s="90"/>
      <c r="G177" s="90"/>
      <c r="L177" s="90"/>
      <c r="M177" s="90"/>
    </row>
    <row r="178" spans="6:13" ht="15" customHeight="1" x14ac:dyDescent="0.25">
      <c r="F178" s="90"/>
      <c r="G178" s="90"/>
      <c r="L178" s="90"/>
      <c r="M178" s="90"/>
    </row>
    <row r="179" spans="6:13" ht="15" customHeight="1" x14ac:dyDescent="0.25">
      <c r="F179" s="90"/>
      <c r="G179" s="90"/>
      <c r="L179" s="90"/>
      <c r="M179" s="90"/>
    </row>
    <row r="180" spans="6:13" ht="15" customHeight="1" x14ac:dyDescent="0.25">
      <c r="F180" s="90"/>
      <c r="G180" s="90"/>
      <c r="L180" s="90"/>
      <c r="M180" s="90"/>
    </row>
    <row r="181" spans="6:13" ht="15" customHeight="1" x14ac:dyDescent="0.25">
      <c r="F181" s="90"/>
      <c r="G181" s="90"/>
      <c r="L181" s="90"/>
      <c r="M181" s="90"/>
    </row>
    <row r="182" spans="6:13" ht="15" customHeight="1" x14ac:dyDescent="0.25">
      <c r="F182" s="90"/>
      <c r="G182" s="90"/>
      <c r="L182" s="90"/>
      <c r="M182" s="90"/>
    </row>
    <row r="183" spans="6:13" ht="15" customHeight="1" x14ac:dyDescent="0.25">
      <c r="F183" s="90"/>
      <c r="G183" s="90"/>
      <c r="L183" s="90"/>
      <c r="M183" s="90"/>
    </row>
    <row r="184" spans="6:13" ht="15" customHeight="1" x14ac:dyDescent="0.25">
      <c r="F184" s="90"/>
      <c r="G184" s="90"/>
      <c r="L184" s="90"/>
      <c r="M184" s="90"/>
    </row>
    <row r="185" spans="6:13" ht="15" customHeight="1" x14ac:dyDescent="0.25">
      <c r="F185" s="90"/>
      <c r="G185" s="90"/>
      <c r="L185" s="90"/>
      <c r="M185" s="90"/>
    </row>
    <row r="186" spans="6:13" ht="15" customHeight="1" x14ac:dyDescent="0.25">
      <c r="F186" s="90"/>
      <c r="G186" s="90"/>
      <c r="L186" s="90"/>
      <c r="M186" s="90"/>
    </row>
    <row r="187" spans="6:13" ht="15" customHeight="1" x14ac:dyDescent="0.25">
      <c r="F187" s="90"/>
      <c r="G187" s="90"/>
      <c r="L187" s="90"/>
      <c r="M187" s="90"/>
    </row>
    <row r="188" spans="6:13" ht="15" customHeight="1" x14ac:dyDescent="0.25">
      <c r="F188" s="90"/>
      <c r="G188" s="90"/>
      <c r="L188" s="90"/>
      <c r="M188" s="90"/>
    </row>
    <row r="189" spans="6:13" ht="15" customHeight="1" x14ac:dyDescent="0.25">
      <c r="F189" s="90"/>
      <c r="G189" s="90"/>
      <c r="L189" s="90"/>
      <c r="M189" s="90"/>
    </row>
    <row r="190" spans="6:13" ht="15" customHeight="1" x14ac:dyDescent="0.25">
      <c r="F190" s="90"/>
      <c r="G190" s="90"/>
      <c r="L190" s="90"/>
      <c r="M190" s="90"/>
    </row>
    <row r="191" spans="6:13" ht="15" customHeight="1" x14ac:dyDescent="0.25">
      <c r="F191" s="90"/>
      <c r="G191" s="90"/>
      <c r="L191" s="90"/>
      <c r="M191" s="90"/>
    </row>
    <row r="192" spans="6:13" ht="15" customHeight="1" x14ac:dyDescent="0.25">
      <c r="F192" s="90"/>
      <c r="G192" s="90"/>
      <c r="L192" s="90"/>
      <c r="M192" s="90"/>
    </row>
    <row r="193" spans="6:13" ht="15" customHeight="1" x14ac:dyDescent="0.25">
      <c r="F193" s="90"/>
      <c r="G193" s="90"/>
      <c r="L193" s="90"/>
      <c r="M193" s="90"/>
    </row>
    <row r="194" spans="6:13" ht="15" customHeight="1" x14ac:dyDescent="0.25">
      <c r="F194" s="90"/>
      <c r="G194" s="90"/>
      <c r="L194" s="90"/>
      <c r="M194" s="90"/>
    </row>
    <row r="195" spans="6:13" ht="15" customHeight="1" x14ac:dyDescent="0.25">
      <c r="F195" s="90"/>
      <c r="G195" s="90"/>
      <c r="L195" s="90"/>
      <c r="M195" s="90"/>
    </row>
    <row r="196" spans="6:13" ht="15" customHeight="1" x14ac:dyDescent="0.25">
      <c r="F196" s="90"/>
      <c r="G196" s="90"/>
      <c r="L196" s="90"/>
      <c r="M196" s="90"/>
    </row>
    <row r="197" spans="6:13" ht="15" customHeight="1" x14ac:dyDescent="0.25">
      <c r="F197" s="90"/>
      <c r="G197" s="90"/>
      <c r="L197" s="90"/>
      <c r="M197" s="90"/>
    </row>
    <row r="198" spans="6:13" ht="15" customHeight="1" x14ac:dyDescent="0.25">
      <c r="F198" s="90"/>
      <c r="G198" s="90"/>
      <c r="L198" s="90"/>
      <c r="M198" s="90"/>
    </row>
    <row r="199" spans="6:13" ht="15" customHeight="1" x14ac:dyDescent="0.25">
      <c r="F199" s="90"/>
      <c r="G199" s="90"/>
      <c r="L199" s="90"/>
      <c r="M199" s="90"/>
    </row>
    <row r="200" spans="6:13" ht="15" customHeight="1" x14ac:dyDescent="0.25">
      <c r="F200" s="90"/>
      <c r="G200" s="90"/>
      <c r="L200" s="90"/>
      <c r="M200" s="90"/>
    </row>
    <row r="201" spans="6:13" ht="15" customHeight="1" x14ac:dyDescent="0.25">
      <c r="F201" s="90"/>
      <c r="G201" s="90"/>
      <c r="L201" s="90"/>
      <c r="M201" s="90"/>
    </row>
    <row r="202" spans="6:13" ht="15" customHeight="1" x14ac:dyDescent="0.25">
      <c r="F202" s="90"/>
      <c r="G202" s="90"/>
      <c r="L202" s="90"/>
      <c r="M202" s="90"/>
    </row>
    <row r="203" spans="6:13" ht="15" customHeight="1" x14ac:dyDescent="0.25">
      <c r="F203" s="90"/>
      <c r="G203" s="90"/>
      <c r="L203" s="90"/>
      <c r="M203" s="90"/>
    </row>
    <row r="204" spans="6:13" ht="15" customHeight="1" x14ac:dyDescent="0.25">
      <c r="F204" s="90"/>
      <c r="G204" s="90"/>
      <c r="L204" s="90"/>
      <c r="M204" s="90"/>
    </row>
    <row r="205" spans="6:13" ht="15" customHeight="1" x14ac:dyDescent="0.25">
      <c r="L205" s="90"/>
      <c r="M205" s="90"/>
    </row>
  </sheetData>
  <sheetProtection algorithmName="SHA-512" hashValue="qD1ewZCpFP3yqxNX03ygOpDLINmTpx27oziWkl3VNUV2PBGAAbbENh0v4HHUYlKKrJ/Ao/TUQ/2xEewKRAoWrw==" saltValue="t+/v2TSDjCQgIxL23EDQ5w==" spinCount="100000" sheet="1" objects="1" scenarios="1"/>
  <mergeCells count="1">
    <mergeCell ref="A9:L9"/>
  </mergeCells>
  <conditionalFormatting sqref="K25:K26 K29:K31 K70:K74 K42:K46 K77:K78 K18:K20 K80:K81 K34:K39 K67 K110:K149 D121:D159 K49:K63">
    <cfRule type="cellIs" dxfId="130" priority="19" operator="equal">
      <formula>0</formula>
    </cfRule>
  </conditionalFormatting>
  <conditionalFormatting sqref="K79">
    <cfRule type="cellIs" dxfId="129" priority="14" operator="equal">
      <formula>0</formula>
    </cfRule>
  </conditionalFormatting>
  <conditionalFormatting sqref="B11:L12">
    <cfRule type="cellIs" dxfId="128" priority="18" operator="equal">
      <formula>0</formula>
    </cfRule>
  </conditionalFormatting>
  <conditionalFormatting sqref="M11">
    <cfRule type="cellIs" dxfId="127" priority="17" stopIfTrue="1" operator="notEqual">
      <formula>L11</formula>
    </cfRule>
  </conditionalFormatting>
  <conditionalFormatting sqref="M12">
    <cfRule type="cellIs" dxfId="126" priority="16" stopIfTrue="1" operator="notEqual">
      <formula>L12</formula>
    </cfRule>
  </conditionalFormatting>
  <conditionalFormatting sqref="K66">
    <cfRule type="cellIs" dxfId="125" priority="15" operator="equal">
      <formula>0</formula>
    </cfRule>
  </conditionalFormatting>
  <conditionalFormatting sqref="D85:E86 E87:E88">
    <cfRule type="cellIs" dxfId="124" priority="10" operator="equal">
      <formula>0</formula>
    </cfRule>
  </conditionalFormatting>
  <conditionalFormatting sqref="D21:E21">
    <cfRule type="cellIs" dxfId="123" priority="9" operator="equal">
      <formula>0</formula>
    </cfRule>
  </conditionalFormatting>
  <conditionalFormatting sqref="D70:E71">
    <cfRule type="cellIs" dxfId="122" priority="1" operator="equal">
      <formula>0</formula>
    </cfRule>
  </conditionalFormatting>
  <conditionalFormatting sqref="D57:E57">
    <cfRule type="cellIs" dxfId="121" priority="4" operator="equal">
      <formula>0</formula>
    </cfRule>
  </conditionalFormatting>
  <conditionalFormatting sqref="D55:E55">
    <cfRule type="cellIs" dxfId="120" priority="3" operator="equal">
      <formula>0</formula>
    </cfRule>
  </conditionalFormatting>
  <conditionalFormatting sqref="D47:E47">
    <cfRule type="cellIs" dxfId="119" priority="2" operator="equal">
      <formula>0</formula>
    </cfRule>
  </conditionalFormatting>
  <conditionalFormatting sqref="D113:E115 D102:E102 D89:E92 D67:E69">
    <cfRule type="cellIs" dxfId="118" priority="13" operator="equal">
      <formula>0</formula>
    </cfRule>
  </conditionalFormatting>
  <conditionalFormatting sqref="D26:E30 D18:E19 D33:E38 D118:E120 D105:E106 D95:E97 D41:E46 E61:E62 D58:E60 D48:E54 D108:E112 D99:E101 D73:E84 D22:E23 D63:E64 D103:E103 D93:E93 D56:E56">
    <cfRule type="cellIs" dxfId="117" priority="12" operator="equal">
      <formula>0</formula>
    </cfRule>
  </conditionalFormatting>
  <conditionalFormatting sqref="D20:E20">
    <cfRule type="cellIs" dxfId="116" priority="11" operator="equal">
      <formula>0</formula>
    </cfRule>
  </conditionalFormatting>
  <conditionalFormatting sqref="D87:D88">
    <cfRule type="cellIs" dxfId="115" priority="8" operator="equal">
      <formula>0</formula>
    </cfRule>
  </conditionalFormatting>
  <conditionalFormatting sqref="D72:E72">
    <cfRule type="cellIs" dxfId="114" priority="7" operator="equal">
      <formula>0</formula>
    </cfRule>
  </conditionalFormatting>
  <conditionalFormatting sqref="D61">
    <cfRule type="cellIs" dxfId="113" priority="6" operator="equal">
      <formula>0</formula>
    </cfRule>
  </conditionalFormatting>
  <conditionalFormatting sqref="D62">
    <cfRule type="cellIs" dxfId="112" priority="5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8"/>
  <sheetViews>
    <sheetView zoomScale="115" zoomScaleNormal="115" workbookViewId="0">
      <selection activeCell="D127" sqref="D127"/>
    </sheetView>
  </sheetViews>
  <sheetFormatPr baseColWidth="10" defaultColWidth="8.7109375" defaultRowHeight="15" customHeight="1" x14ac:dyDescent="0.25"/>
  <cols>
    <col min="1" max="1" width="28.140625" style="39" bestFit="1" customWidth="1"/>
    <col min="2" max="2" width="8.85546875" style="39" bestFit="1" customWidth="1"/>
    <col min="3" max="3" width="8.7109375" style="39"/>
    <col min="4" max="4" width="9.7109375" style="39" bestFit="1" customWidth="1"/>
    <col min="5" max="5" width="9.42578125" style="39" bestFit="1" customWidth="1"/>
    <col min="6" max="6" width="9.7109375" style="39" bestFit="1" customWidth="1"/>
    <col min="7" max="7" width="8.7109375" style="39"/>
    <col min="8" max="8" width="13.5703125" style="39" customWidth="1"/>
    <col min="9" max="9" width="7.140625" style="39" bestFit="1" customWidth="1"/>
    <col min="10" max="11" width="8.7109375" style="39"/>
    <col min="12" max="12" width="11.28515625" style="39" bestFit="1" customWidth="1"/>
    <col min="13" max="14" width="8.7109375" style="39"/>
    <col min="15" max="15" width="26.5703125" style="39" bestFit="1" customWidth="1"/>
    <col min="16" max="16" width="29.28515625" style="39" bestFit="1" customWidth="1"/>
    <col min="17" max="26" width="6.7109375" style="39" customWidth="1"/>
    <col min="27" max="16384" width="8.7109375" style="39"/>
  </cols>
  <sheetData>
    <row r="1" spans="1:14" ht="24.95" customHeight="1" x14ac:dyDescent="0.25">
      <c r="A1" s="37" t="s">
        <v>12</v>
      </c>
      <c r="B1" s="37">
        <v>3</v>
      </c>
      <c r="C1" s="38" t="s">
        <v>165</v>
      </c>
    </row>
    <row r="2" spans="1:14" ht="15" customHeight="1" x14ac:dyDescent="0.25">
      <c r="A2" s="40"/>
      <c r="B2" s="41" t="s">
        <v>14</v>
      </c>
      <c r="C2" s="42"/>
      <c r="D2" s="43" t="s">
        <v>15</v>
      </c>
      <c r="E2" s="44"/>
      <c r="F2" s="45" t="s">
        <v>16</v>
      </c>
    </row>
    <row r="3" spans="1:14" ht="15" customHeight="1" x14ac:dyDescent="0.25">
      <c r="A3" s="46" t="s">
        <v>17</v>
      </c>
      <c r="B3" s="47">
        <v>51220.151770625169</v>
      </c>
      <c r="C3" s="48">
        <f>SUM(C4:C5)</f>
        <v>1</v>
      </c>
      <c r="D3" s="49" t="e">
        <f>SUM(D4:D5)</f>
        <v>#VALUE!</v>
      </c>
      <c r="E3" s="48" t="e">
        <f>D3/$D$3</f>
        <v>#VALUE!</v>
      </c>
      <c r="F3" s="50" t="s">
        <v>18</v>
      </c>
      <c r="H3" s="51" t="s">
        <v>19</v>
      </c>
      <c r="I3" s="52">
        <v>0.7</v>
      </c>
      <c r="J3" s="53">
        <f>I3*B3</f>
        <v>35854.106239437613</v>
      </c>
    </row>
    <row r="4" spans="1:14" ht="15" customHeight="1" x14ac:dyDescent="0.25">
      <c r="A4" s="54" t="s">
        <v>20</v>
      </c>
      <c r="B4" s="55">
        <f>C4*B3</f>
        <v>43806.034477544112</v>
      </c>
      <c r="C4" s="56">
        <v>0.85524999366883825</v>
      </c>
      <c r="D4" s="57" t="e">
        <f>SUMIFS([4]Ram!G2:G1012,[4]Ram!C2:C1012,230,[4]Ram!F2:F1012,"S")</f>
        <v>#VALUE!</v>
      </c>
      <c r="E4" s="58" t="e">
        <f>D4/$D$3</f>
        <v>#VALUE!</v>
      </c>
      <c r="F4" s="59" t="e">
        <f>B4/D4</f>
        <v>#VALUE!</v>
      </c>
      <c r="H4" s="51" t="s">
        <v>21</v>
      </c>
      <c r="I4" s="52">
        <v>0.3</v>
      </c>
      <c r="J4" s="53">
        <f>I4*B3</f>
        <v>15366.04553118755</v>
      </c>
    </row>
    <row r="5" spans="1:14" ht="15" customHeight="1" x14ac:dyDescent="0.25">
      <c r="A5" s="60" t="s">
        <v>22</v>
      </c>
      <c r="B5" s="61">
        <f>C5*B3</f>
        <v>7414.117293081059</v>
      </c>
      <c r="C5" s="62">
        <f>1-C4</f>
        <v>0.14475000633116175</v>
      </c>
      <c r="D5" s="63" t="e">
        <f>SUMIFS([4]Ram!G2:G1012,[4]Ram!C2:C1012,115,[4]Ram!F2:F1012,"S")</f>
        <v>#VALUE!</v>
      </c>
      <c r="E5" s="64" t="e">
        <f>D5/$D$3</f>
        <v>#VALUE!</v>
      </c>
      <c r="F5" s="65" t="e">
        <f>B5/D5</f>
        <v>#VALUE!</v>
      </c>
    </row>
    <row r="6" spans="1:14" ht="15" customHeight="1" x14ac:dyDescent="0.25">
      <c r="A6" s="66"/>
      <c r="B6" s="66"/>
      <c r="C6" s="67"/>
      <c r="E6" s="67"/>
      <c r="H6" s="68" t="s">
        <v>23</v>
      </c>
      <c r="M6" s="69">
        <f>[4]ENERGIA!L17</f>
        <v>8728.5368300600003</v>
      </c>
      <c r="N6" s="70" t="s">
        <v>24</v>
      </c>
    </row>
    <row r="7" spans="1:14" ht="15" customHeight="1" x14ac:dyDescent="0.25">
      <c r="A7" s="71" t="s">
        <v>25</v>
      </c>
      <c r="B7" s="47">
        <v>55642.054105485877</v>
      </c>
      <c r="C7" s="48">
        <v>1</v>
      </c>
      <c r="D7" s="72" t="e">
        <f>SUMIF([4]Ram!F3:F1012,"SD",[4]Ram!G3:G1012)</f>
        <v>#VALUE!</v>
      </c>
      <c r="E7" s="48">
        <v>1</v>
      </c>
      <c r="F7" s="73" t="e">
        <f>IF(B7&gt;0,B7/D7,0)</f>
        <v>#VALUE!</v>
      </c>
      <c r="G7" s="39" t="s">
        <v>26</v>
      </c>
      <c r="L7" s="74" t="s">
        <v>27</v>
      </c>
      <c r="M7" s="75">
        <f>[4]ENERGIA!L2</f>
        <v>10391.438170650001</v>
      </c>
      <c r="N7" s="76" t="s">
        <v>24</v>
      </c>
    </row>
    <row r="9" spans="1:14" ht="15" customHeight="1" x14ac:dyDescent="0.25">
      <c r="A9" s="333" t="s">
        <v>28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4" ht="15" customHeight="1" x14ac:dyDescent="0.25">
      <c r="A10" s="77" t="s">
        <v>29</v>
      </c>
      <c r="B10" s="78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80">
        <v>10</v>
      </c>
      <c r="L10" s="81" t="s">
        <v>3</v>
      </c>
    </row>
    <row r="11" spans="1:14" ht="15" customHeight="1" x14ac:dyDescent="0.25">
      <c r="A11" s="82" t="s">
        <v>30</v>
      </c>
      <c r="B11" s="83">
        <f t="shared" ref="B11:K11" si="0">SUMIF($G$18:$G$1018,B$10,$D$18:$D$1018)</f>
        <v>294.5</v>
      </c>
      <c r="C11" s="83">
        <f t="shared" si="0"/>
        <v>537.79999999999995</v>
      </c>
      <c r="D11" s="83">
        <f t="shared" si="0"/>
        <v>155.26999999999998</v>
      </c>
      <c r="E11" s="83">
        <f t="shared" si="0"/>
        <v>375.70699999999999</v>
      </c>
      <c r="F11" s="83">
        <f t="shared" si="0"/>
        <v>606.81000000000006</v>
      </c>
      <c r="G11" s="83">
        <f t="shared" si="0"/>
        <v>147</v>
      </c>
      <c r="H11" s="83">
        <f t="shared" si="0"/>
        <v>195.98</v>
      </c>
      <c r="I11" s="83">
        <f t="shared" si="0"/>
        <v>260</v>
      </c>
      <c r="J11" s="83">
        <f t="shared" si="0"/>
        <v>792.53</v>
      </c>
      <c r="K11" s="83">
        <f t="shared" si="0"/>
        <v>252.17</v>
      </c>
      <c r="L11" s="84">
        <f>SUM(B11:K11)</f>
        <v>3617.7669999999998</v>
      </c>
      <c r="M11" s="89">
        <f>SUM(D17,D27,D34,D42,D72,D106,D110,D115,D118,D130)</f>
        <v>4418.7669999999998</v>
      </c>
    </row>
    <row r="12" spans="1:14" ht="15" customHeight="1" x14ac:dyDescent="0.25">
      <c r="A12" s="86" t="s">
        <v>31</v>
      </c>
      <c r="B12" s="87">
        <f t="shared" ref="B12:K12" si="1">SUMIF($M$18:$M$1005,B$10,$K$18:$K$1005)</f>
        <v>38.67</v>
      </c>
      <c r="C12" s="87">
        <f t="shared" si="1"/>
        <v>0</v>
      </c>
      <c r="D12" s="87">
        <f t="shared" si="1"/>
        <v>0.11</v>
      </c>
      <c r="E12" s="87">
        <f t="shared" si="1"/>
        <v>110.14999999999999</v>
      </c>
      <c r="F12" s="87">
        <f t="shared" si="1"/>
        <v>232.27983529537579</v>
      </c>
      <c r="G12" s="87">
        <f t="shared" si="1"/>
        <v>165.64199929453994</v>
      </c>
      <c r="H12" s="87">
        <f t="shared" si="1"/>
        <v>1072.8601093489131</v>
      </c>
      <c r="I12" s="87">
        <f t="shared" si="1"/>
        <v>0</v>
      </c>
      <c r="J12" s="87">
        <f t="shared" si="1"/>
        <v>136.93050338355616</v>
      </c>
      <c r="K12" s="87">
        <f t="shared" si="1"/>
        <v>90.39</v>
      </c>
      <c r="L12" s="88">
        <f>SUM(B12:K12)</f>
        <v>1847.0324473223852</v>
      </c>
      <c r="M12" s="89">
        <f>SUM(K17,K22,K24,K28,K33,K41,K48,K65,K69,K76)</f>
        <v>1847.032447322385</v>
      </c>
    </row>
    <row r="13" spans="1:14" ht="15" customHeight="1" x14ac:dyDescent="0.25">
      <c r="M13" s="90"/>
    </row>
    <row r="15" spans="1:14" ht="15" customHeight="1" x14ac:dyDescent="0.25">
      <c r="A15" s="91" t="s">
        <v>32</v>
      </c>
      <c r="B15" s="92"/>
      <c r="C15" s="92"/>
      <c r="D15" s="92"/>
      <c r="E15" s="92"/>
      <c r="F15" s="92"/>
      <c r="G15" s="93"/>
      <c r="H15" s="91" t="s">
        <v>33</v>
      </c>
      <c r="I15" s="92"/>
      <c r="J15" s="92"/>
      <c r="K15" s="92"/>
      <c r="L15" s="92"/>
      <c r="M15" s="92"/>
    </row>
    <row r="16" spans="1:14" ht="25.5" x14ac:dyDescent="0.25">
      <c r="A16" s="94" t="s">
        <v>34</v>
      </c>
      <c r="B16" s="95"/>
      <c r="C16" s="96" t="s">
        <v>35</v>
      </c>
      <c r="D16" s="97" t="s">
        <v>30</v>
      </c>
      <c r="E16" s="97" t="s">
        <v>36</v>
      </c>
      <c r="F16" s="98"/>
      <c r="G16" s="98"/>
      <c r="H16" s="99" t="s">
        <v>34</v>
      </c>
      <c r="I16" s="100"/>
      <c r="J16" s="101" t="s">
        <v>35</v>
      </c>
      <c r="K16" s="102" t="s">
        <v>31</v>
      </c>
      <c r="L16" s="98"/>
      <c r="M16" s="98"/>
    </row>
    <row r="17" spans="1:13" ht="15" customHeight="1" x14ac:dyDescent="0.25">
      <c r="A17" s="103">
        <v>1</v>
      </c>
      <c r="B17" s="104"/>
      <c r="C17" s="105"/>
      <c r="D17" s="106">
        <f>SUM(D18:D26)</f>
        <v>294.5</v>
      </c>
      <c r="E17" s="107"/>
      <c r="F17" s="90"/>
      <c r="G17" s="90"/>
      <c r="H17" s="103">
        <v>1</v>
      </c>
      <c r="I17" s="104"/>
      <c r="J17" s="105"/>
      <c r="K17" s="106">
        <f>SUM(K18:K21)</f>
        <v>38.67</v>
      </c>
      <c r="L17" s="90"/>
      <c r="M17" s="90"/>
    </row>
    <row r="18" spans="1:13" ht="15" customHeight="1" x14ac:dyDescent="0.25">
      <c r="A18" s="108" t="s">
        <v>37</v>
      </c>
      <c r="B18" s="109"/>
      <c r="C18" s="110">
        <v>6014</v>
      </c>
      <c r="D18" s="111">
        <v>87.6</v>
      </c>
      <c r="E18" s="112">
        <v>0</v>
      </c>
      <c r="F18" s="90" t="str">
        <f>IFERROR(VLOOKUP($C18,[4]Nod!$A$3:$E$998,4,FALSE)," ")</f>
        <v>PRO230</v>
      </c>
      <c r="G18" s="90">
        <f>IFERROR(VLOOKUP($C18,[4]Nod!$A$3:$E$998,5,FALSE)," ")</f>
        <v>1</v>
      </c>
      <c r="H18" s="113" t="s">
        <v>38</v>
      </c>
      <c r="I18" s="109"/>
      <c r="J18" s="110"/>
      <c r="K18" s="111"/>
      <c r="L18" s="90"/>
      <c r="M18" s="90"/>
    </row>
    <row r="19" spans="1:13" ht="15" customHeight="1" x14ac:dyDescent="0.25">
      <c r="A19" s="108" t="s">
        <v>39</v>
      </c>
      <c r="B19" s="109"/>
      <c r="C19" s="110">
        <v>6014</v>
      </c>
      <c r="D19" s="111">
        <v>57.4</v>
      </c>
      <c r="E19" s="112">
        <v>0</v>
      </c>
      <c r="F19" s="90" t="str">
        <f>IFERROR(VLOOKUP($C19,[4]Nod!$A$3:$E$998,4,FALSE)," ")</f>
        <v>PRO230</v>
      </c>
      <c r="G19" s="90">
        <f>IFERROR(VLOOKUP($C19,[4]Nod!$A$3:$E$998,5,FALSE)," ")</f>
        <v>1</v>
      </c>
      <c r="H19" s="114" t="s">
        <v>40</v>
      </c>
      <c r="I19" s="109"/>
      <c r="J19" s="115">
        <v>6014</v>
      </c>
      <c r="K19" s="111">
        <f>23.28+14.04</f>
        <v>37.32</v>
      </c>
      <c r="L19" s="90" t="str">
        <f>VLOOKUP($J19,[4]Nod!$A$3:$E$998,4,FALSE)</f>
        <v>PRO230</v>
      </c>
      <c r="M19" s="90">
        <f>VLOOKUP($J19,[4]Nod!$A$3:$E$998,5,FALSE)</f>
        <v>1</v>
      </c>
    </row>
    <row r="20" spans="1:13" ht="15" customHeight="1" x14ac:dyDescent="0.25">
      <c r="A20" s="108" t="s">
        <v>41</v>
      </c>
      <c r="B20" s="109"/>
      <c r="C20" s="110">
        <v>6014</v>
      </c>
      <c r="D20" s="111">
        <v>30</v>
      </c>
      <c r="E20" s="112">
        <v>0</v>
      </c>
      <c r="F20" s="90" t="str">
        <f>IFERROR(VLOOKUP($C20,[4]Nod!$A$3:$E$998,4,FALSE)," ")</f>
        <v>PRO230</v>
      </c>
      <c r="G20" s="90">
        <f>IFERROR(VLOOKUP($C20,[4]Nod!$A$3:$E$998,5,FALSE)," ")</f>
        <v>1</v>
      </c>
      <c r="H20" s="114" t="s">
        <v>42</v>
      </c>
      <c r="I20" s="109"/>
      <c r="J20" s="115">
        <v>6014</v>
      </c>
      <c r="K20" s="111">
        <v>1.35</v>
      </c>
      <c r="L20" s="90" t="str">
        <f>VLOOKUP($J20,[4]Nod!$A$3:$E$998,4,FALSE)</f>
        <v>PRO230</v>
      </c>
      <c r="M20" s="90">
        <f>VLOOKUP($J20,[4]Nod!$A$3:$E$998,5,FALSE)</f>
        <v>1</v>
      </c>
    </row>
    <row r="21" spans="1:13" ht="15" customHeight="1" x14ac:dyDescent="0.25">
      <c r="A21" s="160" t="s">
        <v>155</v>
      </c>
      <c r="B21" s="161"/>
      <c r="C21" s="162">
        <v>6014</v>
      </c>
      <c r="D21" s="141">
        <v>10.3</v>
      </c>
      <c r="E21" s="112">
        <v>0</v>
      </c>
      <c r="F21" s="90" t="str">
        <f>IFERROR(VLOOKUP($C21,[4]Nod!$A$3:$E$998,4,FALSE)," ")</f>
        <v>PRO230</v>
      </c>
      <c r="G21" s="90">
        <f>IFERROR(VLOOKUP($C21,[4]Nod!$A$3:$E$998,5,FALSE)," ")</f>
        <v>1</v>
      </c>
      <c r="H21" s="116" t="s">
        <v>44</v>
      </c>
      <c r="I21" s="117"/>
      <c r="J21" s="118"/>
      <c r="K21" s="119"/>
      <c r="L21" s="90"/>
      <c r="M21" s="90"/>
    </row>
    <row r="22" spans="1:13" ht="15" customHeight="1" x14ac:dyDescent="0.25">
      <c r="A22" s="108" t="s">
        <v>43</v>
      </c>
      <c r="B22" s="109"/>
      <c r="C22" s="110">
        <v>6014</v>
      </c>
      <c r="D22" s="111">
        <v>27.9</v>
      </c>
      <c r="E22" s="112">
        <v>0</v>
      </c>
      <c r="F22" s="90" t="str">
        <f>IFERROR(VLOOKUP($C22,[4]Nod!$A$3:$E$998,4,FALSE)," ")</f>
        <v>PRO230</v>
      </c>
      <c r="G22" s="90">
        <f>IFERROR(VLOOKUP($C22,[4]Nod!$A$3:$E$998,5,FALSE)," ")</f>
        <v>1</v>
      </c>
      <c r="H22" s="121">
        <v>2</v>
      </c>
      <c r="I22" s="122"/>
      <c r="J22" s="123"/>
      <c r="K22" s="124">
        <f>SUM(K23)</f>
        <v>0</v>
      </c>
      <c r="L22" s="90"/>
      <c r="M22" s="90"/>
    </row>
    <row r="23" spans="1:13" ht="15" customHeight="1" x14ac:dyDescent="0.25">
      <c r="A23" s="120" t="s">
        <v>45</v>
      </c>
      <c r="B23" s="109"/>
      <c r="C23" s="110">
        <v>6014</v>
      </c>
      <c r="D23" s="111">
        <v>10</v>
      </c>
      <c r="E23" s="112">
        <v>13</v>
      </c>
      <c r="F23" s="90" t="str">
        <f>IFERROR(VLOOKUP($C23,[4]Nod!$A$3:$E$998,4,FALSE)," ")</f>
        <v>PRO230</v>
      </c>
      <c r="G23" s="90">
        <f>IFERROR(VLOOKUP($C23,[4]Nod!$A$3:$E$998,5,FALSE)," ")</f>
        <v>1</v>
      </c>
      <c r="H23" s="116" t="s">
        <v>44</v>
      </c>
      <c r="I23" s="117"/>
      <c r="J23" s="118"/>
      <c r="K23" s="125"/>
      <c r="L23" s="90"/>
      <c r="M23" s="90"/>
    </row>
    <row r="24" spans="1:13" ht="15" customHeight="1" x14ac:dyDescent="0.25">
      <c r="A24" s="120" t="s">
        <v>46</v>
      </c>
      <c r="B24" s="109"/>
      <c r="C24" s="110">
        <v>6014</v>
      </c>
      <c r="D24" s="111">
        <v>6</v>
      </c>
      <c r="E24" s="112">
        <v>13</v>
      </c>
      <c r="F24" s="90" t="str">
        <f>IFERROR(VLOOKUP($C24,[4]Nod!$A$3:$E$998,4,FALSE)," ")</f>
        <v>PRO230</v>
      </c>
      <c r="G24" s="90">
        <f>IFERROR(VLOOKUP($C24,[4]Nod!$A$3:$E$998,5,FALSE)," ")</f>
        <v>1</v>
      </c>
      <c r="H24" s="103">
        <v>3</v>
      </c>
      <c r="I24" s="104"/>
      <c r="J24" s="105"/>
      <c r="K24" s="106">
        <f>SUM(K25:K27)</f>
        <v>0.11</v>
      </c>
      <c r="L24" s="90"/>
      <c r="M24" s="90"/>
    </row>
    <row r="25" spans="1:13" ht="15" customHeight="1" x14ac:dyDescent="0.25">
      <c r="A25" s="169" t="s">
        <v>166</v>
      </c>
      <c r="B25" s="109"/>
      <c r="C25" s="110">
        <v>6014</v>
      </c>
      <c r="D25" s="111">
        <v>65.3</v>
      </c>
      <c r="E25" s="112">
        <v>7</v>
      </c>
      <c r="F25" s="90" t="str">
        <f>IFERROR(VLOOKUP($C25,[4]Nod!$A$3:$E$998,4,FALSE)," ")</f>
        <v>PRO230</v>
      </c>
      <c r="G25" s="90">
        <f>IFERROR(VLOOKUP($C25,[4]Nod!$A$3:$E$998,5,FALSE)," ")</f>
        <v>1</v>
      </c>
      <c r="H25" s="113" t="s">
        <v>38</v>
      </c>
      <c r="I25" s="109"/>
      <c r="J25" s="110"/>
      <c r="K25" s="129"/>
      <c r="L25" s="90"/>
      <c r="M25" s="90"/>
    </row>
    <row r="26" spans="1:13" ht="15" customHeight="1" x14ac:dyDescent="0.25">
      <c r="A26" s="126" t="s">
        <v>44</v>
      </c>
      <c r="B26" s="109"/>
      <c r="C26" s="110"/>
      <c r="D26" s="127"/>
      <c r="E26" s="112"/>
      <c r="F26" s="90" t="str">
        <f>IFERROR(VLOOKUP($C26,[4]Nod!$A$3:$E$998,4,FALSE)," ")</f>
        <v xml:space="preserve"> </v>
      </c>
      <c r="G26" s="90" t="str">
        <f>IFERROR(VLOOKUP($C26,[4]Nod!$A$3:$E$998,5,FALSE)," ")</f>
        <v xml:space="preserve"> </v>
      </c>
      <c r="H26" s="114" t="s">
        <v>48</v>
      </c>
      <c r="I26" s="109"/>
      <c r="J26" s="115">
        <v>6087</v>
      </c>
      <c r="K26" s="111">
        <v>0.11</v>
      </c>
      <c r="L26" s="90" t="str">
        <f>VLOOKUP($J26,[4]Nod!$A$3:$E$998,4,FALSE)</f>
        <v>CAL115</v>
      </c>
      <c r="M26" s="90">
        <f>VLOOKUP($J26,[4]Nod!$A$3:$E$998,5,FALSE)</f>
        <v>3</v>
      </c>
    </row>
    <row r="27" spans="1:13" ht="15" customHeight="1" x14ac:dyDescent="0.25">
      <c r="A27" s="121">
        <v>2</v>
      </c>
      <c r="B27" s="122"/>
      <c r="C27" s="123"/>
      <c r="D27" s="124">
        <f>SUM(D28:D33)</f>
        <v>537.79999999999995</v>
      </c>
      <c r="E27" s="128"/>
      <c r="F27" s="90" t="str">
        <f>IFERROR(VLOOKUP($C27,[4]Nod!$A$3:$E$998,4,FALSE)," ")</f>
        <v xml:space="preserve"> </v>
      </c>
      <c r="G27" s="90" t="str">
        <f>IFERROR(VLOOKUP($C27,[4]Nod!$A$3:$E$998,5,FALSE)," ")</f>
        <v xml:space="preserve"> </v>
      </c>
      <c r="H27" s="130" t="s">
        <v>44</v>
      </c>
      <c r="I27" s="109"/>
      <c r="J27" s="115"/>
      <c r="K27" s="111"/>
      <c r="L27" s="90"/>
      <c r="M27" s="90"/>
    </row>
    <row r="28" spans="1:13" ht="15" customHeight="1" x14ac:dyDescent="0.25">
      <c r="A28" s="108" t="s">
        <v>47</v>
      </c>
      <c r="B28" s="109"/>
      <c r="C28" s="110">
        <v>6096</v>
      </c>
      <c r="D28" s="111">
        <v>300</v>
      </c>
      <c r="E28" s="112">
        <v>0</v>
      </c>
      <c r="F28" s="90" t="str">
        <f>IFERROR(VLOOKUP($C28,[4]Nod!$A$3:$E$998,4,FALSE)," ")</f>
        <v>FOR230</v>
      </c>
      <c r="G28" s="90">
        <f>IFERROR(VLOOKUP($C28,[4]Nod!$A$3:$E$998,5,FALSE)," ")</f>
        <v>2</v>
      </c>
      <c r="H28" s="121">
        <v>4</v>
      </c>
      <c r="I28" s="122"/>
      <c r="J28" s="123"/>
      <c r="K28" s="124">
        <f>SUM(K29:K32)</f>
        <v>110.14999999999999</v>
      </c>
      <c r="L28" s="90"/>
      <c r="M28" s="90"/>
    </row>
    <row r="29" spans="1:13" ht="15" customHeight="1" x14ac:dyDescent="0.25">
      <c r="A29" s="108" t="s">
        <v>49</v>
      </c>
      <c r="B29" s="109"/>
      <c r="C29" s="110">
        <v>6179</v>
      </c>
      <c r="D29" s="111">
        <v>120</v>
      </c>
      <c r="E29" s="112">
        <v>0</v>
      </c>
      <c r="F29" s="90" t="str">
        <f>IFERROR(VLOOKUP($C29,[4]Nod!$A$3:$E$998,4,FALSE)," ")</f>
        <v>GUA230</v>
      </c>
      <c r="G29" s="90">
        <f>IFERROR(VLOOKUP($C29,[4]Nod!$A$3:$E$998,5,FALSE)," ")</f>
        <v>2</v>
      </c>
      <c r="H29" s="113" t="s">
        <v>38</v>
      </c>
      <c r="I29" s="109"/>
      <c r="J29" s="110"/>
      <c r="K29" s="129"/>
      <c r="L29" s="90"/>
      <c r="M29" s="90"/>
    </row>
    <row r="30" spans="1:13" ht="15" customHeight="1" x14ac:dyDescent="0.25">
      <c r="A30" s="108" t="s">
        <v>50</v>
      </c>
      <c r="B30" s="109"/>
      <c r="C30" s="110">
        <v>6179</v>
      </c>
      <c r="D30" s="111">
        <v>25.34</v>
      </c>
      <c r="E30" s="112">
        <v>0</v>
      </c>
      <c r="F30" s="90" t="str">
        <f>IFERROR(VLOOKUP($C30,[4]Nod!$A$3:$E$998,4,FALSE)," ")</f>
        <v>GUA230</v>
      </c>
      <c r="G30" s="90">
        <f>IFERROR(VLOOKUP($C30,[4]Nod!$A$3:$E$998,5,FALSE)," ")</f>
        <v>2</v>
      </c>
      <c r="H30" s="114" t="s">
        <v>53</v>
      </c>
      <c r="I30" s="109"/>
      <c r="J30" s="115">
        <v>6013</v>
      </c>
      <c r="K30" s="111">
        <v>12.41</v>
      </c>
      <c r="L30" s="90" t="str">
        <f>VLOOKUP($J30,[4]Nod!$A$3:$E$998,4,FALSE)</f>
        <v>MDN34</v>
      </c>
      <c r="M30" s="90">
        <f>VLOOKUP($J30,[4]Nod!$A$3:$E$998,5,FALSE)</f>
        <v>4</v>
      </c>
    </row>
    <row r="31" spans="1:13" ht="15" customHeight="1" x14ac:dyDescent="0.25">
      <c r="A31" s="120" t="s">
        <v>51</v>
      </c>
      <c r="B31" s="109"/>
      <c r="C31" s="110">
        <v>6179</v>
      </c>
      <c r="D31" s="111">
        <v>33.799999999999997</v>
      </c>
      <c r="E31" s="112">
        <v>0</v>
      </c>
      <c r="F31" s="90" t="str">
        <f>IFERROR(VLOOKUP($C31,[4]Nod!$A$3:$E$998,4,FALSE)," ")</f>
        <v>GUA230</v>
      </c>
      <c r="G31" s="90">
        <f>IFERROR(VLOOKUP($C31,[4]Nod!$A$3:$E$998,5,FALSE)," ")</f>
        <v>2</v>
      </c>
      <c r="H31" s="114" t="s">
        <v>54</v>
      </c>
      <c r="I31" s="109"/>
      <c r="J31" s="115">
        <v>6013</v>
      </c>
      <c r="K31" s="111">
        <v>97.74</v>
      </c>
      <c r="L31" s="90" t="str">
        <f>VLOOKUP($J31,[4]Nod!$A$3:$E$998,4,FALSE)</f>
        <v>MDN34</v>
      </c>
      <c r="M31" s="90">
        <f>VLOOKUP($J31,[4]Nod!$A$3:$E$998,5,FALSE)</f>
        <v>4</v>
      </c>
    </row>
    <row r="32" spans="1:13" ht="15" customHeight="1" x14ac:dyDescent="0.25">
      <c r="A32" s="108" t="s">
        <v>52</v>
      </c>
      <c r="B32" s="109"/>
      <c r="C32" s="110">
        <v>6179</v>
      </c>
      <c r="D32" s="111">
        <v>58.66</v>
      </c>
      <c r="E32" s="112">
        <v>0</v>
      </c>
      <c r="F32" s="90" t="str">
        <f>IFERROR(VLOOKUP($C32,[4]Nod!$A$3:$E$998,4,FALSE)," ")</f>
        <v>GUA230</v>
      </c>
      <c r="G32" s="90">
        <f>IFERROR(VLOOKUP($C32,[4]Nod!$A$3:$E$998,5,FALSE)," ")</f>
        <v>2</v>
      </c>
      <c r="H32" s="116" t="s">
        <v>44</v>
      </c>
      <c r="I32" s="117"/>
      <c r="J32" s="134"/>
      <c r="K32" s="119"/>
      <c r="L32" s="90"/>
      <c r="M32" s="90"/>
    </row>
    <row r="33" spans="1:13" ht="15" customHeight="1" x14ac:dyDescent="0.25">
      <c r="A33" s="131" t="s">
        <v>44</v>
      </c>
      <c r="B33" s="117"/>
      <c r="C33" s="118"/>
      <c r="D33" s="132"/>
      <c r="E33" s="133"/>
      <c r="F33" s="90" t="str">
        <f>IFERROR(VLOOKUP($C33,[4]Nod!$A$3:$E$998,4,FALSE)," ")</f>
        <v xml:space="preserve"> </v>
      </c>
      <c r="G33" s="90" t="str">
        <f>IFERROR(VLOOKUP($C33,[4]Nod!$A$3:$E$998,5,FALSE)," ")</f>
        <v xml:space="preserve"> </v>
      </c>
      <c r="H33" s="103">
        <v>5</v>
      </c>
      <c r="I33" s="104"/>
      <c r="J33" s="105"/>
      <c r="K33" s="106">
        <f>SUM(K34:K40)</f>
        <v>232.27983529537579</v>
      </c>
      <c r="L33" s="90"/>
      <c r="M33" s="90"/>
    </row>
    <row r="34" spans="1:13" ht="15" customHeight="1" x14ac:dyDescent="0.25">
      <c r="A34" s="103">
        <v>3</v>
      </c>
      <c r="B34" s="104"/>
      <c r="C34" s="105"/>
      <c r="D34" s="106">
        <f>SUM(D35:D41)</f>
        <v>155.26999999999998</v>
      </c>
      <c r="E34" s="107"/>
      <c r="F34" s="90" t="str">
        <f>IFERROR(VLOOKUP($C34,[4]Nod!$A$3:$E$998,4,FALSE)," ")</f>
        <v xml:space="preserve"> </v>
      </c>
      <c r="G34" s="90" t="str">
        <f>IFERROR(VLOOKUP($C34,[4]Nod!$A$3:$E$998,5,FALSE)," ")</f>
        <v xml:space="preserve"> </v>
      </c>
      <c r="H34" s="113" t="s">
        <v>57</v>
      </c>
      <c r="I34" s="109"/>
      <c r="J34" s="110"/>
      <c r="K34" s="129"/>
      <c r="L34" s="90"/>
      <c r="M34" s="90"/>
    </row>
    <row r="35" spans="1:13" ht="15" customHeight="1" x14ac:dyDescent="0.25">
      <c r="A35" s="108" t="s">
        <v>55</v>
      </c>
      <c r="B35" s="109"/>
      <c r="C35" s="110">
        <v>6087</v>
      </c>
      <c r="D35" s="111">
        <v>47.2</v>
      </c>
      <c r="E35" s="112">
        <v>0</v>
      </c>
      <c r="F35" s="90" t="str">
        <f>IFERROR(VLOOKUP($C35,[4]Nod!$A$3:$E$998,4,FALSE)," ")</f>
        <v>CAL115</v>
      </c>
      <c r="G35" s="90">
        <f>IFERROR(VLOOKUP($C35,[4]Nod!$A$3:$E$998,5,FALSE)," ")</f>
        <v>3</v>
      </c>
      <c r="H35" s="114" t="s">
        <v>59</v>
      </c>
      <c r="I35" s="109"/>
      <c r="J35" s="115">
        <v>6009</v>
      </c>
      <c r="K35" s="111">
        <v>230.36</v>
      </c>
      <c r="L35" s="90" t="str">
        <f>VLOOKUP($J35,[4]Nod!$A$3:$E$998,4,FALSE)</f>
        <v>LSA115</v>
      </c>
      <c r="M35" s="90">
        <f>VLOOKUP($J35,[4]Nod!$A$3:$E$998,5,FALSE)</f>
        <v>5</v>
      </c>
    </row>
    <row r="36" spans="1:13" ht="15" customHeight="1" x14ac:dyDescent="0.25">
      <c r="A36" s="108" t="s">
        <v>56</v>
      </c>
      <c r="B36" s="109"/>
      <c r="C36" s="110">
        <v>6087</v>
      </c>
      <c r="D36" s="111">
        <v>54.76</v>
      </c>
      <c r="E36" s="112">
        <v>0</v>
      </c>
      <c r="F36" s="90" t="str">
        <f>IFERROR(VLOOKUP($C36,[4]Nod!$A$3:$E$998,4,FALSE)," ")</f>
        <v>CAL115</v>
      </c>
      <c r="G36" s="90">
        <f>IFERROR(VLOOKUP($C36,[4]Nod!$A$3:$E$998,5,FALSE)," ")</f>
        <v>3</v>
      </c>
      <c r="H36" s="113" t="s">
        <v>61</v>
      </c>
      <c r="I36" s="109"/>
      <c r="J36" s="115"/>
      <c r="K36" s="111"/>
      <c r="L36" s="90"/>
      <c r="M36" s="90"/>
    </row>
    <row r="37" spans="1:13" ht="15" customHeight="1" x14ac:dyDescent="0.25">
      <c r="A37" s="108" t="s">
        <v>58</v>
      </c>
      <c r="B37" s="109"/>
      <c r="C37" s="110">
        <v>6087</v>
      </c>
      <c r="D37" s="111">
        <v>19.75</v>
      </c>
      <c r="E37" s="112">
        <v>0</v>
      </c>
      <c r="F37" s="90" t="str">
        <f>IFERROR(VLOOKUP($C37,[4]Nod!$A$3:$E$998,4,FALSE)," ")</f>
        <v>CAL115</v>
      </c>
      <c r="G37" s="90">
        <f>IFERROR(VLOOKUP($C37,[4]Nod!$A$3:$E$998,5,FALSE)," ")</f>
        <v>3</v>
      </c>
      <c r="H37" s="114" t="s">
        <v>63</v>
      </c>
      <c r="I37" s="109"/>
      <c r="J37" s="115">
        <v>6009</v>
      </c>
      <c r="K37" s="111">
        <v>0.98298267347968538</v>
      </c>
      <c r="L37" s="90" t="str">
        <f>VLOOKUP($J37,[4]Nod!$A$3:$E$998,4,FALSE)</f>
        <v>LSA115</v>
      </c>
      <c r="M37" s="90">
        <f>VLOOKUP($J37,[4]Nod!$A$3:$E$998,5,FALSE)</f>
        <v>5</v>
      </c>
    </row>
    <row r="38" spans="1:13" ht="15" customHeight="1" x14ac:dyDescent="0.25">
      <c r="A38" s="108" t="s">
        <v>60</v>
      </c>
      <c r="B38" s="109"/>
      <c r="C38" s="110">
        <v>6087</v>
      </c>
      <c r="D38" s="111">
        <v>15.5</v>
      </c>
      <c r="E38" s="112">
        <v>0</v>
      </c>
      <c r="F38" s="90" t="str">
        <f>IFERROR(VLOOKUP($C38,[4]Nod!$A$3:$E$998,4,FALSE)," ")</f>
        <v>CAL115</v>
      </c>
      <c r="G38" s="90">
        <f>IFERROR(VLOOKUP($C38,[4]Nod!$A$3:$E$998,5,FALSE)," ")</f>
        <v>3</v>
      </c>
      <c r="H38" s="114" t="s">
        <v>65</v>
      </c>
      <c r="I38" s="109"/>
      <c r="J38" s="115">
        <v>6009</v>
      </c>
      <c r="K38" s="111">
        <v>0.81643298536117104</v>
      </c>
      <c r="L38" s="90" t="str">
        <f>VLOOKUP($J38,[4]Nod!$A$3:$E$998,4,FALSE)</f>
        <v>LSA115</v>
      </c>
      <c r="M38" s="90">
        <f>VLOOKUP($J38,[4]Nod!$A$3:$E$998,5,FALSE)</f>
        <v>5</v>
      </c>
    </row>
    <row r="39" spans="1:13" ht="15" customHeight="1" x14ac:dyDescent="0.25">
      <c r="A39" s="108" t="s">
        <v>62</v>
      </c>
      <c r="B39" s="109"/>
      <c r="C39" s="110">
        <v>6087</v>
      </c>
      <c r="D39" s="111">
        <v>8.1999999999999993</v>
      </c>
      <c r="E39" s="112">
        <v>0</v>
      </c>
      <c r="F39" s="90" t="str">
        <f>IFERROR(VLOOKUP($C39,[4]Nod!$A$3:$E$998,4,FALSE)," ")</f>
        <v>CAL115</v>
      </c>
      <c r="G39" s="90">
        <f>IFERROR(VLOOKUP($C39,[4]Nod!$A$3:$E$998,5,FALSE)," ")</f>
        <v>3</v>
      </c>
      <c r="H39" s="114" t="s">
        <v>66</v>
      </c>
      <c r="I39" s="109"/>
      <c r="J39" s="115">
        <v>6009</v>
      </c>
      <c r="K39" s="111">
        <v>0.12041963653493307</v>
      </c>
      <c r="L39" s="90" t="str">
        <f>VLOOKUP($J39,[4]Nod!$A$3:$E$998,4,FALSE)</f>
        <v>LSA115</v>
      </c>
      <c r="M39" s="90">
        <f>VLOOKUP($J39,[4]Nod!$A$3:$E$998,5,FALSE)</f>
        <v>5</v>
      </c>
    </row>
    <row r="40" spans="1:13" ht="15" customHeight="1" x14ac:dyDescent="0.25">
      <c r="A40" s="108" t="s">
        <v>64</v>
      </c>
      <c r="B40" s="109"/>
      <c r="C40" s="110">
        <v>6087</v>
      </c>
      <c r="D40" s="111">
        <v>9.86</v>
      </c>
      <c r="E40" s="112">
        <v>0</v>
      </c>
      <c r="F40" s="90" t="str">
        <f>IFERROR(VLOOKUP($C40,[4]Nod!$A$3:$E$998,4,FALSE)," ")</f>
        <v>CAL115</v>
      </c>
      <c r="G40" s="90">
        <f>IFERROR(VLOOKUP($C40,[4]Nod!$A$3:$E$998,5,FALSE)," ")</f>
        <v>3</v>
      </c>
      <c r="H40" s="130" t="s">
        <v>44</v>
      </c>
      <c r="I40" s="109"/>
      <c r="J40" s="110"/>
      <c r="K40" s="129"/>
      <c r="L40" s="90"/>
      <c r="M40" s="90"/>
    </row>
    <row r="41" spans="1:13" ht="15" customHeight="1" x14ac:dyDescent="0.25">
      <c r="A41" s="126" t="s">
        <v>44</v>
      </c>
      <c r="B41" s="109"/>
      <c r="C41" s="110"/>
      <c r="D41" s="127"/>
      <c r="E41" s="112"/>
      <c r="F41" s="90" t="str">
        <f>IFERROR(VLOOKUP($C41,[4]Nod!$A$3:$E$998,4,FALSE)," ")</f>
        <v xml:space="preserve"> </v>
      </c>
      <c r="G41" s="90" t="str">
        <f>IFERROR(VLOOKUP($C41,[4]Nod!$A$3:$E$998,5,FALSE)," ")</f>
        <v xml:space="preserve"> </v>
      </c>
      <c r="H41" s="121">
        <v>6</v>
      </c>
      <c r="I41" s="122"/>
      <c r="J41" s="123"/>
      <c r="K41" s="124">
        <f>SUM(K42:K47)</f>
        <v>165.64199929453994</v>
      </c>
      <c r="L41" s="90"/>
      <c r="M41" s="90"/>
    </row>
    <row r="42" spans="1:13" ht="15" customHeight="1" x14ac:dyDescent="0.25">
      <c r="A42" s="121">
        <v>4</v>
      </c>
      <c r="B42" s="122"/>
      <c r="C42" s="123"/>
      <c r="D42" s="124">
        <f>SUM(D43:D71)</f>
        <v>375.70699999999999</v>
      </c>
      <c r="E42" s="128"/>
      <c r="F42" s="90" t="str">
        <f>IFERROR(VLOOKUP($C42,[4]Nod!$A$3:$E$998,4,FALSE)," ")</f>
        <v xml:space="preserve"> </v>
      </c>
      <c r="G42" s="90" t="str">
        <f>IFERROR(VLOOKUP($C42,[4]Nod!$A$3:$E$998,5,FALSE)," ")</f>
        <v xml:space="preserve"> </v>
      </c>
      <c r="H42" s="113" t="s">
        <v>57</v>
      </c>
      <c r="I42" s="109"/>
      <c r="J42" s="110"/>
      <c r="K42" s="129"/>
      <c r="L42" s="90"/>
      <c r="M42" s="90"/>
    </row>
    <row r="43" spans="1:13" ht="15" customHeight="1" x14ac:dyDescent="0.25">
      <c r="A43" s="108" t="s">
        <v>67</v>
      </c>
      <c r="B43" s="109"/>
      <c r="C43" s="115">
        <v>6380</v>
      </c>
      <c r="D43" s="111">
        <v>10</v>
      </c>
      <c r="E43" s="112">
        <v>0</v>
      </c>
      <c r="F43" s="90" t="str">
        <f>IFERROR(VLOOKUP($C43,[4]Nod!$A$3:$E$998,4,FALSE)," ")</f>
        <v>BOQIII230</v>
      </c>
      <c r="G43" s="90">
        <f>IFERROR(VLOOKUP($C43,[4]Nod!$A$3:$E$998,5,FALSE)," ")</f>
        <v>4</v>
      </c>
      <c r="H43" s="114" t="s">
        <v>70</v>
      </c>
      <c r="I43" s="109"/>
      <c r="J43" s="115">
        <v>6005</v>
      </c>
      <c r="K43" s="111">
        <v>164.31</v>
      </c>
      <c r="L43" s="90" t="str">
        <f>VLOOKUP($J43,[4]Nod!$A$3:$E$998,4,FALSE)</f>
        <v>CHO230</v>
      </c>
      <c r="M43" s="90">
        <f>VLOOKUP($J43,[4]Nod!$A$3:$E$998,5,FALSE)</f>
        <v>6</v>
      </c>
    </row>
    <row r="44" spans="1:13" ht="15" customHeight="1" x14ac:dyDescent="0.25">
      <c r="A44" s="135" t="s">
        <v>68</v>
      </c>
      <c r="B44" s="109"/>
      <c r="C44" s="115">
        <v>6380</v>
      </c>
      <c r="D44" s="111">
        <v>3.5</v>
      </c>
      <c r="E44" s="112">
        <v>0</v>
      </c>
      <c r="F44" s="90" t="str">
        <f>IFERROR(VLOOKUP($C44,[4]Nod!$A$3:$E$998,4,FALSE)," ")</f>
        <v>BOQIII230</v>
      </c>
      <c r="G44" s="90">
        <f>IFERROR(VLOOKUP($C44,[4]Nod!$A$3:$E$998,5,FALSE)," ")</f>
        <v>4</v>
      </c>
      <c r="H44" s="113" t="s">
        <v>61</v>
      </c>
      <c r="I44" s="109"/>
      <c r="J44" s="115"/>
      <c r="K44" s="111"/>
      <c r="L44" s="90"/>
      <c r="M44" s="90"/>
    </row>
    <row r="45" spans="1:13" ht="15" customHeight="1" x14ac:dyDescent="0.25">
      <c r="A45" s="108" t="s">
        <v>69</v>
      </c>
      <c r="B45" s="109"/>
      <c r="C45" s="115">
        <v>6013</v>
      </c>
      <c r="D45" s="111">
        <v>6.12</v>
      </c>
      <c r="E45" s="112">
        <v>0</v>
      </c>
      <c r="F45" s="90" t="str">
        <f>IFERROR(VLOOKUP($C45,[4]Nod!$A$3:$E$998,4,FALSE)," ")</f>
        <v>MDN34</v>
      </c>
      <c r="G45" s="90">
        <f>IFERROR(VLOOKUP($C45,[4]Nod!$A$3:$E$998,5,FALSE)," ")</f>
        <v>4</v>
      </c>
      <c r="H45" s="114" t="s">
        <v>63</v>
      </c>
      <c r="I45" s="109"/>
      <c r="J45" s="115">
        <v>6005</v>
      </c>
      <c r="K45" s="111">
        <v>0.29932012016500509</v>
      </c>
      <c r="L45" s="90" t="str">
        <f>VLOOKUP($J45,[4]Nod!$A$3:$E$998,4,FALSE)</f>
        <v>CHO230</v>
      </c>
      <c r="M45" s="90">
        <f>VLOOKUP($J45,[4]Nod!$A$3:$E$998,5,FALSE)</f>
        <v>6</v>
      </c>
    </row>
    <row r="46" spans="1:13" ht="15" customHeight="1" x14ac:dyDescent="0.25">
      <c r="A46" s="135" t="s">
        <v>71</v>
      </c>
      <c r="B46" s="109"/>
      <c r="C46" s="115">
        <v>6013</v>
      </c>
      <c r="D46" s="111">
        <v>4.95</v>
      </c>
      <c r="E46" s="112">
        <v>0</v>
      </c>
      <c r="F46" s="90" t="str">
        <f>IFERROR(VLOOKUP($C46,[4]Nod!$A$3:$E$998,4,FALSE)," ")</f>
        <v>MDN34</v>
      </c>
      <c r="G46" s="90">
        <f>IFERROR(VLOOKUP($C46,[4]Nod!$A$3:$E$998,5,FALSE)," ")</f>
        <v>4</v>
      </c>
      <c r="H46" s="114" t="s">
        <v>74</v>
      </c>
      <c r="I46" s="109"/>
      <c r="J46" s="115">
        <v>6005</v>
      </c>
      <c r="K46" s="111">
        <v>1.0326791743749477</v>
      </c>
      <c r="L46" s="90" t="str">
        <f>VLOOKUP($J46,[4]Nod!$A$3:$E$998,4,FALSE)</f>
        <v>CHO230</v>
      </c>
      <c r="M46" s="90">
        <f>VLOOKUP($J46,[4]Nod!$A$3:$E$998,5,FALSE)</f>
        <v>6</v>
      </c>
    </row>
    <row r="47" spans="1:13" ht="15" customHeight="1" x14ac:dyDescent="0.25">
      <c r="A47" s="108" t="s">
        <v>72</v>
      </c>
      <c r="B47" s="109"/>
      <c r="C47" s="115">
        <v>6380</v>
      </c>
      <c r="D47" s="111">
        <v>20</v>
      </c>
      <c r="E47" s="136">
        <v>0</v>
      </c>
      <c r="F47" s="90" t="str">
        <f>IFERROR(VLOOKUP($C47,[4]Nod!$A$3:$E$998,4,FALSE)," ")</f>
        <v>BOQIII230</v>
      </c>
      <c r="G47" s="90">
        <f>IFERROR(VLOOKUP($C47,[4]Nod!$A$3:$E$998,5,FALSE)," ")</f>
        <v>4</v>
      </c>
      <c r="H47" s="116" t="s">
        <v>44</v>
      </c>
      <c r="I47" s="117"/>
      <c r="J47" s="118"/>
      <c r="K47" s="125"/>
      <c r="L47" s="90"/>
      <c r="M47" s="90"/>
    </row>
    <row r="48" spans="1:13" ht="15" customHeight="1" x14ac:dyDescent="0.25">
      <c r="A48" s="108" t="s">
        <v>73</v>
      </c>
      <c r="B48" s="109"/>
      <c r="C48" s="115">
        <v>6380</v>
      </c>
      <c r="D48" s="111">
        <v>14</v>
      </c>
      <c r="E48" s="136">
        <v>0</v>
      </c>
      <c r="F48" s="90" t="str">
        <f>IFERROR(VLOOKUP($C48,[4]Nod!$A$3:$E$998,4,FALSE)," ")</f>
        <v>BOQIII230</v>
      </c>
      <c r="G48" s="90">
        <f>IFERROR(VLOOKUP($C48,[4]Nod!$A$3:$E$998,5,FALSE)," ")</f>
        <v>4</v>
      </c>
      <c r="H48" s="103">
        <v>7</v>
      </c>
      <c r="I48" s="104"/>
      <c r="J48" s="105"/>
      <c r="K48" s="106">
        <f>SUM(K49:K64)</f>
        <v>1064.5207648821506</v>
      </c>
      <c r="L48" s="90"/>
      <c r="M48" s="90"/>
    </row>
    <row r="49" spans="1:13" ht="15" customHeight="1" x14ac:dyDescent="0.25">
      <c r="A49" s="108" t="s">
        <v>75</v>
      </c>
      <c r="B49" s="109"/>
      <c r="C49" s="115">
        <v>6380</v>
      </c>
      <c r="D49" s="111">
        <v>14</v>
      </c>
      <c r="E49" s="136">
        <v>0</v>
      </c>
      <c r="F49" s="90" t="str">
        <f>IFERROR(VLOOKUP($C49,[4]Nod!$A$3:$E$998,4,FALSE)," ")</f>
        <v>BOQIII230</v>
      </c>
      <c r="G49" s="90">
        <f>IFERROR(VLOOKUP($C49,[4]Nod!$A$3:$E$998,5,FALSE)," ")</f>
        <v>4</v>
      </c>
      <c r="H49" s="113" t="s">
        <v>78</v>
      </c>
      <c r="I49" s="109"/>
      <c r="J49" s="110"/>
      <c r="K49" s="111"/>
      <c r="L49" s="90"/>
      <c r="M49" s="90"/>
    </row>
    <row r="50" spans="1:13" ht="15" customHeight="1" x14ac:dyDescent="0.25">
      <c r="A50" s="135" t="s">
        <v>76</v>
      </c>
      <c r="B50" s="109"/>
      <c r="C50" s="137">
        <v>6013</v>
      </c>
      <c r="D50" s="111">
        <v>2.5</v>
      </c>
      <c r="E50" s="112">
        <v>0</v>
      </c>
      <c r="F50" s="90" t="str">
        <f>IFERROR(VLOOKUP($C50,[4]Nod!$A$3:$E$998,4,FALSE)," ")</f>
        <v>MDN34</v>
      </c>
      <c r="G50" s="90">
        <f>IFERROR(VLOOKUP($C50,[4]Nod!$A$3:$E$998,5,FALSE)," ")</f>
        <v>4</v>
      </c>
      <c r="H50" s="114" t="s">
        <v>80</v>
      </c>
      <c r="I50" s="109"/>
      <c r="J50" s="115">
        <v>6002</v>
      </c>
      <c r="K50" s="111">
        <v>275.02999999999997</v>
      </c>
      <c r="L50" s="90" t="str">
        <f>VLOOKUP($J50,[4]Nod!$A$3:$E$998,4,FALSE)</f>
        <v>PAN115</v>
      </c>
      <c r="M50" s="90">
        <f>VLOOKUP($J50,[4]Nod!$A$3:$E$998,5,FALSE)</f>
        <v>7</v>
      </c>
    </row>
    <row r="51" spans="1:13" ht="15" customHeight="1" x14ac:dyDescent="0.25">
      <c r="A51" s="135" t="s">
        <v>77</v>
      </c>
      <c r="B51" s="109"/>
      <c r="C51" s="137">
        <v>6013</v>
      </c>
      <c r="D51" s="111">
        <v>3.12</v>
      </c>
      <c r="E51" s="112">
        <v>0</v>
      </c>
      <c r="F51" s="90" t="str">
        <f>IFERROR(VLOOKUP($C51,[4]Nod!$A$3:$E$998,4,FALSE)," ")</f>
        <v>MDN34</v>
      </c>
      <c r="G51" s="90">
        <f>IFERROR(VLOOKUP($C51,[4]Nod!$A$3:$E$998,5,FALSE)," ")</f>
        <v>4</v>
      </c>
      <c r="H51" s="114" t="s">
        <v>82</v>
      </c>
      <c r="I51" s="109"/>
      <c r="J51" s="115">
        <v>6004</v>
      </c>
      <c r="K51" s="111">
        <v>251.16</v>
      </c>
      <c r="L51" s="90" t="str">
        <f>VLOOKUP($J51,[4]Nod!$A$3:$E$998,4,FALSE)</f>
        <v>PANII115</v>
      </c>
      <c r="M51" s="90">
        <f>VLOOKUP($J51,[4]Nod!$A$3:$E$998,5,FALSE)</f>
        <v>7</v>
      </c>
    </row>
    <row r="52" spans="1:13" ht="15" customHeight="1" x14ac:dyDescent="0.25">
      <c r="A52" s="108" t="s">
        <v>79</v>
      </c>
      <c r="B52" s="109"/>
      <c r="C52" s="115">
        <v>6380</v>
      </c>
      <c r="D52" s="111">
        <v>10</v>
      </c>
      <c r="E52" s="112">
        <v>0</v>
      </c>
      <c r="F52" s="90" t="str">
        <f>IFERROR(VLOOKUP($C52,[4]Nod!$A$3:$E$998,4,FALSE)," ")</f>
        <v>BOQIII230</v>
      </c>
      <c r="G52" s="90">
        <f>IFERROR(VLOOKUP($C52,[4]Nod!$A$3:$E$998,5,FALSE)," ")</f>
        <v>4</v>
      </c>
      <c r="H52" s="114"/>
      <c r="I52" s="109"/>
      <c r="J52" s="115"/>
      <c r="K52" s="111"/>
      <c r="L52" s="90"/>
      <c r="M52" s="90"/>
    </row>
    <row r="53" spans="1:13" ht="15" customHeight="1" x14ac:dyDescent="0.25">
      <c r="A53" s="108" t="s">
        <v>81</v>
      </c>
      <c r="B53" s="109"/>
      <c r="C53" s="115">
        <v>6380</v>
      </c>
      <c r="D53" s="111">
        <v>10</v>
      </c>
      <c r="E53" s="112">
        <v>0</v>
      </c>
      <c r="F53" s="90" t="str">
        <f>IFERROR(VLOOKUP($C53,[4]Nod!$A$3:$E$998,4,FALSE)," ")</f>
        <v>BOQIII230</v>
      </c>
      <c r="G53" s="90">
        <f>IFERROR(VLOOKUP($C53,[4]Nod!$A$3:$E$998,5,FALSE)," ")</f>
        <v>4</v>
      </c>
      <c r="H53" s="113" t="s">
        <v>57</v>
      </c>
      <c r="I53" s="109"/>
      <c r="J53" s="115"/>
      <c r="K53" s="111"/>
      <c r="L53" s="90"/>
      <c r="M53" s="90"/>
    </row>
    <row r="54" spans="1:13" ht="15" customHeight="1" x14ac:dyDescent="0.25">
      <c r="A54" s="108" t="s">
        <v>83</v>
      </c>
      <c r="B54" s="109"/>
      <c r="C54" s="115">
        <v>6013</v>
      </c>
      <c r="D54" s="111">
        <v>8.1199999999999992</v>
      </c>
      <c r="E54" s="112">
        <v>0</v>
      </c>
      <c r="F54" s="90" t="str">
        <f>IFERROR(VLOOKUP($C54,[4]Nod!$A$3:$E$998,4,FALSE)," ")</f>
        <v>MDN34</v>
      </c>
      <c r="G54" s="90">
        <f>IFERROR(VLOOKUP($C54,[4]Nod!$A$3:$E$998,5,FALSE)," ")</f>
        <v>4</v>
      </c>
      <c r="H54" s="114" t="s">
        <v>80</v>
      </c>
      <c r="I54" s="109"/>
      <c r="J54" s="115">
        <v>6002</v>
      </c>
      <c r="K54" s="111">
        <v>502.81</v>
      </c>
      <c r="L54" s="90" t="str">
        <f>VLOOKUP($J54,[4]Nod!$A$3:$E$998,4,FALSE)</f>
        <v>PAN115</v>
      </c>
      <c r="M54" s="90">
        <f>VLOOKUP($J54,[4]Nod!$A$3:$E$998,5,FALSE)</f>
        <v>7</v>
      </c>
    </row>
    <row r="55" spans="1:13" ht="15" customHeight="1" x14ac:dyDescent="0.25">
      <c r="A55" s="108" t="s">
        <v>84</v>
      </c>
      <c r="B55" s="109"/>
      <c r="C55" s="115">
        <v>6182</v>
      </c>
      <c r="D55" s="111">
        <v>51.65</v>
      </c>
      <c r="E55" s="112">
        <v>0</v>
      </c>
      <c r="F55" s="90" t="str">
        <f>IFERROR(VLOOKUP($C55,[4]Nod!$A$3:$E$998,4,FALSE)," ")</f>
        <v>VEL230</v>
      </c>
      <c r="G55" s="90">
        <f>IFERROR(VLOOKUP($C55,[4]Nod!$A$3:$E$998,5,FALSE)," ")</f>
        <v>4</v>
      </c>
      <c r="H55" s="113" t="s">
        <v>61</v>
      </c>
      <c r="I55" s="109"/>
      <c r="J55" s="115"/>
      <c r="K55" s="111"/>
      <c r="L55" s="90"/>
      <c r="M55" s="90"/>
    </row>
    <row r="56" spans="1:13" ht="15" customHeight="1" x14ac:dyDescent="0.25">
      <c r="A56" s="135" t="s">
        <v>85</v>
      </c>
      <c r="B56" s="109"/>
      <c r="C56" s="115">
        <v>6380</v>
      </c>
      <c r="D56" s="111">
        <v>3.2869999999999999</v>
      </c>
      <c r="E56" s="112">
        <v>0</v>
      </c>
      <c r="F56" s="90" t="str">
        <f>IFERROR(VLOOKUP($C56,[4]Nod!$A$3:$E$998,4,FALSE)," ")</f>
        <v>BOQIII230</v>
      </c>
      <c r="G56" s="90">
        <f>IFERROR(VLOOKUP($C56,[4]Nod!$A$3:$E$998,5,FALSE)," ")</f>
        <v>4</v>
      </c>
      <c r="H56" s="114" t="s">
        <v>88</v>
      </c>
      <c r="I56" s="109"/>
      <c r="J56" s="115">
        <v>6024</v>
      </c>
      <c r="K56" s="111">
        <v>24.14123591370431</v>
      </c>
      <c r="L56" s="90" t="str">
        <f>VLOOKUP($J56,[4]Nod!$A$3:$E$998,4,FALSE)</f>
        <v>CHI115</v>
      </c>
      <c r="M56" s="90">
        <f>VLOOKUP($J56,[4]Nod!$A$3:$E$998,5,FALSE)</f>
        <v>7</v>
      </c>
    </row>
    <row r="57" spans="1:13" ht="15" customHeight="1" x14ac:dyDescent="0.25">
      <c r="A57" s="135" t="s">
        <v>86</v>
      </c>
      <c r="B57" s="109"/>
      <c r="C57" s="115">
        <v>6380</v>
      </c>
      <c r="D57" s="111">
        <v>4</v>
      </c>
      <c r="E57" s="112">
        <v>13</v>
      </c>
      <c r="F57" s="90" t="str">
        <f>IFERROR(VLOOKUP($C57,[4]Nod!$A$3:$E$998,4,FALSE)," ")</f>
        <v>BOQIII230</v>
      </c>
      <c r="G57" s="90">
        <f>IFERROR(VLOOKUP($C57,[4]Nod!$A$3:$E$998,5,FALSE)," ")</f>
        <v>4</v>
      </c>
      <c r="H57" s="114" t="s">
        <v>90</v>
      </c>
      <c r="I57" s="109"/>
      <c r="J57" s="115">
        <v>6002</v>
      </c>
      <c r="K57" s="111">
        <v>1.17837923514779</v>
      </c>
      <c r="L57" s="90" t="str">
        <f>VLOOKUP($J57,[4]Nod!$A$3:$E$998,4,FALSE)</f>
        <v>PAN115</v>
      </c>
      <c r="M57" s="90">
        <f>VLOOKUP($J57,[4]Nod!$A$3:$E$998,5,FALSE)</f>
        <v>7</v>
      </c>
    </row>
    <row r="58" spans="1:13" ht="15" customHeight="1" x14ac:dyDescent="0.25">
      <c r="A58" s="108" t="s">
        <v>87</v>
      </c>
      <c r="B58" s="109"/>
      <c r="C58" s="115">
        <v>6182</v>
      </c>
      <c r="D58" s="111">
        <v>69.48</v>
      </c>
      <c r="E58" s="112">
        <v>0</v>
      </c>
      <c r="F58" s="90" t="str">
        <f>IFERROR(VLOOKUP($C58,[4]Nod!$A$3:$E$998,4,FALSE)," ")</f>
        <v>VEL230</v>
      </c>
      <c r="G58" s="90">
        <f>IFERROR(VLOOKUP($C58,[4]Nod!$A$3:$E$998,5,FALSE)," ")</f>
        <v>4</v>
      </c>
      <c r="H58" s="114" t="s">
        <v>63</v>
      </c>
      <c r="I58" s="109"/>
      <c r="J58" s="115">
        <v>6002</v>
      </c>
      <c r="K58" s="111">
        <v>3.9782919721040182</v>
      </c>
      <c r="L58" s="90" t="str">
        <f>VLOOKUP($J58,[4]Nod!$A$3:$E$998,4,FALSE)</f>
        <v>PAN115</v>
      </c>
      <c r="M58" s="90">
        <f>VLOOKUP($J58,[4]Nod!$A$3:$E$998,5,FALSE)</f>
        <v>7</v>
      </c>
    </row>
    <row r="59" spans="1:13" ht="15" customHeight="1" x14ac:dyDescent="0.25">
      <c r="A59" s="164" t="s">
        <v>156</v>
      </c>
      <c r="B59" s="109"/>
      <c r="C59" s="115">
        <v>6182</v>
      </c>
      <c r="D59" s="111">
        <v>1.1100000000000001</v>
      </c>
      <c r="E59" s="112">
        <v>0</v>
      </c>
      <c r="F59" s="90" t="str">
        <f>IFERROR(VLOOKUP($C59,[4]Nod!$A$3:$E$998,4,FALSE)," ")</f>
        <v>VEL230</v>
      </c>
      <c r="G59" s="90">
        <f>IFERROR(VLOOKUP($C59,[4]Nod!$A$3:$E$998,5,FALSE)," ")</f>
        <v>4</v>
      </c>
      <c r="H59" s="114" t="s">
        <v>93</v>
      </c>
      <c r="I59" s="109"/>
      <c r="J59" s="115">
        <v>6002</v>
      </c>
      <c r="K59" s="111">
        <v>0.91532859317102244</v>
      </c>
      <c r="L59" s="90" t="str">
        <f>VLOOKUP($J59,[4]Nod!$A$3:$E$998,4,FALSE)</f>
        <v>PAN115</v>
      </c>
      <c r="M59" s="90">
        <f>VLOOKUP($J59,[4]Nod!$A$3:$E$998,5,FALSE)</f>
        <v>7</v>
      </c>
    </row>
    <row r="60" spans="1:13" ht="15" customHeight="1" x14ac:dyDescent="0.25">
      <c r="A60" s="138" t="s">
        <v>89</v>
      </c>
      <c r="B60" s="139"/>
      <c r="C60" s="140">
        <v>6380</v>
      </c>
      <c r="D60" s="141">
        <v>5</v>
      </c>
      <c r="E60" s="142">
        <v>13</v>
      </c>
      <c r="F60" s="90" t="str">
        <f>IFERROR(VLOOKUP($C60,[4]Nod!$A$3:$E$998,4,FALSE)," ")</f>
        <v>BOQIII230</v>
      </c>
      <c r="G60" s="90">
        <f>IFERROR(VLOOKUP($C60,[4]Nod!$A$3:$E$998,5,FALSE)," ")</f>
        <v>4</v>
      </c>
      <c r="H60" s="114" t="s">
        <v>95</v>
      </c>
      <c r="I60" s="109"/>
      <c r="J60" s="115">
        <v>6002</v>
      </c>
      <c r="K60" s="111">
        <v>0.16502931546830643</v>
      </c>
      <c r="L60" s="90" t="str">
        <f>VLOOKUP($J60,[4]Nod!$A$3:$E$998,4,FALSE)</f>
        <v>PAN115</v>
      </c>
      <c r="M60" s="90">
        <f>VLOOKUP($J60,[4]Nod!$A$3:$E$998,5,FALSE)</f>
        <v>7</v>
      </c>
    </row>
    <row r="61" spans="1:13" ht="15" customHeight="1" x14ac:dyDescent="0.25">
      <c r="A61" s="165" t="s">
        <v>91</v>
      </c>
      <c r="B61" s="166"/>
      <c r="C61" s="140">
        <v>6013</v>
      </c>
      <c r="D61" s="141">
        <v>3.72</v>
      </c>
      <c r="E61" s="142">
        <v>0</v>
      </c>
      <c r="F61" s="90" t="str">
        <f>IFERROR(VLOOKUP($C61,[4]Nod!$A$3:$E$998,4,FALSE)," ")</f>
        <v>MDN34</v>
      </c>
      <c r="G61" s="90">
        <f>IFERROR(VLOOKUP($C61,[4]Nod!$A$3:$E$998,5,FALSE)," ")</f>
        <v>4</v>
      </c>
      <c r="H61" s="114" t="s">
        <v>97</v>
      </c>
      <c r="I61" s="109"/>
      <c r="J61" s="115">
        <v>6002</v>
      </c>
      <c r="K61" s="111">
        <v>1.3409961685823757</v>
      </c>
      <c r="L61" s="90" t="str">
        <f>VLOOKUP($J61,[4]Nod!$A$3:$E$998,4,FALSE)</f>
        <v>PAN115</v>
      </c>
      <c r="M61" s="90">
        <f>VLOOKUP($J61,[4]Nod!$A$3:$E$998,5,FALSE)</f>
        <v>7</v>
      </c>
    </row>
    <row r="62" spans="1:13" ht="15" customHeight="1" x14ac:dyDescent="0.25">
      <c r="A62" s="108" t="s">
        <v>92</v>
      </c>
      <c r="B62" s="109"/>
      <c r="C62" s="137">
        <v>6013</v>
      </c>
      <c r="D62" s="111">
        <v>10</v>
      </c>
      <c r="E62" s="112">
        <v>13</v>
      </c>
      <c r="F62" s="90" t="str">
        <f>IFERROR(VLOOKUP($C62,[4]Nod!$A$3:$E$998,4,FALSE)," ")</f>
        <v>MDN34</v>
      </c>
      <c r="G62" s="90">
        <f>IFERROR(VLOOKUP($C62,[4]Nod!$A$3:$E$998,5,FALSE)," ")</f>
        <v>4</v>
      </c>
      <c r="H62" s="114" t="s">
        <v>99</v>
      </c>
      <c r="I62" s="109"/>
      <c r="J62" s="115">
        <v>6002</v>
      </c>
      <c r="K62" s="111">
        <v>3.5064936351268399</v>
      </c>
      <c r="L62" s="90" t="str">
        <f>VLOOKUP($J62,[4]Nod!$A$3:$E$998,4,FALSE)</f>
        <v>PAN115</v>
      </c>
      <c r="M62" s="90">
        <f>VLOOKUP($J62,[4]Nod!$A$3:$E$998,5,FALSE)</f>
        <v>7</v>
      </c>
    </row>
    <row r="63" spans="1:13" ht="15" customHeight="1" x14ac:dyDescent="0.25">
      <c r="A63" s="108" t="s">
        <v>94</v>
      </c>
      <c r="B63" s="109"/>
      <c r="C63" s="137">
        <v>6520</v>
      </c>
      <c r="D63" s="141">
        <v>19.87</v>
      </c>
      <c r="E63" s="136">
        <v>0</v>
      </c>
      <c r="F63" s="90" t="str">
        <f>IFERROR(VLOOKUP($C63,[4]Nod!$A$3:$E$998,4,FALSE)," ")</f>
        <v>SBA230</v>
      </c>
      <c r="G63" s="90">
        <f>IFERROR(VLOOKUP($C63,[4]Nod!$A$3:$E$998,5,FALSE)," ")</f>
        <v>4</v>
      </c>
      <c r="H63" s="114" t="s">
        <v>101</v>
      </c>
      <c r="I63" s="109"/>
      <c r="J63" s="115">
        <v>6004</v>
      </c>
      <c r="K63" s="111">
        <v>0.29501004884593701</v>
      </c>
      <c r="L63" s="90" t="str">
        <f>VLOOKUP($J63,[4]Nod!$A$3:$E$998,4,FALSE)</f>
        <v>PANII115</v>
      </c>
      <c r="M63" s="90">
        <f>VLOOKUP($J63,[4]Nod!$A$3:$E$998,5,FALSE)</f>
        <v>7</v>
      </c>
    </row>
    <row r="64" spans="1:13" ht="15" customHeight="1" x14ac:dyDescent="0.25">
      <c r="A64" s="120" t="s">
        <v>96</v>
      </c>
      <c r="C64" s="137">
        <v>6550</v>
      </c>
      <c r="D64" s="144">
        <v>28.5</v>
      </c>
      <c r="E64" s="136">
        <v>0</v>
      </c>
      <c r="F64" s="90" t="str">
        <f>IFERROR(VLOOKUP($C64,[4]Nod!$A$3:$E$998,4,FALSE)," ")</f>
        <v>BEV230</v>
      </c>
      <c r="G64" s="90">
        <f>IFERROR(VLOOKUP($C64,[4]Nod!$A$3:$E$998,5,FALSE)," ")</f>
        <v>4</v>
      </c>
      <c r="H64" s="116" t="s">
        <v>44</v>
      </c>
      <c r="I64" s="117"/>
      <c r="J64" s="134"/>
      <c r="K64" s="119"/>
      <c r="L64" s="90"/>
      <c r="M64" s="90"/>
    </row>
    <row r="65" spans="1:13" ht="15" customHeight="1" x14ac:dyDescent="0.25">
      <c r="A65" s="120" t="s">
        <v>98</v>
      </c>
      <c r="C65" s="115">
        <v>6380</v>
      </c>
      <c r="D65" s="144">
        <v>13.14</v>
      </c>
      <c r="E65" s="136">
        <v>0</v>
      </c>
      <c r="F65" s="90" t="str">
        <f>IFERROR(VLOOKUP($C65,[4]Nod!$A$3:$E$998,4,FALSE)," ")</f>
        <v>BOQIII230</v>
      </c>
      <c r="G65" s="90">
        <f>IFERROR(VLOOKUP($C65,[4]Nod!$A$3:$E$998,5,FALSE)," ")</f>
        <v>4</v>
      </c>
      <c r="H65" s="121">
        <v>8</v>
      </c>
      <c r="I65" s="122"/>
      <c r="J65" s="123"/>
      <c r="K65" s="124">
        <f>SUM(K66:K68)</f>
        <v>20.399999999999999</v>
      </c>
      <c r="L65" s="90"/>
      <c r="M65" s="90"/>
    </row>
    <row r="66" spans="1:13" ht="15" customHeight="1" x14ac:dyDescent="0.25">
      <c r="A66" s="120" t="s">
        <v>100</v>
      </c>
      <c r="C66" s="115">
        <v>6380</v>
      </c>
      <c r="D66" s="129">
        <v>3</v>
      </c>
      <c r="E66" s="136">
        <v>13</v>
      </c>
      <c r="F66" s="90" t="str">
        <f>IFERROR(VLOOKUP($C66,[4]Nod!$A$3:$E$998,4,FALSE)," ")</f>
        <v>BOQIII230</v>
      </c>
      <c r="G66" s="90">
        <f>IFERROR(VLOOKUP($C66,[4]Nod!$A$3:$E$998,5,FALSE)," ")</f>
        <v>4</v>
      </c>
      <c r="H66" s="113" t="s">
        <v>78</v>
      </c>
      <c r="I66" s="109"/>
      <c r="J66" s="115"/>
      <c r="K66" s="111"/>
      <c r="L66" s="90"/>
      <c r="M66" s="90"/>
    </row>
    <row r="67" spans="1:13" ht="15" customHeight="1" x14ac:dyDescent="0.25">
      <c r="A67" s="120" t="s">
        <v>102</v>
      </c>
      <c r="C67" s="115">
        <v>6380</v>
      </c>
      <c r="D67" s="129">
        <v>8.1999999999999993</v>
      </c>
      <c r="E67" s="136">
        <v>0</v>
      </c>
      <c r="F67" s="90" t="str">
        <f>IFERROR(VLOOKUP($C67,[4]Nod!$A$3:$E$998,4,FALSE)," ")</f>
        <v>BOQIII230</v>
      </c>
      <c r="G67" s="90">
        <f>IFERROR(VLOOKUP($C67,[4]Nod!$A$3:$E$998,5,FALSE)," ")</f>
        <v>4</v>
      </c>
      <c r="H67" s="145" t="s">
        <v>104</v>
      </c>
      <c r="I67" s="109"/>
      <c r="J67" s="115">
        <v>6470</v>
      </c>
      <c r="K67" s="111">
        <v>20.399999999999999</v>
      </c>
      <c r="L67" s="90" t="str">
        <f>VLOOKUP($J67,[4]Nod!$A$3:$E$998,4,FALSE)</f>
        <v>24DIC230</v>
      </c>
      <c r="M67" s="90">
        <f>VLOOKUP($J67,[4]Nod!$A$3:$E$998,5,FALSE)</f>
        <v>9</v>
      </c>
    </row>
    <row r="68" spans="1:13" ht="15" customHeight="1" x14ac:dyDescent="0.25">
      <c r="A68" s="167" t="s">
        <v>157</v>
      </c>
      <c r="C68" s="115">
        <v>6182</v>
      </c>
      <c r="D68" s="129">
        <v>32.9</v>
      </c>
      <c r="E68" s="136">
        <v>0</v>
      </c>
      <c r="F68" s="90" t="str">
        <f>IFERROR(VLOOKUP($C68,[4]Nod!$A$3:$E$998,4,FALSE)," ")</f>
        <v>VEL230</v>
      </c>
      <c r="G68" s="90">
        <f>IFERROR(VLOOKUP($C68,[4]Nod!$A$3:$E$998,5,FALSE)," ")</f>
        <v>4</v>
      </c>
      <c r="H68" s="116" t="s">
        <v>44</v>
      </c>
      <c r="I68" s="117"/>
      <c r="J68" s="134"/>
      <c r="K68" s="119"/>
      <c r="L68" s="90"/>
      <c r="M68" s="90"/>
    </row>
    <row r="69" spans="1:13" ht="15" customHeight="1" x14ac:dyDescent="0.25">
      <c r="A69" s="167" t="s">
        <v>158</v>
      </c>
      <c r="C69" s="115">
        <v>6182</v>
      </c>
      <c r="D69" s="129">
        <v>8.8000000000000007</v>
      </c>
      <c r="E69" s="136">
        <v>0</v>
      </c>
      <c r="F69" s="90" t="str">
        <f>IFERROR(VLOOKUP($C69,[4]Nod!$A$3:$E$998,4,FALSE)," ")</f>
        <v>VEL230</v>
      </c>
      <c r="G69" s="90">
        <f>IFERROR(VLOOKUP($C69,[4]Nod!$A$3:$E$998,5,FALSE)," ")</f>
        <v>4</v>
      </c>
      <c r="H69" s="103">
        <v>9</v>
      </c>
      <c r="I69" s="104"/>
      <c r="J69" s="105"/>
      <c r="K69" s="106">
        <f>SUM(K70:K75)</f>
        <v>124.86984785031855</v>
      </c>
      <c r="L69" s="90"/>
      <c r="M69" s="90"/>
    </row>
    <row r="70" spans="1:13" ht="15" customHeight="1" x14ac:dyDescent="0.25">
      <c r="A70" s="167" t="s">
        <v>159</v>
      </c>
      <c r="C70" s="115">
        <v>6380</v>
      </c>
      <c r="D70" s="129">
        <v>6.74</v>
      </c>
      <c r="E70" s="136">
        <v>0</v>
      </c>
      <c r="F70" s="90" t="str">
        <f>IFERROR(VLOOKUP($C70,[4]Nod!$A$3:$E$998,4,FALSE)," ")</f>
        <v>BOQIII230</v>
      </c>
      <c r="G70" s="90">
        <f>IFERROR(VLOOKUP($C70,[4]Nod!$A$3:$E$998,5,FALSE)," ")</f>
        <v>4</v>
      </c>
      <c r="H70" s="113" t="s">
        <v>78</v>
      </c>
      <c r="I70" s="109"/>
      <c r="J70" s="115"/>
      <c r="K70" s="111"/>
      <c r="L70" s="90"/>
      <c r="M70" s="90"/>
    </row>
    <row r="71" spans="1:13" ht="15" customHeight="1" x14ac:dyDescent="0.25">
      <c r="A71" s="131" t="s">
        <v>44</v>
      </c>
      <c r="B71" s="117"/>
      <c r="C71" s="118"/>
      <c r="D71" s="132"/>
      <c r="E71" s="133"/>
      <c r="F71" s="90" t="str">
        <f>IFERROR(VLOOKUP($C71,[4]Nod!$A$3:$E$998,4,FALSE)," ")</f>
        <v xml:space="preserve"> </v>
      </c>
      <c r="G71" s="90" t="str">
        <f>IFERROR(VLOOKUP($C71,[4]Nod!$A$3:$E$998,5,FALSE)," ")</f>
        <v xml:space="preserve"> </v>
      </c>
      <c r="H71" s="114" t="s">
        <v>109</v>
      </c>
      <c r="I71" s="109"/>
      <c r="J71" s="115">
        <v>6059</v>
      </c>
      <c r="K71" s="111">
        <v>116.25000000000001</v>
      </c>
      <c r="L71" s="90" t="str">
        <f>VLOOKUP($J71,[4]Nod!$A$3:$E$998,4,FALSE)</f>
        <v>LM1115</v>
      </c>
      <c r="M71" s="90">
        <f>VLOOKUP($J71,[4]Nod!$A$3:$E$998,5,FALSE)</f>
        <v>9</v>
      </c>
    </row>
    <row r="72" spans="1:13" ht="15" customHeight="1" x14ac:dyDescent="0.25">
      <c r="A72" s="103">
        <v>5</v>
      </c>
      <c r="B72" s="104"/>
      <c r="C72" s="105"/>
      <c r="D72" s="106">
        <f>SUM(D73:D105)</f>
        <v>606.81000000000006</v>
      </c>
      <c r="E72" s="107"/>
      <c r="F72" s="90" t="str">
        <f>IFERROR(VLOOKUP($C72,[4]Nod!$A$3:$E$998,4,FALSE)," ")</f>
        <v xml:space="preserve"> </v>
      </c>
      <c r="G72" s="90" t="str">
        <f>IFERROR(VLOOKUP($C72,[4]Nod!$A$3:$E$998,5,FALSE)," ")</f>
        <v xml:space="preserve"> </v>
      </c>
      <c r="H72" s="113" t="s">
        <v>61</v>
      </c>
      <c r="I72" s="109"/>
      <c r="J72" s="115"/>
      <c r="K72" s="111"/>
      <c r="L72" s="90"/>
      <c r="M72" s="90"/>
    </row>
    <row r="73" spans="1:13" ht="15" customHeight="1" x14ac:dyDescent="0.25">
      <c r="A73" s="108" t="s">
        <v>103</v>
      </c>
      <c r="B73" s="109"/>
      <c r="C73" s="137">
        <v>6010</v>
      </c>
      <c r="D73" s="111">
        <v>5.35</v>
      </c>
      <c r="E73" s="112">
        <v>0</v>
      </c>
      <c r="F73" s="90" t="str">
        <f>IFERROR(VLOOKUP($C73,[4]Nod!$A$3:$E$998,4,FALSE)," ")</f>
        <v>LSA34</v>
      </c>
      <c r="G73" s="90">
        <f>IFERROR(VLOOKUP($C73,[4]Nod!$A$3:$E$998,5,FALSE)," ")</f>
        <v>5</v>
      </c>
      <c r="H73" s="114" t="s">
        <v>112</v>
      </c>
      <c r="I73" s="109"/>
      <c r="J73" s="115">
        <v>6170</v>
      </c>
      <c r="K73" s="111">
        <v>8.3393444667623964</v>
      </c>
      <c r="L73" s="90" t="str">
        <f>VLOOKUP($J73,[4]Nod!$A$3:$E$998,4,FALSE)</f>
        <v>CPA115</v>
      </c>
      <c r="M73" s="90">
        <f>VLOOKUP($J73,[4]Nod!$A$3:$E$998,5,FALSE)</f>
        <v>7</v>
      </c>
    </row>
    <row r="74" spans="1:13" ht="15" customHeight="1" x14ac:dyDescent="0.25">
      <c r="A74" s="168" t="s">
        <v>105</v>
      </c>
      <c r="B74" s="109"/>
      <c r="C74" s="137">
        <v>6010</v>
      </c>
      <c r="D74" s="111">
        <v>1.35</v>
      </c>
      <c r="E74" s="112">
        <v>0</v>
      </c>
      <c r="F74" s="90" t="str">
        <f>IFERROR(VLOOKUP($C74,[4]Nod!$A$3:$E$998,4,FALSE)," ")</f>
        <v>LSA34</v>
      </c>
      <c r="G74" s="90">
        <f>IFERROR(VLOOKUP($C74,[4]Nod!$A$3:$E$998,5,FALSE)," ")</f>
        <v>5</v>
      </c>
      <c r="H74" s="114" t="s">
        <v>63</v>
      </c>
      <c r="I74" s="109"/>
      <c r="J74" s="115">
        <v>6059</v>
      </c>
      <c r="K74" s="111">
        <v>0.28050338355614318</v>
      </c>
      <c r="L74" s="90" t="str">
        <f>VLOOKUP($J74,[4]Nod!$A$3:$E$998,4,FALSE)</f>
        <v>LM1115</v>
      </c>
      <c r="M74" s="90">
        <f>VLOOKUP($J74,[4]Nod!$A$3:$E$998,5,FALSE)</f>
        <v>9</v>
      </c>
    </row>
    <row r="75" spans="1:13" ht="15" customHeight="1" x14ac:dyDescent="0.25">
      <c r="A75" s="108" t="s">
        <v>106</v>
      </c>
      <c r="B75" s="109"/>
      <c r="C75" s="137">
        <v>6010</v>
      </c>
      <c r="D75" s="111">
        <v>6.6</v>
      </c>
      <c r="E75" s="112">
        <v>0</v>
      </c>
      <c r="F75" s="90" t="str">
        <f>IFERROR(VLOOKUP($C75,[4]Nod!$A$3:$E$998,4,FALSE)," ")</f>
        <v>LSA34</v>
      </c>
      <c r="G75" s="90">
        <f>IFERROR(VLOOKUP($C75,[4]Nod!$A$3:$E$998,5,FALSE)," ")</f>
        <v>5</v>
      </c>
      <c r="H75" s="116" t="s">
        <v>44</v>
      </c>
      <c r="I75" s="117"/>
      <c r="J75" s="134"/>
      <c r="K75" s="119"/>
      <c r="L75" s="90"/>
      <c r="M75" s="90"/>
    </row>
    <row r="76" spans="1:13" ht="15" customHeight="1" x14ac:dyDescent="0.25">
      <c r="A76" s="108" t="s">
        <v>107</v>
      </c>
      <c r="B76" s="109"/>
      <c r="C76" s="137">
        <v>6010</v>
      </c>
      <c r="D76" s="111">
        <v>2.0099999999999998</v>
      </c>
      <c r="E76" s="112">
        <v>13</v>
      </c>
      <c r="F76" s="90" t="str">
        <f>IFERROR(VLOOKUP($C76,[4]Nod!$A$3:$E$998,4,FALSE)," ")</f>
        <v>LSA34</v>
      </c>
      <c r="G76" s="90">
        <f>IFERROR(VLOOKUP($C76,[4]Nod!$A$3:$E$998,5,FALSE)," ")</f>
        <v>5</v>
      </c>
      <c r="H76" s="121">
        <v>10</v>
      </c>
      <c r="I76" s="122"/>
      <c r="J76" s="123"/>
      <c r="K76" s="124">
        <f>SUM(K77:K81)</f>
        <v>90.39</v>
      </c>
      <c r="L76" s="90"/>
      <c r="M76" s="90"/>
    </row>
    <row r="77" spans="1:13" ht="15" customHeight="1" x14ac:dyDescent="0.25">
      <c r="A77" s="168" t="s">
        <v>108</v>
      </c>
      <c r="B77" s="109"/>
      <c r="C77" s="137">
        <v>6010</v>
      </c>
      <c r="D77" s="111">
        <v>7.99</v>
      </c>
      <c r="E77" s="112">
        <v>13</v>
      </c>
      <c r="F77" s="90" t="str">
        <f>IFERROR(VLOOKUP($C77,[4]Nod!$A$3:$E$998,4,FALSE)," ")</f>
        <v>LSA34</v>
      </c>
      <c r="G77" s="90">
        <f>IFERROR(VLOOKUP($C77,[4]Nod!$A$3:$E$998,5,FALSE)," ")</f>
        <v>5</v>
      </c>
      <c r="H77" s="113" t="s">
        <v>38</v>
      </c>
      <c r="I77" s="109"/>
      <c r="J77" s="115"/>
      <c r="K77" s="111"/>
      <c r="L77" s="90"/>
      <c r="M77" s="90"/>
    </row>
    <row r="78" spans="1:13" ht="15" customHeight="1" x14ac:dyDescent="0.25">
      <c r="A78" s="108" t="s">
        <v>110</v>
      </c>
      <c r="B78" s="109"/>
      <c r="C78" s="137">
        <v>6010</v>
      </c>
      <c r="D78" s="111">
        <v>2.4</v>
      </c>
      <c r="E78" s="112">
        <v>13</v>
      </c>
      <c r="F78" s="90" t="str">
        <f>IFERROR(VLOOKUP($C78,[4]Nod!$A$3:$E$998,4,FALSE)," ")</f>
        <v>LSA34</v>
      </c>
      <c r="G78" s="90">
        <f>IFERROR(VLOOKUP($C78,[4]Nod!$A$3:$E$998,5,FALSE)," ")</f>
        <v>5</v>
      </c>
      <c r="H78" s="114" t="s">
        <v>118</v>
      </c>
      <c r="I78" s="109"/>
      <c r="J78" s="115">
        <v>6340</v>
      </c>
      <c r="K78" s="111">
        <v>27.34</v>
      </c>
      <c r="L78" s="90" t="str">
        <f>VLOOKUP($J78,[4]Nod!$A$3:$E$998,4,FALSE)</f>
        <v>CAN230</v>
      </c>
      <c r="M78" s="90">
        <f>VLOOKUP($J78,[4]Nod!$A$3:$E$998,5,FALSE)</f>
        <v>10</v>
      </c>
    </row>
    <row r="79" spans="1:13" ht="15" customHeight="1" x14ac:dyDescent="0.25">
      <c r="A79" s="108" t="s">
        <v>111</v>
      </c>
      <c r="B79" s="109"/>
      <c r="C79" s="137">
        <v>6010</v>
      </c>
      <c r="D79" s="111">
        <v>10</v>
      </c>
      <c r="E79" s="112">
        <v>13</v>
      </c>
      <c r="F79" s="90" t="str">
        <f>IFERROR(VLOOKUP($C79,[4]Nod!$A$3:$E$998,4,FALSE)," ")</f>
        <v>LSA34</v>
      </c>
      <c r="G79" s="90">
        <f>IFERROR(VLOOKUP($C79,[4]Nod!$A$3:$E$998,5,FALSE)," ")</f>
        <v>5</v>
      </c>
      <c r="H79" s="114" t="s">
        <v>120</v>
      </c>
      <c r="I79" s="109"/>
      <c r="J79" s="115">
        <v>6262</v>
      </c>
      <c r="K79" s="111">
        <v>17.850000000000001</v>
      </c>
      <c r="L79" s="90" t="s">
        <v>121</v>
      </c>
      <c r="M79" s="90">
        <v>10</v>
      </c>
    </row>
    <row r="80" spans="1:13" ht="15" customHeight="1" x14ac:dyDescent="0.25">
      <c r="A80" s="120" t="s">
        <v>113</v>
      </c>
      <c r="C80" s="137">
        <v>6010</v>
      </c>
      <c r="D80" s="111">
        <v>0.96</v>
      </c>
      <c r="E80" s="112">
        <v>13</v>
      </c>
      <c r="F80" s="90" t="str">
        <f>IFERROR(VLOOKUP($C80,[4]Nod!$A$3:$E$998,4,FALSE)," ")</f>
        <v>LSA34</v>
      </c>
      <c r="G80" s="90">
        <f>IFERROR(VLOOKUP($C80,[4]Nod!$A$3:$E$998,5,FALSE)," ")</f>
        <v>5</v>
      </c>
      <c r="H80" s="147" t="s">
        <v>123</v>
      </c>
      <c r="I80" s="109"/>
      <c r="J80" s="115">
        <v>6262</v>
      </c>
      <c r="K80" s="111">
        <v>45.2</v>
      </c>
      <c r="L80" s="90" t="s">
        <v>121</v>
      </c>
      <c r="M80" s="90">
        <v>10</v>
      </c>
    </row>
    <row r="81" spans="1:13" ht="15" customHeight="1" x14ac:dyDescent="0.25">
      <c r="A81" s="120" t="s">
        <v>114</v>
      </c>
      <c r="C81" s="137">
        <v>6010</v>
      </c>
      <c r="D81" s="111">
        <v>0.96</v>
      </c>
      <c r="E81" s="112">
        <v>13</v>
      </c>
      <c r="F81" s="90" t="str">
        <f>IFERROR(VLOOKUP($C81,[4]Nod!$A$3:$E$998,4,FALSE)," ")</f>
        <v>LSA34</v>
      </c>
      <c r="G81" s="90">
        <f>IFERROR(VLOOKUP($C81,[4]Nod!$A$3:$E$998,5,FALSE)," ")</f>
        <v>5</v>
      </c>
      <c r="H81" s="116" t="s">
        <v>44</v>
      </c>
      <c r="I81" s="117"/>
      <c r="J81" s="134"/>
      <c r="K81" s="119"/>
      <c r="L81" s="90"/>
      <c r="M81" s="90"/>
    </row>
    <row r="82" spans="1:13" ht="15" customHeight="1" x14ac:dyDescent="0.25">
      <c r="A82" s="120" t="s">
        <v>115</v>
      </c>
      <c r="C82" s="137">
        <v>6010</v>
      </c>
      <c r="D82" s="111">
        <v>0.48</v>
      </c>
      <c r="E82" s="112">
        <v>13</v>
      </c>
      <c r="F82" s="90" t="str">
        <f>IFERROR(VLOOKUP($C82,[4]Nod!$A$3:$E$998,4,FALSE)," ")</f>
        <v>LSA34</v>
      </c>
      <c r="G82" s="90">
        <f>IFERROR(VLOOKUP($C82,[4]Nod!$A$3:$E$998,5,FALSE)," ")</f>
        <v>5</v>
      </c>
    </row>
    <row r="83" spans="1:13" ht="15" customHeight="1" x14ac:dyDescent="0.25">
      <c r="A83" s="120" t="s">
        <v>116</v>
      </c>
      <c r="C83" s="137">
        <v>6010</v>
      </c>
      <c r="D83" s="111">
        <v>8.99</v>
      </c>
      <c r="E83" s="112">
        <v>13</v>
      </c>
      <c r="F83" s="90" t="str">
        <f>IFERROR(VLOOKUP($C83,[4]Nod!$A$3:$E$998,4,FALSE)," ")</f>
        <v>LSA34</v>
      </c>
      <c r="G83" s="90">
        <f>IFERROR(VLOOKUP($C83,[4]Nod!$A$3:$E$998,5,FALSE)," ")</f>
        <v>5</v>
      </c>
    </row>
    <row r="84" spans="1:13" ht="15" customHeight="1" x14ac:dyDescent="0.25">
      <c r="A84" s="120" t="s">
        <v>117</v>
      </c>
      <c r="C84" s="137">
        <v>6010</v>
      </c>
      <c r="D84" s="111">
        <v>8.99</v>
      </c>
      <c r="E84" s="112">
        <v>13</v>
      </c>
      <c r="F84" s="90" t="str">
        <f>IFERROR(VLOOKUP($C84,[4]Nod!$A$3:$E$998,4,FALSE)," ")</f>
        <v>LSA34</v>
      </c>
      <c r="G84" s="90">
        <f>IFERROR(VLOOKUP($C84,[4]Nod!$A$3:$E$998,5,FALSE)," ")</f>
        <v>5</v>
      </c>
    </row>
    <row r="85" spans="1:13" ht="15" customHeight="1" x14ac:dyDescent="0.25">
      <c r="A85" s="120" t="s">
        <v>119</v>
      </c>
      <c r="C85" s="137">
        <v>6010</v>
      </c>
      <c r="D85" s="111">
        <v>9.52</v>
      </c>
      <c r="E85" s="112">
        <v>13</v>
      </c>
      <c r="F85" s="90" t="str">
        <f>IFERROR(VLOOKUP($C85,[4]Nod!$A$3:$E$998,4,FALSE)," ")</f>
        <v>LSA34</v>
      </c>
      <c r="G85" s="90">
        <f>IFERROR(VLOOKUP($C85,[4]Nod!$A$3:$E$998,5,FALSE)," ")</f>
        <v>5</v>
      </c>
    </row>
    <row r="86" spans="1:13" ht="15" customHeight="1" x14ac:dyDescent="0.25">
      <c r="A86" s="168" t="s">
        <v>122</v>
      </c>
      <c r="C86" s="137">
        <v>6010</v>
      </c>
      <c r="D86" s="111">
        <v>10.78</v>
      </c>
      <c r="E86" s="112">
        <v>13</v>
      </c>
      <c r="F86" s="90" t="str">
        <f>IFERROR(VLOOKUP($C86,[4]Nod!$A$3:$E$998,4,FALSE)," ")</f>
        <v>LSA34</v>
      </c>
      <c r="G86" s="90">
        <f>IFERROR(VLOOKUP($C86,[4]Nod!$A$3:$E$998,5,FALSE)," ")</f>
        <v>5</v>
      </c>
    </row>
    <row r="87" spans="1:13" ht="15" customHeight="1" x14ac:dyDescent="0.25">
      <c r="A87" s="168" t="s">
        <v>124</v>
      </c>
      <c r="C87" s="137">
        <v>6010</v>
      </c>
      <c r="D87" s="111">
        <v>8.5</v>
      </c>
      <c r="E87" s="112">
        <v>13</v>
      </c>
      <c r="F87" s="90" t="str">
        <f>IFERROR(VLOOKUP($C87,[4]Nod!$A$3:$E$998,4,FALSE)," ")</f>
        <v>LSA34</v>
      </c>
      <c r="G87" s="90">
        <f>IFERROR(VLOOKUP($C87,[4]Nod!$A$3:$E$998,5,FALSE)," ")</f>
        <v>5</v>
      </c>
      <c r="L87" s="90"/>
      <c r="M87" s="90"/>
    </row>
    <row r="88" spans="1:13" ht="15" customHeight="1" x14ac:dyDescent="0.25">
      <c r="A88" s="120" t="s">
        <v>125</v>
      </c>
      <c r="C88" s="137">
        <v>6010</v>
      </c>
      <c r="D88" s="111">
        <v>10</v>
      </c>
      <c r="E88" s="112">
        <v>13</v>
      </c>
      <c r="F88" s="90" t="str">
        <f>IFERROR(VLOOKUP($C88,[4]Nod!$A$3:$E$998,4,FALSE)," ")</f>
        <v>LSA34</v>
      </c>
      <c r="G88" s="90">
        <f>IFERROR(VLOOKUP($C88,[4]Nod!$A$3:$E$998,5,FALSE)," ")</f>
        <v>5</v>
      </c>
      <c r="L88" s="90"/>
      <c r="M88" s="90"/>
    </row>
    <row r="89" spans="1:13" ht="15" customHeight="1" x14ac:dyDescent="0.25">
      <c r="A89" s="120" t="s">
        <v>126</v>
      </c>
      <c r="C89" s="137">
        <v>6010</v>
      </c>
      <c r="D89" s="111">
        <v>10</v>
      </c>
      <c r="E89" s="112">
        <v>13</v>
      </c>
      <c r="F89" s="90" t="str">
        <f>IFERROR(VLOOKUP($C89,[4]Nod!$A$3:$E$998,4,FALSE)," ")</f>
        <v>LSA34</v>
      </c>
      <c r="G89" s="90">
        <f>IFERROR(VLOOKUP($C89,[4]Nod!$A$3:$E$998,5,FALSE)," ")</f>
        <v>5</v>
      </c>
      <c r="L89" s="90"/>
      <c r="M89" s="90"/>
    </row>
    <row r="90" spans="1:13" ht="15" customHeight="1" x14ac:dyDescent="0.25">
      <c r="A90" s="108" t="s">
        <v>127</v>
      </c>
      <c r="B90" s="109"/>
      <c r="C90" s="115">
        <v>6460</v>
      </c>
      <c r="D90" s="111">
        <v>55</v>
      </c>
      <c r="E90" s="112">
        <v>13</v>
      </c>
      <c r="F90" s="90" t="str">
        <f>IFERROR(VLOOKUP($C90,[4]Nod!$A$3:$E$998,4,FALSE)," ")</f>
        <v>ECO230</v>
      </c>
      <c r="G90" s="90">
        <f>IFERROR(VLOOKUP($C90,[4]Nod!$A$3:$E$998,5,FALSE)," ")</f>
        <v>5</v>
      </c>
      <c r="L90" s="90"/>
      <c r="M90" s="90"/>
    </row>
    <row r="91" spans="1:13" ht="15" customHeight="1" x14ac:dyDescent="0.25">
      <c r="A91" s="108" t="s">
        <v>128</v>
      </c>
      <c r="B91" s="109"/>
      <c r="C91" s="115">
        <v>6460</v>
      </c>
      <c r="D91" s="111">
        <v>17.5</v>
      </c>
      <c r="E91" s="112">
        <v>13</v>
      </c>
      <c r="F91" s="90" t="str">
        <f>IFERROR(VLOOKUP($C91,[4]Nod!$A$3:$E$998,4,FALSE)," ")</f>
        <v>ECO230</v>
      </c>
      <c r="G91" s="90">
        <f>IFERROR(VLOOKUP($C91,[4]Nod!$A$3:$E$998,5,FALSE)," ")</f>
        <v>5</v>
      </c>
      <c r="L91" s="90"/>
      <c r="M91" s="90"/>
    </row>
    <row r="92" spans="1:13" ht="15" customHeight="1" x14ac:dyDescent="0.25">
      <c r="A92" s="108" t="s">
        <v>129</v>
      </c>
      <c r="B92" s="109"/>
      <c r="C92" s="115">
        <v>6460</v>
      </c>
      <c r="D92" s="111">
        <v>52.5</v>
      </c>
      <c r="E92" s="112">
        <v>13</v>
      </c>
      <c r="F92" s="90" t="str">
        <f>IFERROR(VLOOKUP($C92,[4]Nod!$A$3:$E$998,4,FALSE)," ")</f>
        <v>ECO230</v>
      </c>
      <c r="G92" s="90">
        <f>IFERROR(VLOOKUP($C92,[4]Nod!$A$3:$E$998,5,FALSE)," ")</f>
        <v>5</v>
      </c>
      <c r="L92" s="90"/>
      <c r="M92" s="90"/>
    </row>
    <row r="93" spans="1:13" ht="15" customHeight="1" x14ac:dyDescent="0.25">
      <c r="A93" s="108" t="s">
        <v>130</v>
      </c>
      <c r="B93" s="109"/>
      <c r="C93" s="115">
        <v>6460</v>
      </c>
      <c r="D93" s="111">
        <v>62.5</v>
      </c>
      <c r="E93" s="112">
        <v>13</v>
      </c>
      <c r="F93" s="90" t="str">
        <f>IFERROR(VLOOKUP($C93,[4]Nod!$A$3:$E$998,4,FALSE)," ")</f>
        <v>ECO230</v>
      </c>
      <c r="G93" s="90">
        <f>IFERROR(VLOOKUP($C93,[4]Nod!$A$3:$E$998,5,FALSE)," ")</f>
        <v>5</v>
      </c>
      <c r="L93" s="90"/>
      <c r="M93" s="90"/>
    </row>
    <row r="94" spans="1:13" ht="15" customHeight="1" x14ac:dyDescent="0.25">
      <c r="A94" s="108" t="s">
        <v>131</v>
      </c>
      <c r="B94" s="109"/>
      <c r="C94" s="115">
        <v>6460</v>
      </c>
      <c r="D94" s="111">
        <v>32.5</v>
      </c>
      <c r="E94" s="112">
        <v>13</v>
      </c>
      <c r="F94" s="90" t="str">
        <f>IFERROR(VLOOKUP($C94,[4]Nod!$A$3:$E$998,4,FALSE)," ")</f>
        <v>ECO230</v>
      </c>
      <c r="G94" s="90">
        <f>IFERROR(VLOOKUP($C94,[4]Nod!$A$3:$E$998,5,FALSE)," ")</f>
        <v>5</v>
      </c>
      <c r="L94" s="90"/>
      <c r="M94" s="90"/>
    </row>
    <row r="95" spans="1:13" ht="15" customHeight="1" x14ac:dyDescent="0.25">
      <c r="A95" s="108" t="s">
        <v>132</v>
      </c>
      <c r="B95" s="109"/>
      <c r="C95" s="137">
        <v>6240</v>
      </c>
      <c r="D95" s="111">
        <v>4.3</v>
      </c>
      <c r="E95" s="112">
        <v>0</v>
      </c>
      <c r="F95" s="90" t="str">
        <f>IFERROR(VLOOKUP($C95,[4]Nod!$A$3:$E$998,4,FALSE)," ")</f>
        <v>EHIG230</v>
      </c>
      <c r="G95" s="90">
        <f>IFERROR(VLOOKUP($C95,[4]Nod!$A$3:$E$998,5,FALSE)," ")</f>
        <v>5</v>
      </c>
      <c r="L95" s="90"/>
      <c r="M95" s="90"/>
    </row>
    <row r="96" spans="1:13" ht="15" customHeight="1" x14ac:dyDescent="0.25">
      <c r="A96" s="168" t="s">
        <v>133</v>
      </c>
      <c r="B96" s="109"/>
      <c r="C96" s="137">
        <v>6010</v>
      </c>
      <c r="D96" s="111">
        <v>10</v>
      </c>
      <c r="E96" s="112">
        <v>13</v>
      </c>
      <c r="F96" s="90" t="str">
        <f>IFERROR(VLOOKUP($C96,[4]Nod!$A$3:$E$998,4,FALSE)," ")</f>
        <v>LSA34</v>
      </c>
      <c r="G96" s="90">
        <f>IFERROR(VLOOKUP($C96,[4]Nod!$A$3:$E$998,5,FALSE)," ")</f>
        <v>5</v>
      </c>
      <c r="L96" s="90"/>
      <c r="M96" s="90"/>
    </row>
    <row r="97" spans="1:13" ht="15" customHeight="1" x14ac:dyDescent="0.25">
      <c r="A97" s="168" t="s">
        <v>134</v>
      </c>
      <c r="B97" s="109"/>
      <c r="C97" s="137">
        <v>6010</v>
      </c>
      <c r="D97" s="111">
        <v>16</v>
      </c>
      <c r="E97" s="112">
        <v>13</v>
      </c>
      <c r="F97" s="90" t="str">
        <f>IFERROR(VLOOKUP($C97,[4]Nod!$A$3:$E$998,4,FALSE)," ")</f>
        <v>LSA34</v>
      </c>
      <c r="G97" s="90">
        <f>IFERROR(VLOOKUP($C97,[4]Nod!$A$3:$E$998,5,FALSE)," ")</f>
        <v>5</v>
      </c>
      <c r="L97" s="90"/>
      <c r="M97" s="90"/>
    </row>
    <row r="98" spans="1:13" ht="15" customHeight="1" x14ac:dyDescent="0.25">
      <c r="A98" s="168" t="s">
        <v>135</v>
      </c>
      <c r="B98" s="109"/>
      <c r="C98" s="137">
        <v>6010</v>
      </c>
      <c r="D98" s="111">
        <v>4.79</v>
      </c>
      <c r="E98" s="112">
        <v>13</v>
      </c>
      <c r="F98" s="90" t="str">
        <f>IFERROR(VLOOKUP($C98,[4]Nod!$A$3:$E$998,4,FALSE)," ")</f>
        <v>LSA34</v>
      </c>
      <c r="G98" s="90">
        <f>IFERROR(VLOOKUP($C98,[4]Nod!$A$3:$E$998,5,FALSE)," ")</f>
        <v>5</v>
      </c>
      <c r="L98" s="90"/>
      <c r="M98" s="90"/>
    </row>
    <row r="99" spans="1:13" ht="15" customHeight="1" x14ac:dyDescent="0.25">
      <c r="A99" s="167" t="s">
        <v>160</v>
      </c>
      <c r="B99" s="109"/>
      <c r="C99" s="137">
        <v>6010</v>
      </c>
      <c r="D99" s="111">
        <v>9.9</v>
      </c>
      <c r="E99" s="112">
        <v>13</v>
      </c>
      <c r="F99" s="90" t="str">
        <f>IFERROR(VLOOKUP($C99,[4]Nod!$A$3:$E$998,4,FALSE)," ")</f>
        <v>LSA34</v>
      </c>
      <c r="G99" s="90">
        <f>IFERROR(VLOOKUP($C99,[4]Nod!$A$3:$E$998,5,FALSE)," ")</f>
        <v>5</v>
      </c>
      <c r="L99" s="90"/>
      <c r="M99" s="90"/>
    </row>
    <row r="100" spans="1:13" ht="15" customHeight="1" x14ac:dyDescent="0.25">
      <c r="A100" s="167" t="s">
        <v>161</v>
      </c>
      <c r="B100" s="109"/>
      <c r="C100" s="137">
        <v>6009</v>
      </c>
      <c r="D100" s="111">
        <v>44.33</v>
      </c>
      <c r="E100" s="112">
        <v>0</v>
      </c>
      <c r="F100" s="90" t="str">
        <f>IFERROR(VLOOKUP($C100,[4]Nod!$A$3:$E$998,4,FALSE)," ")</f>
        <v>LSA115</v>
      </c>
      <c r="G100" s="90">
        <f>IFERROR(VLOOKUP($C100,[4]Nod!$A$3:$E$998,5,FALSE)," ")</f>
        <v>5</v>
      </c>
      <c r="L100" s="90"/>
      <c r="M100" s="90"/>
    </row>
    <row r="101" spans="1:13" ht="15" customHeight="1" x14ac:dyDescent="0.25">
      <c r="A101" s="167" t="s">
        <v>162</v>
      </c>
      <c r="B101" s="109"/>
      <c r="C101" s="137">
        <v>6010</v>
      </c>
      <c r="D101" s="111">
        <v>9.99</v>
      </c>
      <c r="E101" s="112">
        <v>13</v>
      </c>
      <c r="F101" s="90" t="str">
        <f>IFERROR(VLOOKUP($C101,[4]Nod!$A$3:$E$998,4,FALSE)," ")</f>
        <v>LSA34</v>
      </c>
      <c r="G101" s="90">
        <f>IFERROR(VLOOKUP($C101,[4]Nod!$A$3:$E$998,5,FALSE)," ")</f>
        <v>5</v>
      </c>
      <c r="L101" s="90"/>
      <c r="M101" s="90"/>
    </row>
    <row r="102" spans="1:13" ht="15" customHeight="1" x14ac:dyDescent="0.25">
      <c r="A102" s="167" t="s">
        <v>163</v>
      </c>
      <c r="C102" s="115">
        <v>6830</v>
      </c>
      <c r="D102" s="129">
        <v>102</v>
      </c>
      <c r="E102" s="136">
        <v>13</v>
      </c>
      <c r="F102" s="90" t="str">
        <f>IFERROR(VLOOKUP($C102,[4]Nod!$A$3:$E$998,4,FALSE)," ")</f>
        <v>ANT230</v>
      </c>
      <c r="G102" s="90">
        <f>IFERROR(VLOOKUP($C102,[4]Nod!$A$3:$E$998,5,FALSE)," ")</f>
        <v>5</v>
      </c>
      <c r="L102" s="90"/>
      <c r="M102" s="90"/>
    </row>
    <row r="103" spans="1:13" ht="15" customHeight="1" x14ac:dyDescent="0.25">
      <c r="A103" s="167" t="s">
        <v>164</v>
      </c>
      <c r="C103" s="115">
        <v>6460</v>
      </c>
      <c r="D103" s="129">
        <v>69</v>
      </c>
      <c r="E103" s="136">
        <v>13</v>
      </c>
      <c r="F103" s="90" t="str">
        <f>IFERROR(VLOOKUP($C103,[4]Nod!$A$3:$E$998,4,FALSE)," ")</f>
        <v>ECO230</v>
      </c>
      <c r="G103" s="90">
        <f>IFERROR(VLOOKUP($C103,[4]Nod!$A$3:$E$998,5,FALSE)," ")</f>
        <v>5</v>
      </c>
      <c r="L103" s="90"/>
      <c r="M103" s="90"/>
    </row>
    <row r="104" spans="1:13" ht="15" customHeight="1" x14ac:dyDescent="0.25">
      <c r="A104" s="169" t="s">
        <v>167</v>
      </c>
      <c r="C104" s="115">
        <v>6010</v>
      </c>
      <c r="D104" s="129">
        <v>11.62</v>
      </c>
      <c r="E104" s="136">
        <v>7</v>
      </c>
      <c r="F104" s="90" t="str">
        <f>IFERROR(VLOOKUP($C104,[4]Nod!$A$3:$E$998,4,FALSE)," ")</f>
        <v>LSA34</v>
      </c>
      <c r="G104" s="90">
        <f>IFERROR(VLOOKUP($C104,[4]Nod!$A$3:$E$998,5,FALSE)," ")</f>
        <v>5</v>
      </c>
      <c r="L104" s="90"/>
      <c r="M104" s="90"/>
    </row>
    <row r="105" spans="1:13" ht="15" customHeight="1" x14ac:dyDescent="0.25">
      <c r="A105" s="114" t="s">
        <v>44</v>
      </c>
      <c r="B105" s="109"/>
      <c r="C105" s="110"/>
      <c r="D105" s="129"/>
      <c r="E105" s="112"/>
      <c r="F105" s="90" t="str">
        <f>IFERROR(VLOOKUP($C105,[4]Nod!$A$3:$E$998,4,FALSE)," ")</f>
        <v xml:space="preserve"> </v>
      </c>
      <c r="G105" s="90" t="str">
        <f>IFERROR(VLOOKUP($C105,[4]Nod!$A$3:$E$998,5,FALSE)," ")</f>
        <v xml:space="preserve"> </v>
      </c>
      <c r="L105" s="90"/>
      <c r="M105" s="90"/>
    </row>
    <row r="106" spans="1:13" ht="15" customHeight="1" x14ac:dyDescent="0.25">
      <c r="A106" s="121">
        <v>6</v>
      </c>
      <c r="B106" s="122"/>
      <c r="C106" s="123"/>
      <c r="D106" s="124">
        <f>SUM(D107:D109)</f>
        <v>147</v>
      </c>
      <c r="E106" s="128"/>
      <c r="F106" s="90" t="str">
        <f>IFERROR(VLOOKUP($C106,[4]Nod!$A$3:$E$998,4,FALSE)," ")</f>
        <v xml:space="preserve"> </v>
      </c>
      <c r="G106" s="90" t="str">
        <f>IFERROR(VLOOKUP($C106,[4]Nod!$A$3:$E$998,5,FALSE)," ")</f>
        <v xml:space="preserve"> </v>
      </c>
      <c r="L106" s="90"/>
      <c r="M106" s="90"/>
    </row>
    <row r="107" spans="1:13" ht="15" customHeight="1" x14ac:dyDescent="0.25">
      <c r="A107" s="108" t="s">
        <v>136</v>
      </c>
      <c r="B107" s="109"/>
      <c r="C107" s="115">
        <v>6005</v>
      </c>
      <c r="D107" s="111">
        <v>97</v>
      </c>
      <c r="E107" s="112">
        <v>0</v>
      </c>
      <c r="F107" s="90" t="str">
        <f>IFERROR(VLOOKUP($C107,[4]Nod!$A$3:$E$998,4,FALSE)," ")</f>
        <v>CHO230</v>
      </c>
      <c r="G107" s="90">
        <f>IFERROR(VLOOKUP($C107,[4]Nod!$A$3:$E$998,5,FALSE)," ")</f>
        <v>6</v>
      </c>
      <c r="L107" s="90"/>
      <c r="M107" s="90"/>
    </row>
    <row r="108" spans="1:13" ht="15" customHeight="1" x14ac:dyDescent="0.25">
      <c r="A108" s="108" t="s">
        <v>137</v>
      </c>
      <c r="B108" s="109"/>
      <c r="C108" s="115">
        <v>6005</v>
      </c>
      <c r="D108" s="111">
        <v>50</v>
      </c>
      <c r="E108" s="136">
        <v>0</v>
      </c>
      <c r="F108" s="90" t="str">
        <f>IFERROR(VLOOKUP($C108,[4]Nod!$A$3:$E$998,4,FALSE)," ")</f>
        <v>CHO230</v>
      </c>
      <c r="G108" s="90">
        <f>IFERROR(VLOOKUP($C108,[4]Nod!$A$3:$E$998,5,FALSE)," ")</f>
        <v>6</v>
      </c>
      <c r="L108" s="90"/>
      <c r="M108" s="90"/>
    </row>
    <row r="109" spans="1:13" ht="15" customHeight="1" x14ac:dyDescent="0.25">
      <c r="A109" s="148" t="s">
        <v>44</v>
      </c>
      <c r="B109" s="117"/>
      <c r="C109" s="118"/>
      <c r="D109" s="125"/>
      <c r="E109" s="133"/>
      <c r="F109" s="90" t="str">
        <f>IFERROR(VLOOKUP($C109,[4]Nod!$A$3:$E$998,4,FALSE)," ")</f>
        <v xml:space="preserve"> </v>
      </c>
      <c r="G109" s="90" t="str">
        <f>IFERROR(VLOOKUP($C109,[4]Nod!$A$3:$E$998,5,FALSE)," ")</f>
        <v xml:space="preserve"> </v>
      </c>
      <c r="L109" s="90"/>
      <c r="M109" s="90"/>
    </row>
    <row r="110" spans="1:13" ht="15" customHeight="1" x14ac:dyDescent="0.25">
      <c r="A110" s="103">
        <v>7</v>
      </c>
      <c r="B110" s="104"/>
      <c r="C110" s="105"/>
      <c r="D110" s="106">
        <f>SUM(D111:D114)</f>
        <v>195.98</v>
      </c>
      <c r="E110" s="107"/>
      <c r="F110" s="90" t="str">
        <f>IFERROR(VLOOKUP($C110,[4]Nod!$A$3:$E$998,4,FALSE)," ")</f>
        <v xml:space="preserve"> </v>
      </c>
      <c r="G110" s="90" t="str">
        <f>IFERROR(VLOOKUP($C110,[4]Nod!$A$3:$E$998,5,FALSE)," ")</f>
        <v xml:space="preserve"> </v>
      </c>
      <c r="K110" s="156"/>
      <c r="L110" s="90"/>
      <c r="M110" s="90"/>
    </row>
    <row r="111" spans="1:13" ht="15" customHeight="1" x14ac:dyDescent="0.25">
      <c r="A111" s="120" t="s">
        <v>138</v>
      </c>
      <c r="B111" s="149"/>
      <c r="C111" s="115">
        <v>6018</v>
      </c>
      <c r="D111" s="111">
        <v>135.63</v>
      </c>
      <c r="E111" s="136">
        <v>0</v>
      </c>
      <c r="F111" s="90" t="str">
        <f>IFERROR(VLOOKUP($C111,[4]Nod!$A$3:$E$998,4,FALSE)," ")</f>
        <v>CAC115</v>
      </c>
      <c r="G111" s="90">
        <f>IFERROR(VLOOKUP($C111,[4]Nod!$A$3:$E$998,5,FALSE)," ")</f>
        <v>7</v>
      </c>
      <c r="K111" s="156"/>
      <c r="L111" s="90"/>
      <c r="M111" s="90"/>
    </row>
    <row r="112" spans="1:13" ht="15" customHeight="1" x14ac:dyDescent="0.25">
      <c r="A112" s="108" t="s">
        <v>139</v>
      </c>
      <c r="B112" s="109"/>
      <c r="C112" s="115">
        <v>6170</v>
      </c>
      <c r="D112" s="111">
        <v>50.35</v>
      </c>
      <c r="E112" s="112">
        <v>0</v>
      </c>
      <c r="F112" s="90" t="str">
        <f>IFERROR(VLOOKUP($C112,[4]Nod!$A$3:$E$998,4,FALSE)," ")</f>
        <v>CPA115</v>
      </c>
      <c r="G112" s="90">
        <f>IFERROR(VLOOKUP($C112,[4]Nod!$A$3:$E$998,5,FALSE)," ")</f>
        <v>7</v>
      </c>
      <c r="K112" s="156"/>
      <c r="L112" s="90"/>
      <c r="M112" s="90"/>
    </row>
    <row r="113" spans="1:13" ht="15" customHeight="1" x14ac:dyDescent="0.25">
      <c r="A113" s="120" t="s">
        <v>140</v>
      </c>
      <c r="B113" s="109"/>
      <c r="C113" s="115">
        <v>6002</v>
      </c>
      <c r="D113" s="111">
        <v>10</v>
      </c>
      <c r="E113" s="112">
        <v>0</v>
      </c>
      <c r="F113" s="90" t="str">
        <f>IFERROR(VLOOKUP($C113,[4]Nod!$A$3:$E$998,4,FALSE)," ")</f>
        <v>PAN115</v>
      </c>
      <c r="G113" s="90">
        <f>IFERROR(VLOOKUP($C113,[4]Nod!$A$3:$E$998,5,FALSE)," ")</f>
        <v>7</v>
      </c>
      <c r="K113" s="156"/>
      <c r="L113" s="90"/>
      <c r="M113" s="90"/>
    </row>
    <row r="114" spans="1:13" ht="15" customHeight="1" x14ac:dyDescent="0.25">
      <c r="A114" s="114" t="s">
        <v>44</v>
      </c>
      <c r="B114" s="150"/>
      <c r="C114" s="151"/>
      <c r="D114" s="152"/>
      <c r="E114" s="153"/>
      <c r="F114" s="90" t="str">
        <f>IFERROR(VLOOKUP($C114,[4]Nod!$A$3:$E$998,4,FALSE)," ")</f>
        <v xml:space="preserve"> </v>
      </c>
      <c r="G114" s="90" t="str">
        <f>IFERROR(VLOOKUP($C114,[4]Nod!$A$3:$E$998,5,FALSE)," ")</f>
        <v xml:space="preserve"> </v>
      </c>
      <c r="K114" s="156"/>
      <c r="L114" s="90"/>
      <c r="M114" s="90"/>
    </row>
    <row r="115" spans="1:13" ht="15" customHeight="1" x14ac:dyDescent="0.25">
      <c r="A115" s="121">
        <v>8</v>
      </c>
      <c r="B115" s="154"/>
      <c r="C115" s="123"/>
      <c r="D115" s="124">
        <f>SUM(D116:D117)</f>
        <v>260</v>
      </c>
      <c r="E115" s="128"/>
      <c r="F115" s="90" t="str">
        <f>IFERROR(VLOOKUP($C115,[4]Nod!$A$3:$E$998,4,FALSE)," ")</f>
        <v xml:space="preserve"> </v>
      </c>
      <c r="G115" s="90" t="str">
        <f>IFERROR(VLOOKUP($C115,[4]Nod!$A$3:$E$998,5,FALSE)," ")</f>
        <v xml:space="preserve"> </v>
      </c>
      <c r="K115" s="156"/>
      <c r="L115" s="90"/>
      <c r="M115" s="90"/>
    </row>
    <row r="116" spans="1:13" ht="15" customHeight="1" x14ac:dyDescent="0.25">
      <c r="A116" s="108" t="s">
        <v>142</v>
      </c>
      <c r="B116" s="109"/>
      <c r="C116" s="115">
        <v>6100</v>
      </c>
      <c r="D116" s="111">
        <v>260</v>
      </c>
      <c r="E116" s="112">
        <v>0</v>
      </c>
      <c r="F116" s="90" t="str">
        <f>IFERROR(VLOOKUP($C116,[4]Nod!$A$3:$E$998,4,FALSE)," ")</f>
        <v>BAY230</v>
      </c>
      <c r="G116" s="90">
        <f>IFERROR(VLOOKUP($C116,[4]Nod!$A$3:$E$998,5,FALSE)," ")</f>
        <v>8</v>
      </c>
      <c r="K116" s="156"/>
      <c r="L116" s="90"/>
      <c r="M116" s="90"/>
    </row>
    <row r="117" spans="1:13" ht="15" customHeight="1" x14ac:dyDescent="0.25">
      <c r="A117" s="114" t="s">
        <v>44</v>
      </c>
      <c r="B117" s="117"/>
      <c r="C117" s="118"/>
      <c r="D117" s="125"/>
      <c r="E117" s="133"/>
      <c r="F117" s="90" t="str">
        <f>IFERROR(VLOOKUP($C117,[4]Nod!$A$3:$E$998,4,FALSE)," ")</f>
        <v xml:space="preserve"> </v>
      </c>
      <c r="G117" s="90" t="str">
        <f>IFERROR(VLOOKUP($C117,[4]Nod!$A$3:$E$998,5,FALSE)," ")</f>
        <v xml:space="preserve"> </v>
      </c>
      <c r="K117" s="156"/>
      <c r="L117" s="90"/>
      <c r="M117" s="90"/>
    </row>
    <row r="118" spans="1:13" ht="15" customHeight="1" x14ac:dyDescent="0.25">
      <c r="A118" s="121">
        <v>9</v>
      </c>
      <c r="B118" s="154"/>
      <c r="C118" s="155"/>
      <c r="D118" s="106">
        <f>SUM(D119:D129)</f>
        <v>1593.53</v>
      </c>
      <c r="E118" s="107"/>
      <c r="F118" s="90" t="str">
        <f>IFERROR(VLOOKUP($C118,[4]Nod!$A$3:$E$998,4,FALSE)," ")</f>
        <v xml:space="preserve"> </v>
      </c>
      <c r="G118" s="90" t="str">
        <f>IFERROR(VLOOKUP($C118,[4]Nod!$A$3:$E$998,5,FALSE)," ")</f>
        <v xml:space="preserve"> </v>
      </c>
      <c r="K118" s="156"/>
      <c r="L118" s="90"/>
      <c r="M118" s="90"/>
    </row>
    <row r="119" spans="1:13" ht="15" customHeight="1" x14ac:dyDescent="0.25">
      <c r="A119" s="108" t="s">
        <v>143</v>
      </c>
      <c r="B119" s="109"/>
      <c r="C119" s="115">
        <v>6059</v>
      </c>
      <c r="D119" s="111">
        <v>160</v>
      </c>
      <c r="E119" s="112">
        <v>0</v>
      </c>
      <c r="F119" s="90" t="str">
        <f>IFERROR(VLOOKUP($C119,[4]Nod!$A$3:$E$998,4,FALSE)," ")</f>
        <v>LM1115</v>
      </c>
      <c r="G119" s="90">
        <f>IFERROR(VLOOKUP($C119,[4]Nod!$A$3:$E$998,5,FALSE)," ")</f>
        <v>9</v>
      </c>
      <c r="K119" s="156"/>
      <c r="L119" s="90"/>
      <c r="M119" s="90"/>
    </row>
    <row r="120" spans="1:13" ht="15" customHeight="1" x14ac:dyDescent="0.25">
      <c r="A120" s="108" t="s">
        <v>144</v>
      </c>
      <c r="B120" s="109"/>
      <c r="C120" s="115">
        <v>6060</v>
      </c>
      <c r="D120" s="111">
        <v>120</v>
      </c>
      <c r="E120" s="112">
        <v>0</v>
      </c>
      <c r="F120" s="90" t="str">
        <f>IFERROR(VLOOKUP($C120,[4]Nod!$A$3:$E$998,4,FALSE)," ")</f>
        <v>LM2115</v>
      </c>
      <c r="G120" s="90">
        <f>IFERROR(VLOOKUP($C120,[4]Nod!$A$3:$E$998,5,FALSE)," ")</f>
        <v>9</v>
      </c>
      <c r="K120" s="156"/>
      <c r="L120" s="90"/>
      <c r="M120" s="90"/>
    </row>
    <row r="121" spans="1:13" ht="15" customHeight="1" x14ac:dyDescent="0.25">
      <c r="A121" s="108" t="s">
        <v>145</v>
      </c>
      <c r="B121" s="109"/>
      <c r="C121" s="115">
        <v>6059</v>
      </c>
      <c r="D121" s="111">
        <v>87.2</v>
      </c>
      <c r="E121" s="112">
        <v>0</v>
      </c>
      <c r="F121" s="90" t="str">
        <f>IFERROR(VLOOKUP($C121,[4]Nod!$A$3:$E$998,4,FALSE)," ")</f>
        <v>LM1115</v>
      </c>
      <c r="G121" s="90">
        <f>IFERROR(VLOOKUP($C121,[4]Nod!$A$3:$E$998,5,FALSE)," ")</f>
        <v>9</v>
      </c>
      <c r="K121" s="156"/>
      <c r="L121" s="90"/>
      <c r="M121" s="90"/>
    </row>
    <row r="122" spans="1:13" ht="15" customHeight="1" x14ac:dyDescent="0.25">
      <c r="A122" s="108" t="s">
        <v>146</v>
      </c>
      <c r="B122" s="109"/>
      <c r="C122" s="115">
        <v>6290</v>
      </c>
      <c r="D122" s="111">
        <v>150</v>
      </c>
      <c r="E122" s="112">
        <v>0</v>
      </c>
      <c r="F122" s="90" t="str">
        <f>IFERROR(VLOOKUP($C122,[4]Nod!$A$3:$E$998,4,FALSE)," ")</f>
        <v>CATII115</v>
      </c>
      <c r="G122" s="90">
        <f>IFERROR(VLOOKUP($C122,[4]Nod!$A$3:$E$998,5,FALSE)," ")</f>
        <v>9</v>
      </c>
      <c r="K122" s="156"/>
      <c r="L122" s="90"/>
      <c r="M122" s="90"/>
    </row>
    <row r="123" spans="1:13" ht="15" customHeight="1" x14ac:dyDescent="0.25">
      <c r="A123" s="108" t="s">
        <v>147</v>
      </c>
      <c r="B123" s="109"/>
      <c r="C123" s="115">
        <v>6171</v>
      </c>
      <c r="D123" s="111">
        <v>53.53</v>
      </c>
      <c r="E123" s="112">
        <v>0</v>
      </c>
      <c r="F123" s="90" t="str">
        <f>IFERROR(VLOOKUP($C123,[4]Nod!$A$3:$E$998,4,FALSE)," ")</f>
        <v>PAC230</v>
      </c>
      <c r="G123" s="90">
        <f>IFERROR(VLOOKUP($C123,[4]Nod!$A$3:$E$998,5,FALSE)," ")</f>
        <v>9</v>
      </c>
      <c r="K123" s="156"/>
      <c r="L123" s="90"/>
      <c r="M123" s="90"/>
    </row>
    <row r="124" spans="1:13" ht="15" customHeight="1" x14ac:dyDescent="0.25">
      <c r="A124" s="108" t="s">
        <v>148</v>
      </c>
      <c r="B124" s="109"/>
      <c r="C124" s="115">
        <v>6059</v>
      </c>
      <c r="D124" s="111">
        <v>72</v>
      </c>
      <c r="E124" s="112">
        <v>0</v>
      </c>
      <c r="F124" s="90" t="str">
        <f>IFERROR(VLOOKUP($C124,[4]Nod!$A$3:$E$998,4,FALSE)," ")</f>
        <v>LM1115</v>
      </c>
      <c r="G124" s="90">
        <f>IFERROR(VLOOKUP($C124,[4]Nod!$A$3:$E$998,5,FALSE)," ")</f>
        <v>9</v>
      </c>
      <c r="K124" s="156"/>
      <c r="L124" s="90"/>
      <c r="M124" s="90"/>
    </row>
    <row r="125" spans="1:13" ht="15" customHeight="1" x14ac:dyDescent="0.25">
      <c r="A125" s="108" t="s">
        <v>149</v>
      </c>
      <c r="B125" s="109"/>
      <c r="C125" s="115">
        <v>6173</v>
      </c>
      <c r="D125" s="111">
        <v>57.8</v>
      </c>
      <c r="E125" s="136">
        <v>0</v>
      </c>
      <c r="F125" s="90" t="str">
        <f>IFERROR(VLOOKUP($C125,[4]Nod!$A$3:$E$998,4,FALSE)," ")</f>
        <v>STR115</v>
      </c>
      <c r="G125" s="90">
        <f>IFERROR(VLOOKUP($C125,[4]Nod!$A$3:$E$998,5,FALSE)," ")</f>
        <v>9</v>
      </c>
      <c r="K125" s="156"/>
      <c r="L125" s="90"/>
      <c r="M125" s="90"/>
    </row>
    <row r="126" spans="1:13" ht="15" customHeight="1" x14ac:dyDescent="0.25">
      <c r="A126" s="108" t="s">
        <v>150</v>
      </c>
      <c r="B126" s="109"/>
      <c r="C126" s="115">
        <v>6059</v>
      </c>
      <c r="D126" s="111">
        <v>92</v>
      </c>
      <c r="E126" s="136">
        <v>0</v>
      </c>
      <c r="F126" s="90" t="str">
        <f>IFERROR(VLOOKUP($C126,[4]Nod!$A$3:$E$998,4,FALSE)," ")</f>
        <v>LM1115</v>
      </c>
      <c r="G126" s="90">
        <f>IFERROR(VLOOKUP($C126,[4]Nod!$A$3:$E$998,5,FALSE)," ")</f>
        <v>9</v>
      </c>
      <c r="K126" s="156"/>
      <c r="L126" s="90"/>
      <c r="M126" s="90"/>
    </row>
    <row r="127" spans="1:13" ht="15" customHeight="1" x14ac:dyDescent="0.25">
      <c r="A127" s="168" t="s">
        <v>141</v>
      </c>
      <c r="B127" s="109"/>
      <c r="C127" s="115">
        <v>6801</v>
      </c>
      <c r="D127" s="111">
        <v>381</v>
      </c>
      <c r="E127" s="136">
        <v>0</v>
      </c>
      <c r="F127" s="90" t="str">
        <f>IFERROR(VLOOKUP($C127,[4]Nod!$A$3:$E$998,4,FALSE)," ")</f>
        <v xml:space="preserve"> </v>
      </c>
      <c r="G127" s="90" t="str">
        <f>IFERROR(VLOOKUP($C127,[4]Nod!$A$3:$E$998,5,FALSE)," ")</f>
        <v xml:space="preserve"> </v>
      </c>
      <c r="K127" s="156"/>
      <c r="L127" s="90"/>
      <c r="M127" s="90"/>
    </row>
    <row r="128" spans="1:13" ht="15" customHeight="1" x14ac:dyDescent="0.25">
      <c r="A128" s="170" t="s">
        <v>168</v>
      </c>
      <c r="B128" s="109"/>
      <c r="C128" s="115">
        <v>6801</v>
      </c>
      <c r="D128" s="111">
        <v>420</v>
      </c>
      <c r="E128" s="136">
        <v>11</v>
      </c>
      <c r="F128" s="90" t="str">
        <f>IFERROR(VLOOKUP($C128,[4]Nod!$A$3:$E$998,4,FALSE)," ")</f>
        <v xml:space="preserve"> </v>
      </c>
      <c r="G128" s="90" t="str">
        <f>IFERROR(VLOOKUP($C128,[4]Nod!$A$3:$E$998,5,FALSE)," ")</f>
        <v xml:space="preserve"> </v>
      </c>
      <c r="K128" s="156"/>
      <c r="L128" s="90"/>
      <c r="M128" s="90"/>
    </row>
    <row r="129" spans="1:13" ht="15" customHeight="1" x14ac:dyDescent="0.25">
      <c r="A129" s="114" t="s">
        <v>44</v>
      </c>
      <c r="B129" s="109"/>
      <c r="C129" s="115"/>
      <c r="D129" s="157"/>
      <c r="E129" s="112"/>
      <c r="F129" s="90" t="str">
        <f>IFERROR(VLOOKUP($C129,[4]Nod!$A$3:$E$998,4,FALSE)," ")</f>
        <v xml:space="preserve"> </v>
      </c>
      <c r="G129" s="90" t="str">
        <f>IFERROR(VLOOKUP($C129,[4]Nod!$A$3:$E$998,5,FALSE)," ")</f>
        <v xml:space="preserve"> </v>
      </c>
      <c r="K129" s="156"/>
      <c r="L129" s="90"/>
      <c r="M129" s="90"/>
    </row>
    <row r="130" spans="1:13" ht="15" customHeight="1" x14ac:dyDescent="0.25">
      <c r="A130" s="121">
        <v>10</v>
      </c>
      <c r="B130" s="154"/>
      <c r="C130" s="158"/>
      <c r="D130" s="124">
        <f>SUM(D131:D133)</f>
        <v>252.17</v>
      </c>
      <c r="E130" s="128"/>
      <c r="F130" s="90" t="str">
        <f>IFERROR(VLOOKUP($C130,[4]Nod!$A$3:$E$998,4,FALSE)," ")</f>
        <v xml:space="preserve"> </v>
      </c>
      <c r="G130" s="90" t="str">
        <f>IFERROR(VLOOKUP($C130,[4]Nod!$A$3:$E$998,5,FALSE)," ")</f>
        <v xml:space="preserve"> </v>
      </c>
      <c r="K130" s="156"/>
      <c r="L130" s="90"/>
      <c r="M130" s="90"/>
    </row>
    <row r="131" spans="1:13" ht="15" customHeight="1" x14ac:dyDescent="0.25">
      <c r="A131" s="108" t="s">
        <v>151</v>
      </c>
      <c r="B131" s="109"/>
      <c r="C131" s="115">
        <v>6263</v>
      </c>
      <c r="D131" s="111">
        <v>222.17</v>
      </c>
      <c r="E131" s="112">
        <v>0</v>
      </c>
      <c r="F131" s="90" t="str">
        <f>IFERROR(VLOOKUP($C131,[4]Nod!$A$3:$E$998,4,FALSE)," ")</f>
        <v>ESP230</v>
      </c>
      <c r="G131" s="90">
        <f>IFERROR(VLOOKUP($C131,[4]Nod!$A$3:$E$998,5,FALSE)," ")</f>
        <v>10</v>
      </c>
      <c r="K131" s="156"/>
      <c r="L131" s="90"/>
      <c r="M131" s="90"/>
    </row>
    <row r="132" spans="1:13" ht="15" customHeight="1" x14ac:dyDescent="0.25">
      <c r="A132" s="108" t="s">
        <v>152</v>
      </c>
      <c r="B132" s="109"/>
      <c r="C132" s="115">
        <v>6261</v>
      </c>
      <c r="D132" s="111">
        <v>30</v>
      </c>
      <c r="E132" s="112">
        <v>0</v>
      </c>
      <c r="F132" s="90" t="str">
        <f>IFERROR(VLOOKUP($C132,[4]Nod!$A$3:$E$998,4,FALSE)," ")</f>
        <v>CHA115</v>
      </c>
      <c r="G132" s="90">
        <f>IFERROR(VLOOKUP($C132,[4]Nod!$A$3:$E$998,5,FALSE)," ")</f>
        <v>10</v>
      </c>
      <c r="K132" s="156"/>
      <c r="L132" s="90"/>
      <c r="M132" s="90"/>
    </row>
    <row r="133" spans="1:13" ht="15" customHeight="1" x14ac:dyDescent="0.25">
      <c r="A133" s="148" t="s">
        <v>44</v>
      </c>
      <c r="B133" s="117"/>
      <c r="C133" s="134"/>
      <c r="D133" s="119"/>
      <c r="E133" s="133"/>
      <c r="F133" s="90" t="str">
        <f>IFERROR(VLOOKUP($C133,[4]Nod!$A$3:$E$998,4,FALSE)," ")</f>
        <v xml:space="preserve"> </v>
      </c>
      <c r="G133" s="90" t="str">
        <f>IFERROR(VLOOKUP($C133,[4]Nod!$A$3:$E$998,5,FALSE)," ")</f>
        <v xml:space="preserve"> </v>
      </c>
      <c r="K133" s="156"/>
      <c r="L133" s="90"/>
      <c r="M133" s="90"/>
    </row>
    <row r="134" spans="1:13" ht="15" customHeight="1" x14ac:dyDescent="0.25">
      <c r="D134" s="156"/>
      <c r="F134" s="90"/>
      <c r="G134" s="90"/>
      <c r="K134" s="156"/>
      <c r="L134" s="90"/>
      <c r="M134" s="90"/>
    </row>
    <row r="135" spans="1:13" ht="15" customHeight="1" x14ac:dyDescent="0.2">
      <c r="A135" s="159"/>
      <c r="D135" s="156"/>
      <c r="F135" s="90"/>
      <c r="G135" s="90"/>
      <c r="K135" s="156"/>
      <c r="L135" s="90"/>
      <c r="M135" s="90"/>
    </row>
    <row r="136" spans="1:13" ht="15" customHeight="1" x14ac:dyDescent="0.2">
      <c r="A136" s="159"/>
      <c r="D136" s="156"/>
      <c r="F136" s="90"/>
      <c r="G136" s="90"/>
      <c r="K136" s="156"/>
      <c r="L136" s="90"/>
      <c r="M136" s="90"/>
    </row>
    <row r="137" spans="1:13" ht="15" customHeight="1" x14ac:dyDescent="0.25">
      <c r="D137" s="156"/>
      <c r="F137" s="90"/>
      <c r="G137" s="90"/>
      <c r="K137" s="156"/>
      <c r="L137" s="90"/>
      <c r="M137" s="90"/>
    </row>
    <row r="138" spans="1:13" ht="15" customHeight="1" x14ac:dyDescent="0.25">
      <c r="D138" s="156"/>
      <c r="F138" s="90"/>
      <c r="G138" s="90"/>
      <c r="K138" s="156"/>
      <c r="L138" s="90"/>
      <c r="M138" s="90"/>
    </row>
    <row r="139" spans="1:13" ht="15" customHeight="1" x14ac:dyDescent="0.25">
      <c r="D139" s="156"/>
      <c r="F139" s="90"/>
      <c r="G139" s="90"/>
      <c r="K139" s="156"/>
      <c r="L139" s="90"/>
      <c r="M139" s="90"/>
    </row>
    <row r="140" spans="1:13" ht="15" customHeight="1" x14ac:dyDescent="0.25">
      <c r="D140" s="156"/>
      <c r="F140" s="90"/>
      <c r="G140" s="90"/>
      <c r="K140" s="156"/>
      <c r="L140" s="90"/>
      <c r="M140" s="90"/>
    </row>
    <row r="141" spans="1:13" ht="15" customHeight="1" x14ac:dyDescent="0.25">
      <c r="D141" s="156"/>
      <c r="F141" s="90"/>
      <c r="G141" s="90"/>
      <c r="K141" s="156"/>
      <c r="L141" s="90"/>
      <c r="M141" s="90"/>
    </row>
    <row r="142" spans="1:13" ht="15" customHeight="1" x14ac:dyDescent="0.25">
      <c r="D142" s="156"/>
      <c r="F142" s="90"/>
      <c r="G142" s="90"/>
      <c r="K142" s="156"/>
      <c r="L142" s="90"/>
      <c r="M142" s="90"/>
    </row>
    <row r="143" spans="1:13" ht="15" customHeight="1" x14ac:dyDescent="0.25">
      <c r="D143" s="156"/>
      <c r="F143" s="90"/>
      <c r="G143" s="90"/>
      <c r="K143" s="156"/>
      <c r="L143" s="90"/>
      <c r="M143" s="90"/>
    </row>
    <row r="144" spans="1:13" ht="15" customHeight="1" x14ac:dyDescent="0.25">
      <c r="D144" s="156"/>
      <c r="F144" s="90"/>
      <c r="G144" s="90"/>
      <c r="K144" s="156"/>
      <c r="L144" s="90"/>
      <c r="M144" s="90"/>
    </row>
    <row r="145" spans="4:13" ht="15" customHeight="1" x14ac:dyDescent="0.25">
      <c r="D145" s="156"/>
      <c r="F145" s="90"/>
      <c r="G145" s="90"/>
      <c r="K145" s="156"/>
      <c r="L145" s="90"/>
      <c r="M145" s="90"/>
    </row>
    <row r="146" spans="4:13" ht="15" customHeight="1" x14ac:dyDescent="0.25">
      <c r="D146" s="156"/>
      <c r="F146" s="90"/>
      <c r="G146" s="90"/>
      <c r="K146" s="156"/>
      <c r="L146" s="90"/>
      <c r="M146" s="90"/>
    </row>
    <row r="147" spans="4:13" ht="15" customHeight="1" x14ac:dyDescent="0.25">
      <c r="D147" s="156"/>
      <c r="F147" s="90"/>
      <c r="G147" s="90"/>
      <c r="K147" s="156"/>
      <c r="L147" s="90"/>
      <c r="M147" s="90"/>
    </row>
    <row r="148" spans="4:13" ht="15" customHeight="1" x14ac:dyDescent="0.25">
      <c r="D148" s="156"/>
      <c r="F148" s="90"/>
      <c r="G148" s="90"/>
      <c r="K148" s="156"/>
      <c r="L148" s="90"/>
      <c r="M148" s="90"/>
    </row>
    <row r="149" spans="4:13" ht="15" customHeight="1" x14ac:dyDescent="0.25">
      <c r="D149" s="156"/>
      <c r="F149" s="90"/>
      <c r="G149" s="90"/>
      <c r="K149" s="156"/>
      <c r="L149" s="90"/>
      <c r="M149" s="90"/>
    </row>
    <row r="150" spans="4:13" ht="15" customHeight="1" x14ac:dyDescent="0.25">
      <c r="D150" s="156"/>
      <c r="F150" s="90"/>
      <c r="G150" s="90"/>
      <c r="L150" s="90"/>
      <c r="M150" s="90"/>
    </row>
    <row r="151" spans="4:13" ht="15" customHeight="1" x14ac:dyDescent="0.25">
      <c r="D151" s="156"/>
      <c r="F151" s="90"/>
      <c r="G151" s="90"/>
      <c r="L151" s="90"/>
      <c r="M151" s="90"/>
    </row>
    <row r="152" spans="4:13" ht="15" customHeight="1" x14ac:dyDescent="0.25">
      <c r="D152" s="156"/>
      <c r="F152" s="90"/>
      <c r="G152" s="90"/>
      <c r="L152" s="90"/>
      <c r="M152" s="90"/>
    </row>
    <row r="153" spans="4:13" ht="15" customHeight="1" x14ac:dyDescent="0.25">
      <c r="D153" s="156"/>
      <c r="F153" s="90"/>
      <c r="G153" s="90"/>
      <c r="L153" s="90"/>
      <c r="M153" s="90"/>
    </row>
    <row r="154" spans="4:13" ht="15" customHeight="1" x14ac:dyDescent="0.25">
      <c r="D154" s="156"/>
      <c r="F154" s="90"/>
      <c r="G154" s="90"/>
      <c r="L154" s="90"/>
      <c r="M154" s="90"/>
    </row>
    <row r="155" spans="4:13" ht="15" customHeight="1" x14ac:dyDescent="0.25">
      <c r="D155" s="156"/>
      <c r="F155" s="90"/>
      <c r="G155" s="90"/>
      <c r="L155" s="90"/>
      <c r="M155" s="90"/>
    </row>
    <row r="156" spans="4:13" ht="15" customHeight="1" x14ac:dyDescent="0.25">
      <c r="D156" s="156"/>
      <c r="F156" s="90"/>
      <c r="G156" s="90"/>
      <c r="L156" s="90"/>
      <c r="M156" s="90"/>
    </row>
    <row r="157" spans="4:13" ht="15" customHeight="1" x14ac:dyDescent="0.25">
      <c r="D157" s="156"/>
      <c r="F157" s="90"/>
      <c r="G157" s="90"/>
      <c r="L157" s="90"/>
      <c r="M157" s="90"/>
    </row>
    <row r="158" spans="4:13" ht="15" customHeight="1" x14ac:dyDescent="0.25">
      <c r="D158" s="156"/>
      <c r="F158" s="90"/>
      <c r="G158" s="90"/>
      <c r="L158" s="90"/>
      <c r="M158" s="90"/>
    </row>
    <row r="159" spans="4:13" ht="15" customHeight="1" x14ac:dyDescent="0.25">
      <c r="D159" s="156"/>
      <c r="F159" s="90"/>
      <c r="G159" s="90"/>
      <c r="L159" s="90"/>
      <c r="M159" s="90"/>
    </row>
    <row r="160" spans="4:13" ht="15" customHeight="1" x14ac:dyDescent="0.25">
      <c r="D160" s="156"/>
      <c r="F160" s="90"/>
      <c r="G160" s="90"/>
      <c r="L160" s="90"/>
      <c r="M160" s="90"/>
    </row>
    <row r="161" spans="4:13" ht="15" customHeight="1" x14ac:dyDescent="0.25">
      <c r="D161" s="156"/>
      <c r="F161" s="90"/>
      <c r="G161" s="90"/>
      <c r="L161" s="90"/>
      <c r="M161" s="90"/>
    </row>
    <row r="162" spans="4:13" ht="15" customHeight="1" x14ac:dyDescent="0.25">
      <c r="D162" s="156"/>
      <c r="F162" s="90"/>
      <c r="G162" s="90"/>
      <c r="L162" s="90"/>
      <c r="M162" s="90"/>
    </row>
    <row r="163" spans="4:13" ht="15" customHeight="1" x14ac:dyDescent="0.25">
      <c r="D163" s="156"/>
      <c r="F163" s="90"/>
      <c r="G163" s="90"/>
      <c r="L163" s="90"/>
      <c r="M163" s="90"/>
    </row>
    <row r="164" spans="4:13" ht="15" customHeight="1" x14ac:dyDescent="0.25">
      <c r="D164" s="156"/>
      <c r="F164" s="90"/>
      <c r="G164" s="90"/>
      <c r="L164" s="90"/>
      <c r="M164" s="90"/>
    </row>
    <row r="165" spans="4:13" ht="15" customHeight="1" x14ac:dyDescent="0.25">
      <c r="D165" s="156"/>
      <c r="F165" s="90"/>
      <c r="G165" s="90"/>
      <c r="L165" s="90"/>
      <c r="M165" s="90"/>
    </row>
    <row r="166" spans="4:13" ht="15" customHeight="1" x14ac:dyDescent="0.25">
      <c r="D166" s="156"/>
      <c r="F166" s="90"/>
      <c r="G166" s="90"/>
      <c r="L166" s="90"/>
      <c r="M166" s="90"/>
    </row>
    <row r="167" spans="4:13" ht="15" customHeight="1" x14ac:dyDescent="0.25">
      <c r="D167" s="156"/>
      <c r="F167" s="90"/>
      <c r="G167" s="90"/>
      <c r="L167" s="90"/>
      <c r="M167" s="90"/>
    </row>
    <row r="168" spans="4:13" ht="15" customHeight="1" x14ac:dyDescent="0.25">
      <c r="D168" s="156"/>
      <c r="F168" s="90"/>
      <c r="G168" s="90"/>
      <c r="L168" s="90"/>
      <c r="M168" s="90"/>
    </row>
    <row r="169" spans="4:13" ht="15" customHeight="1" x14ac:dyDescent="0.25">
      <c r="D169" s="156"/>
      <c r="F169" s="90"/>
      <c r="G169" s="90"/>
      <c r="L169" s="90"/>
      <c r="M169" s="90"/>
    </row>
    <row r="170" spans="4:13" ht="15" customHeight="1" x14ac:dyDescent="0.25">
      <c r="D170" s="156"/>
      <c r="F170" s="90"/>
      <c r="G170" s="90"/>
      <c r="L170" s="90"/>
      <c r="M170" s="90"/>
    </row>
    <row r="171" spans="4:13" ht="15" customHeight="1" x14ac:dyDescent="0.25">
      <c r="D171" s="156"/>
      <c r="F171" s="90"/>
      <c r="G171" s="90"/>
      <c r="L171" s="90"/>
      <c r="M171" s="90"/>
    </row>
    <row r="172" spans="4:13" ht="15" customHeight="1" x14ac:dyDescent="0.25">
      <c r="D172" s="156"/>
      <c r="F172" s="90"/>
      <c r="G172" s="90"/>
      <c r="L172" s="90"/>
      <c r="M172" s="90"/>
    </row>
    <row r="173" spans="4:13" ht="15" customHeight="1" x14ac:dyDescent="0.25">
      <c r="D173" s="156"/>
      <c r="F173" s="90"/>
      <c r="G173" s="90"/>
      <c r="L173" s="90"/>
      <c r="M173" s="90"/>
    </row>
    <row r="174" spans="4:13" ht="15" customHeight="1" x14ac:dyDescent="0.25">
      <c r="F174" s="90"/>
      <c r="G174" s="90"/>
      <c r="L174" s="90"/>
      <c r="M174" s="90"/>
    </row>
    <row r="175" spans="4:13" ht="15" customHeight="1" x14ac:dyDescent="0.25">
      <c r="F175" s="90"/>
      <c r="G175" s="90"/>
      <c r="L175" s="90"/>
      <c r="M175" s="90"/>
    </row>
    <row r="176" spans="4:13" ht="15" customHeight="1" x14ac:dyDescent="0.25">
      <c r="F176" s="90"/>
      <c r="G176" s="90"/>
      <c r="L176" s="90"/>
      <c r="M176" s="90"/>
    </row>
    <row r="177" spans="6:13" ht="15" customHeight="1" x14ac:dyDescent="0.25">
      <c r="F177" s="90"/>
      <c r="G177" s="90"/>
      <c r="L177" s="90"/>
      <c r="M177" s="90"/>
    </row>
    <row r="178" spans="6:13" ht="15" customHeight="1" x14ac:dyDescent="0.25">
      <c r="F178" s="90"/>
      <c r="G178" s="90"/>
      <c r="L178" s="90"/>
      <c r="M178" s="90"/>
    </row>
    <row r="179" spans="6:13" ht="15" customHeight="1" x14ac:dyDescent="0.25">
      <c r="F179" s="90"/>
      <c r="G179" s="90"/>
      <c r="L179" s="90"/>
      <c r="M179" s="90"/>
    </row>
    <row r="180" spans="6:13" ht="15" customHeight="1" x14ac:dyDescent="0.25">
      <c r="F180" s="90"/>
      <c r="G180" s="90"/>
      <c r="L180" s="90"/>
      <c r="M180" s="90"/>
    </row>
    <row r="181" spans="6:13" ht="15" customHeight="1" x14ac:dyDescent="0.25">
      <c r="F181" s="90"/>
      <c r="G181" s="90"/>
      <c r="L181" s="90"/>
      <c r="M181" s="90"/>
    </row>
    <row r="182" spans="6:13" ht="15" customHeight="1" x14ac:dyDescent="0.25">
      <c r="F182" s="90"/>
      <c r="G182" s="90"/>
      <c r="L182" s="90"/>
      <c r="M182" s="90"/>
    </row>
    <row r="183" spans="6:13" ht="15" customHeight="1" x14ac:dyDescent="0.25">
      <c r="F183" s="90"/>
      <c r="G183" s="90"/>
      <c r="L183" s="90"/>
      <c r="M183" s="90"/>
    </row>
    <row r="184" spans="6:13" ht="15" customHeight="1" x14ac:dyDescent="0.25">
      <c r="F184" s="90"/>
      <c r="G184" s="90"/>
      <c r="L184" s="90"/>
      <c r="M184" s="90"/>
    </row>
    <row r="185" spans="6:13" ht="15" customHeight="1" x14ac:dyDescent="0.25">
      <c r="F185" s="90"/>
      <c r="G185" s="90"/>
      <c r="L185" s="90"/>
      <c r="M185" s="90"/>
    </row>
    <row r="186" spans="6:13" ht="15" customHeight="1" x14ac:dyDescent="0.25">
      <c r="F186" s="90"/>
      <c r="G186" s="90"/>
      <c r="L186" s="90"/>
      <c r="M186" s="90"/>
    </row>
    <row r="187" spans="6:13" ht="15" customHeight="1" x14ac:dyDescent="0.25">
      <c r="F187" s="90"/>
      <c r="G187" s="90"/>
      <c r="L187" s="90"/>
      <c r="M187" s="90"/>
    </row>
    <row r="188" spans="6:13" ht="15" customHeight="1" x14ac:dyDescent="0.25">
      <c r="F188" s="90"/>
      <c r="G188" s="90"/>
      <c r="L188" s="90"/>
      <c r="M188" s="90"/>
    </row>
    <row r="189" spans="6:13" ht="15" customHeight="1" x14ac:dyDescent="0.25">
      <c r="F189" s="90"/>
      <c r="G189" s="90"/>
      <c r="L189" s="90"/>
      <c r="M189" s="90"/>
    </row>
    <row r="190" spans="6:13" ht="15" customHeight="1" x14ac:dyDescent="0.25">
      <c r="F190" s="90"/>
      <c r="G190" s="90"/>
      <c r="L190" s="90"/>
      <c r="M190" s="90"/>
    </row>
    <row r="191" spans="6:13" ht="15" customHeight="1" x14ac:dyDescent="0.25">
      <c r="F191" s="90"/>
      <c r="G191" s="90"/>
      <c r="L191" s="90"/>
      <c r="M191" s="90"/>
    </row>
    <row r="192" spans="6:13" ht="15" customHeight="1" x14ac:dyDescent="0.25">
      <c r="F192" s="90"/>
      <c r="G192" s="90"/>
      <c r="L192" s="90"/>
      <c r="M192" s="90"/>
    </row>
    <row r="193" spans="6:13" ht="15" customHeight="1" x14ac:dyDescent="0.25">
      <c r="F193" s="90"/>
      <c r="G193" s="90"/>
      <c r="L193" s="90"/>
      <c r="M193" s="90"/>
    </row>
    <row r="194" spans="6:13" ht="15" customHeight="1" x14ac:dyDescent="0.25">
      <c r="F194" s="90"/>
      <c r="G194" s="90"/>
      <c r="L194" s="90"/>
      <c r="M194" s="90"/>
    </row>
    <row r="195" spans="6:13" ht="15" customHeight="1" x14ac:dyDescent="0.25">
      <c r="F195" s="90"/>
      <c r="G195" s="90"/>
      <c r="L195" s="90"/>
      <c r="M195" s="90"/>
    </row>
    <row r="196" spans="6:13" ht="15" customHeight="1" x14ac:dyDescent="0.25">
      <c r="F196" s="90"/>
      <c r="G196" s="90"/>
      <c r="L196" s="90"/>
      <c r="M196" s="90"/>
    </row>
    <row r="197" spans="6:13" ht="15" customHeight="1" x14ac:dyDescent="0.25">
      <c r="F197" s="90"/>
      <c r="G197" s="90"/>
      <c r="L197" s="90"/>
      <c r="M197" s="90"/>
    </row>
    <row r="198" spans="6:13" ht="15" customHeight="1" x14ac:dyDescent="0.25">
      <c r="F198" s="90"/>
      <c r="G198" s="90"/>
      <c r="L198" s="90"/>
      <c r="M198" s="90"/>
    </row>
    <row r="199" spans="6:13" ht="15" customHeight="1" x14ac:dyDescent="0.25">
      <c r="F199" s="90"/>
      <c r="G199" s="90"/>
      <c r="L199" s="90"/>
      <c r="M199" s="90"/>
    </row>
    <row r="200" spans="6:13" ht="15" customHeight="1" x14ac:dyDescent="0.25">
      <c r="F200" s="90"/>
      <c r="G200" s="90"/>
      <c r="L200" s="90"/>
      <c r="M200" s="90"/>
    </row>
    <row r="201" spans="6:13" ht="15" customHeight="1" x14ac:dyDescent="0.25">
      <c r="F201" s="90"/>
      <c r="G201" s="90"/>
      <c r="L201" s="90"/>
      <c r="M201" s="90"/>
    </row>
    <row r="202" spans="6:13" ht="15" customHeight="1" x14ac:dyDescent="0.25">
      <c r="F202" s="90"/>
      <c r="G202" s="90"/>
      <c r="L202" s="90"/>
      <c r="M202" s="90"/>
    </row>
    <row r="203" spans="6:13" ht="15" customHeight="1" x14ac:dyDescent="0.25">
      <c r="F203" s="90"/>
      <c r="G203" s="90"/>
      <c r="L203" s="90"/>
      <c r="M203" s="90"/>
    </row>
    <row r="204" spans="6:13" ht="15" customHeight="1" x14ac:dyDescent="0.25">
      <c r="F204" s="90"/>
      <c r="G204" s="90"/>
      <c r="L204" s="90"/>
      <c r="M204" s="90"/>
    </row>
    <row r="205" spans="6:13" ht="15" customHeight="1" x14ac:dyDescent="0.25">
      <c r="F205" s="90"/>
      <c r="G205" s="90"/>
      <c r="L205" s="90"/>
      <c r="M205" s="90"/>
    </row>
    <row r="206" spans="6:13" ht="15" customHeight="1" x14ac:dyDescent="0.25">
      <c r="F206" s="90"/>
      <c r="G206" s="90"/>
    </row>
    <row r="207" spans="6:13" ht="15" customHeight="1" x14ac:dyDescent="0.25">
      <c r="F207" s="90"/>
      <c r="G207" s="90"/>
    </row>
    <row r="208" spans="6:13" ht="15" customHeight="1" x14ac:dyDescent="0.25">
      <c r="F208" s="90"/>
      <c r="G208" s="90"/>
    </row>
    <row r="209" spans="6:7" ht="15" customHeight="1" x14ac:dyDescent="0.25">
      <c r="F209" s="90"/>
      <c r="G209" s="90"/>
    </row>
    <row r="210" spans="6:7" ht="15" customHeight="1" x14ac:dyDescent="0.25">
      <c r="F210" s="90"/>
      <c r="G210" s="90"/>
    </row>
    <row r="211" spans="6:7" ht="15" customHeight="1" x14ac:dyDescent="0.25">
      <c r="F211" s="90"/>
      <c r="G211" s="90"/>
    </row>
    <row r="212" spans="6:7" ht="15" customHeight="1" x14ac:dyDescent="0.25">
      <c r="F212" s="90"/>
      <c r="G212" s="90"/>
    </row>
    <row r="213" spans="6:7" ht="15" customHeight="1" x14ac:dyDescent="0.25">
      <c r="F213" s="90"/>
      <c r="G213" s="90"/>
    </row>
    <row r="214" spans="6:7" ht="15" customHeight="1" x14ac:dyDescent="0.25">
      <c r="F214" s="90"/>
      <c r="G214" s="90"/>
    </row>
    <row r="215" spans="6:7" ht="15" customHeight="1" x14ac:dyDescent="0.25">
      <c r="F215" s="90"/>
      <c r="G215" s="90"/>
    </row>
    <row r="216" spans="6:7" ht="15" customHeight="1" x14ac:dyDescent="0.25">
      <c r="F216" s="90"/>
      <c r="G216" s="90"/>
    </row>
    <row r="217" spans="6:7" ht="15" customHeight="1" x14ac:dyDescent="0.25">
      <c r="F217" s="90"/>
      <c r="G217" s="90"/>
    </row>
    <row r="218" spans="6:7" ht="15" customHeight="1" x14ac:dyDescent="0.25">
      <c r="F218" s="90"/>
      <c r="G218" s="90"/>
    </row>
  </sheetData>
  <sheetProtection algorithmName="SHA-512" hashValue="t2h1NgtGGXWbJvymwbGv+vRsncGZScAEG8ge0YkQMFVSKQacl9FJjAD9cgun9xZkgx7VlDSfSWQCqtT8ydq+lA==" saltValue="5NRmyV8s6G53fvI4+ahlnw==" spinCount="100000" sheet="1" objects="1" scenarios="1"/>
  <mergeCells count="1">
    <mergeCell ref="A9:L9"/>
  </mergeCells>
  <conditionalFormatting sqref="K25:K26 K29:K31 K70:K74 K42:K46 K77:K78 K18:K20 K80:K81 K34:K39 K67 K110:K149 D134:D173 D104:E104 D128:E128 K49:K63">
    <cfRule type="cellIs" dxfId="111" priority="20" operator="equal">
      <formula>0</formula>
    </cfRule>
  </conditionalFormatting>
  <conditionalFormatting sqref="K79">
    <cfRule type="cellIs" dxfId="110" priority="15" operator="equal">
      <formula>0</formula>
    </cfRule>
  </conditionalFormatting>
  <conditionalFormatting sqref="B11:L12">
    <cfRule type="cellIs" dxfId="109" priority="19" operator="equal">
      <formula>0</formula>
    </cfRule>
  </conditionalFormatting>
  <conditionalFormatting sqref="M11">
    <cfRule type="cellIs" dxfId="108" priority="18" stopIfTrue="1" operator="notEqual">
      <formula>L11</formula>
    </cfRule>
  </conditionalFormatting>
  <conditionalFormatting sqref="M12">
    <cfRule type="cellIs" dxfId="107" priority="17" stopIfTrue="1" operator="notEqual">
      <formula>L12</formula>
    </cfRule>
  </conditionalFormatting>
  <conditionalFormatting sqref="K66">
    <cfRule type="cellIs" dxfId="106" priority="16" operator="equal">
      <formula>0</formula>
    </cfRule>
  </conditionalFormatting>
  <conditionalFormatting sqref="D91:E92 E93:E94">
    <cfRule type="cellIs" dxfId="105" priority="11" operator="equal">
      <formula>0</formula>
    </cfRule>
  </conditionalFormatting>
  <conditionalFormatting sqref="D22:E22">
    <cfRule type="cellIs" dxfId="104" priority="10" operator="equal">
      <formula>0</formula>
    </cfRule>
  </conditionalFormatting>
  <conditionalFormatting sqref="D76:E77">
    <cfRule type="cellIs" dxfId="103" priority="2" operator="equal">
      <formula>0</formula>
    </cfRule>
  </conditionalFormatting>
  <conditionalFormatting sqref="D60:E60">
    <cfRule type="cellIs" dxfId="102" priority="5" operator="equal">
      <formula>0</formula>
    </cfRule>
  </conditionalFormatting>
  <conditionalFormatting sqref="D57:E57">
    <cfRule type="cellIs" dxfId="101" priority="4" operator="equal">
      <formula>0</formula>
    </cfRule>
  </conditionalFormatting>
  <conditionalFormatting sqref="D49:E49">
    <cfRule type="cellIs" dxfId="100" priority="3" operator="equal">
      <formula>0</formula>
    </cfRule>
  </conditionalFormatting>
  <conditionalFormatting sqref="D101:E101">
    <cfRule type="cellIs" dxfId="99" priority="1" operator="equal">
      <formula>0</formula>
    </cfRule>
  </conditionalFormatting>
  <conditionalFormatting sqref="D124:E127 D68:D70 D102:E103 D95:E100 D73:E75">
    <cfRule type="cellIs" dxfId="98" priority="14" operator="equal">
      <formula>0</formula>
    </cfRule>
  </conditionalFormatting>
  <conditionalFormatting sqref="D28:E32 D18:E19 D35:E40 D131:E133 D116:E117 D107:E109 D43:E48 E64:E65 D61:E63 D50:E56 D119:E123 D79:E90 D66:E67 D111:E114 D105:E105 D58:E59 E68:E70 D23:E25">
    <cfRule type="cellIs" dxfId="97" priority="13" operator="equal">
      <formula>0</formula>
    </cfRule>
  </conditionalFormatting>
  <conditionalFormatting sqref="D20:E21">
    <cfRule type="cellIs" dxfId="96" priority="12" operator="equal">
      <formula>0</formula>
    </cfRule>
  </conditionalFormatting>
  <conditionalFormatting sqref="D93:D94">
    <cfRule type="cellIs" dxfId="95" priority="9" operator="equal">
      <formula>0</formula>
    </cfRule>
  </conditionalFormatting>
  <conditionalFormatting sqref="D78:E78">
    <cfRule type="cellIs" dxfId="94" priority="8" operator="equal">
      <formula>0</formula>
    </cfRule>
  </conditionalFormatting>
  <conditionalFormatting sqref="D64">
    <cfRule type="cellIs" dxfId="93" priority="7" operator="equal">
      <formula>0</formula>
    </cfRule>
  </conditionalFormatting>
  <conditionalFormatting sqref="D65">
    <cfRule type="cellIs" dxfId="92" priority="6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zoomScale="115" zoomScaleNormal="115" workbookViewId="0">
      <selection activeCell="D127" sqref="D127"/>
    </sheetView>
  </sheetViews>
  <sheetFormatPr baseColWidth="10" defaultColWidth="8.7109375" defaultRowHeight="15" customHeight="1" x14ac:dyDescent="0.25"/>
  <cols>
    <col min="1" max="1" width="28.140625" style="39" bestFit="1" customWidth="1"/>
    <col min="2" max="2" width="8.85546875" style="39" bestFit="1" customWidth="1"/>
    <col min="3" max="3" width="8.7109375" style="39"/>
    <col min="4" max="4" width="9.7109375" style="39" bestFit="1" customWidth="1"/>
    <col min="5" max="5" width="9.42578125" style="39" bestFit="1" customWidth="1"/>
    <col min="6" max="6" width="9.7109375" style="39" bestFit="1" customWidth="1"/>
    <col min="7" max="7" width="8.7109375" style="39"/>
    <col min="8" max="8" width="49.28515625" style="39" bestFit="1" customWidth="1"/>
    <col min="9" max="9" width="7.140625" style="39" bestFit="1" customWidth="1"/>
    <col min="10" max="11" width="8.7109375" style="39"/>
    <col min="12" max="12" width="11.28515625" style="39" bestFit="1" customWidth="1"/>
    <col min="13" max="14" width="8.7109375" style="39"/>
    <col min="15" max="15" width="26.5703125" style="39" bestFit="1" customWidth="1"/>
    <col min="16" max="16" width="29.28515625" style="39" bestFit="1" customWidth="1"/>
    <col min="17" max="26" width="6.7109375" style="39" customWidth="1"/>
    <col min="27" max="16384" width="8.7109375" style="39"/>
  </cols>
  <sheetData>
    <row r="1" spans="1:14" ht="24.95" customHeight="1" x14ac:dyDescent="0.25">
      <c r="A1" s="37" t="s">
        <v>12</v>
      </c>
      <c r="B1" s="37">
        <v>4</v>
      </c>
      <c r="C1" s="38" t="s">
        <v>169</v>
      </c>
    </row>
    <row r="2" spans="1:14" ht="15" customHeight="1" x14ac:dyDescent="0.25">
      <c r="A2" s="40"/>
      <c r="B2" s="41" t="s">
        <v>14</v>
      </c>
      <c r="C2" s="42"/>
      <c r="D2" s="43" t="s">
        <v>15</v>
      </c>
      <c r="E2" s="44"/>
      <c r="F2" s="45" t="s">
        <v>16</v>
      </c>
    </row>
    <row r="3" spans="1:14" ht="15" customHeight="1" x14ac:dyDescent="0.25">
      <c r="A3" s="46" t="s">
        <v>17</v>
      </c>
      <c r="B3" s="47">
        <v>51220.151770625169</v>
      </c>
      <c r="C3" s="48">
        <f>SUM(C4:C5)</f>
        <v>1</v>
      </c>
      <c r="D3" s="49" t="e">
        <f>SUM(D4:D5)</f>
        <v>#VALUE!</v>
      </c>
      <c r="E3" s="48" t="e">
        <f>D3/$D$3</f>
        <v>#VALUE!</v>
      </c>
      <c r="F3" s="50" t="s">
        <v>18</v>
      </c>
      <c r="H3" s="51" t="s">
        <v>19</v>
      </c>
      <c r="I3" s="52">
        <v>0.7</v>
      </c>
      <c r="J3" s="53">
        <f>I3*B3</f>
        <v>35854.106239437613</v>
      </c>
    </row>
    <row r="4" spans="1:14" ht="15" customHeight="1" x14ac:dyDescent="0.25">
      <c r="A4" s="54" t="s">
        <v>20</v>
      </c>
      <c r="B4" s="55">
        <f>C4*B3</f>
        <v>43806.034477544112</v>
      </c>
      <c r="C4" s="56">
        <v>0.85524999366883825</v>
      </c>
      <c r="D4" s="57" t="e">
        <f>SUMIFS([5]Ram!G2:G1017,[5]Ram!C2:C1017,230,[5]Ram!F2:F1017,"S")</f>
        <v>#VALUE!</v>
      </c>
      <c r="E4" s="58" t="e">
        <f>D4/$D$3</f>
        <v>#VALUE!</v>
      </c>
      <c r="F4" s="59" t="e">
        <f>B4/D4</f>
        <v>#VALUE!</v>
      </c>
      <c r="H4" s="51" t="s">
        <v>21</v>
      </c>
      <c r="I4" s="52">
        <v>0.3</v>
      </c>
      <c r="J4" s="53">
        <f>I4*B3</f>
        <v>15366.04553118755</v>
      </c>
    </row>
    <row r="5" spans="1:14" ht="15" customHeight="1" x14ac:dyDescent="0.25">
      <c r="A5" s="60" t="s">
        <v>22</v>
      </c>
      <c r="B5" s="61">
        <f>C5*B3</f>
        <v>7414.117293081059</v>
      </c>
      <c r="C5" s="62">
        <f>1-C4</f>
        <v>0.14475000633116175</v>
      </c>
      <c r="D5" s="63" t="e">
        <f>SUMIFS([5]Ram!G2:G1017,[5]Ram!C2:C1017,115,[5]Ram!F2:F1017,"S")</f>
        <v>#VALUE!</v>
      </c>
      <c r="E5" s="64" t="e">
        <f>D5/$D$3</f>
        <v>#VALUE!</v>
      </c>
      <c r="F5" s="65" t="e">
        <f>B5/D5</f>
        <v>#VALUE!</v>
      </c>
    </row>
    <row r="6" spans="1:14" ht="15" customHeight="1" x14ac:dyDescent="0.25">
      <c r="A6" s="66"/>
      <c r="B6" s="66"/>
      <c r="C6" s="67"/>
      <c r="E6" s="67"/>
      <c r="H6" s="68" t="s">
        <v>23</v>
      </c>
      <c r="M6" s="69">
        <f>[5]ENERGIA!L17</f>
        <v>8728.5368300600003</v>
      </c>
      <c r="N6" s="70" t="s">
        <v>24</v>
      </c>
    </row>
    <row r="7" spans="1:14" ht="15" customHeight="1" x14ac:dyDescent="0.25">
      <c r="A7" s="71" t="s">
        <v>25</v>
      </c>
      <c r="B7" s="47">
        <v>55642.054105485877</v>
      </c>
      <c r="C7" s="48">
        <v>1</v>
      </c>
      <c r="D7" s="72" t="e">
        <f>SUMIF([5]Ram!F3:F1017,"SD",[5]Ram!G3:G1017)</f>
        <v>#VALUE!</v>
      </c>
      <c r="E7" s="48">
        <v>1</v>
      </c>
      <c r="F7" s="73" t="e">
        <f>IF(B7&gt;0,B7/D7,0)</f>
        <v>#VALUE!</v>
      </c>
      <c r="G7" s="39" t="s">
        <v>26</v>
      </c>
      <c r="L7" s="74" t="s">
        <v>27</v>
      </c>
      <c r="M7" s="75">
        <f>[5]ENERGIA!L2</f>
        <v>10391.438170650001</v>
      </c>
      <c r="N7" s="76" t="s">
        <v>24</v>
      </c>
    </row>
    <row r="9" spans="1:14" ht="15" customHeight="1" x14ac:dyDescent="0.25">
      <c r="A9" s="333" t="s">
        <v>28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4" ht="15" customHeight="1" x14ac:dyDescent="0.25">
      <c r="A10" s="77" t="s">
        <v>29</v>
      </c>
      <c r="B10" s="78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80">
        <v>10</v>
      </c>
      <c r="L10" s="81" t="s">
        <v>3</v>
      </c>
    </row>
    <row r="11" spans="1:14" ht="15" customHeight="1" x14ac:dyDescent="0.25">
      <c r="A11" s="82" t="s">
        <v>30</v>
      </c>
      <c r="B11" s="83">
        <f t="shared" ref="B11:K11" si="0">SUMIF($G$18:$G$1019,B$10,$D$18:$D$1019)</f>
        <v>294.5</v>
      </c>
      <c r="C11" s="83">
        <f t="shared" si="0"/>
        <v>537.79999999999995</v>
      </c>
      <c r="D11" s="83">
        <f t="shared" si="0"/>
        <v>155.26999999999998</v>
      </c>
      <c r="E11" s="83">
        <f t="shared" si="0"/>
        <v>375.70699999999999</v>
      </c>
      <c r="F11" s="83">
        <f t="shared" si="0"/>
        <v>606.81000000000006</v>
      </c>
      <c r="G11" s="83">
        <f t="shared" si="0"/>
        <v>147</v>
      </c>
      <c r="H11" s="83">
        <f t="shared" si="0"/>
        <v>195.98</v>
      </c>
      <c r="I11" s="83">
        <f t="shared" si="0"/>
        <v>260</v>
      </c>
      <c r="J11" s="83">
        <f t="shared" si="0"/>
        <v>2263.5299999999997</v>
      </c>
      <c r="K11" s="83">
        <f t="shared" si="0"/>
        <v>252.17</v>
      </c>
      <c r="L11" s="84">
        <f>SUM(B11:K11)</f>
        <v>5088.7669999999998</v>
      </c>
      <c r="M11" s="89">
        <f>SUM(D17,D27,D34,D42,D72,D106,D110,D115,D118,D131)</f>
        <v>5088.7669999999998</v>
      </c>
    </row>
    <row r="12" spans="1:14" ht="15" customHeight="1" x14ac:dyDescent="0.25">
      <c r="A12" s="86" t="s">
        <v>31</v>
      </c>
      <c r="B12" s="87">
        <f t="shared" ref="B12:K12" si="1">SUMIF($M$18:$M$1006,B$10,$K$18:$K$1006)</f>
        <v>40.409999999999997</v>
      </c>
      <c r="C12" s="87">
        <f t="shared" si="1"/>
        <v>0</v>
      </c>
      <c r="D12" s="87">
        <f t="shared" si="1"/>
        <v>0.11</v>
      </c>
      <c r="E12" s="87">
        <f t="shared" si="1"/>
        <v>114.53</v>
      </c>
      <c r="F12" s="87">
        <f t="shared" si="1"/>
        <v>240.34983529537578</v>
      </c>
      <c r="G12" s="87">
        <f t="shared" si="1"/>
        <v>171.22199929453993</v>
      </c>
      <c r="H12" s="87">
        <f t="shared" si="1"/>
        <v>1109.707575574758</v>
      </c>
      <c r="I12" s="87">
        <f t="shared" si="1"/>
        <v>0</v>
      </c>
      <c r="J12" s="87">
        <f t="shared" si="1"/>
        <v>142.61050338355616</v>
      </c>
      <c r="K12" s="87">
        <f t="shared" si="1"/>
        <v>92.82</v>
      </c>
      <c r="L12" s="88">
        <f>SUM(B12:K12)</f>
        <v>1911.7599135482299</v>
      </c>
      <c r="M12" s="89">
        <f>SUM(K17,K22,K24,K28,K33,K41,K48,K65,K69,K76)</f>
        <v>1911.7599135482296</v>
      </c>
    </row>
    <row r="13" spans="1:14" ht="15" customHeight="1" x14ac:dyDescent="0.25">
      <c r="M13" s="90"/>
    </row>
    <row r="15" spans="1:14" ht="15" customHeight="1" x14ac:dyDescent="0.25">
      <c r="A15" s="91" t="s">
        <v>32</v>
      </c>
      <c r="B15" s="92"/>
      <c r="C15" s="92"/>
      <c r="D15" s="92"/>
      <c r="E15" s="92"/>
      <c r="F15" s="92"/>
      <c r="G15" s="93"/>
      <c r="H15" s="91" t="s">
        <v>33</v>
      </c>
      <c r="I15" s="92"/>
      <c r="J15" s="92"/>
      <c r="K15" s="92"/>
      <c r="L15" s="92"/>
      <c r="M15" s="92"/>
    </row>
    <row r="16" spans="1:14" ht="25.5" x14ac:dyDescent="0.25">
      <c r="A16" s="94" t="s">
        <v>34</v>
      </c>
      <c r="B16" s="95"/>
      <c r="C16" s="96" t="s">
        <v>35</v>
      </c>
      <c r="D16" s="97" t="s">
        <v>30</v>
      </c>
      <c r="E16" s="97" t="s">
        <v>36</v>
      </c>
      <c r="F16" s="98"/>
      <c r="G16" s="98"/>
      <c r="H16" s="99" t="s">
        <v>34</v>
      </c>
      <c r="I16" s="100"/>
      <c r="J16" s="101" t="s">
        <v>35</v>
      </c>
      <c r="K16" s="102" t="s">
        <v>31</v>
      </c>
      <c r="L16" s="98"/>
      <c r="M16" s="98"/>
    </row>
    <row r="17" spans="1:13" ht="15" customHeight="1" x14ac:dyDescent="0.25">
      <c r="A17" s="103">
        <v>1</v>
      </c>
      <c r="B17" s="104"/>
      <c r="C17" s="105"/>
      <c r="D17" s="106">
        <f>SUM(D18:D26)</f>
        <v>294.5</v>
      </c>
      <c r="E17" s="107"/>
      <c r="F17" s="90"/>
      <c r="G17" s="90"/>
      <c r="H17" s="103">
        <v>1</v>
      </c>
      <c r="I17" s="104"/>
      <c r="J17" s="105"/>
      <c r="K17" s="106">
        <f>SUM(K18:K21)</f>
        <v>40.409999999999997</v>
      </c>
      <c r="L17" s="90"/>
      <c r="M17" s="90"/>
    </row>
    <row r="18" spans="1:13" ht="15" customHeight="1" x14ac:dyDescent="0.25">
      <c r="A18" s="108" t="s">
        <v>37</v>
      </c>
      <c r="B18" s="109"/>
      <c r="C18" s="110">
        <v>6014</v>
      </c>
      <c r="D18" s="111">
        <v>87.6</v>
      </c>
      <c r="E18" s="112">
        <v>0</v>
      </c>
      <c r="F18" s="90" t="str">
        <f>IFERROR(VLOOKUP($C18,[5]Nod!$A$3:$E$999,4,FALSE)," ")</f>
        <v>PRO230</v>
      </c>
      <c r="G18" s="90">
        <f>IFERROR(VLOOKUP($C18,[5]Nod!$A$3:$E$999,5,FALSE)," ")</f>
        <v>1</v>
      </c>
      <c r="H18" s="113" t="s">
        <v>38</v>
      </c>
      <c r="I18" s="109"/>
      <c r="J18" s="110"/>
      <c r="K18" s="111"/>
      <c r="L18" s="90"/>
      <c r="M18" s="90"/>
    </row>
    <row r="19" spans="1:13" ht="15" customHeight="1" x14ac:dyDescent="0.25">
      <c r="A19" s="108" t="s">
        <v>39</v>
      </c>
      <c r="B19" s="109"/>
      <c r="C19" s="110">
        <v>6014</v>
      </c>
      <c r="D19" s="111">
        <v>57.4</v>
      </c>
      <c r="E19" s="112">
        <v>0</v>
      </c>
      <c r="F19" s="90" t="str">
        <f>IFERROR(VLOOKUP($C19,[5]Nod!$A$3:$E$999,4,FALSE)," ")</f>
        <v>PRO230</v>
      </c>
      <c r="G19" s="90">
        <f>IFERROR(VLOOKUP($C19,[5]Nod!$A$3:$E$999,5,FALSE)," ")</f>
        <v>1</v>
      </c>
      <c r="H19" s="114" t="s">
        <v>40</v>
      </c>
      <c r="I19" s="109"/>
      <c r="J19" s="115">
        <v>6014</v>
      </c>
      <c r="K19" s="111">
        <v>39.01</v>
      </c>
      <c r="L19" s="90" t="str">
        <f>VLOOKUP($J19,[5]Nod!$A$3:$E$999,4,FALSE)</f>
        <v>PRO230</v>
      </c>
      <c r="M19" s="90">
        <f>VLOOKUP($J19,[5]Nod!$A$3:$E$999,5,FALSE)</f>
        <v>1</v>
      </c>
    </row>
    <row r="20" spans="1:13" ht="15" customHeight="1" x14ac:dyDescent="0.25">
      <c r="A20" s="108" t="s">
        <v>41</v>
      </c>
      <c r="B20" s="109"/>
      <c r="C20" s="110">
        <v>6014</v>
      </c>
      <c r="D20" s="111">
        <v>30</v>
      </c>
      <c r="E20" s="112">
        <v>0</v>
      </c>
      <c r="F20" s="90" t="str">
        <f>IFERROR(VLOOKUP($C20,[5]Nod!$A$3:$E$999,4,FALSE)," ")</f>
        <v>PRO230</v>
      </c>
      <c r="G20" s="90">
        <f>IFERROR(VLOOKUP($C20,[5]Nod!$A$3:$E$999,5,FALSE)," ")</f>
        <v>1</v>
      </c>
      <c r="H20" s="114" t="s">
        <v>42</v>
      </c>
      <c r="I20" s="109"/>
      <c r="J20" s="115">
        <v>6014</v>
      </c>
      <c r="K20" s="111">
        <v>1.4</v>
      </c>
      <c r="L20" s="90" t="str">
        <f>VLOOKUP($J20,[5]Nod!$A$3:$E$999,4,FALSE)</f>
        <v>PRO230</v>
      </c>
      <c r="M20" s="90">
        <f>VLOOKUP($J20,[5]Nod!$A$3:$E$999,5,FALSE)</f>
        <v>1</v>
      </c>
    </row>
    <row r="21" spans="1:13" ht="15" customHeight="1" x14ac:dyDescent="0.25">
      <c r="A21" s="160" t="s">
        <v>155</v>
      </c>
      <c r="B21" s="161"/>
      <c r="C21" s="162">
        <v>6014</v>
      </c>
      <c r="D21" s="141">
        <v>10.3</v>
      </c>
      <c r="E21" s="112">
        <v>0</v>
      </c>
      <c r="F21" s="90" t="str">
        <f>IFERROR(VLOOKUP($C21,[5]Nod!$A$3:$E$999,4,FALSE)," ")</f>
        <v>PRO230</v>
      </c>
      <c r="G21" s="90">
        <f>IFERROR(VLOOKUP($C21,[5]Nod!$A$3:$E$999,5,FALSE)," ")</f>
        <v>1</v>
      </c>
      <c r="H21" s="116" t="s">
        <v>44</v>
      </c>
      <c r="I21" s="117"/>
      <c r="J21" s="118"/>
      <c r="K21" s="119"/>
      <c r="L21" s="90"/>
      <c r="M21" s="90"/>
    </row>
    <row r="22" spans="1:13" ht="15" customHeight="1" x14ac:dyDescent="0.25">
      <c r="A22" s="108" t="s">
        <v>43</v>
      </c>
      <c r="B22" s="109"/>
      <c r="C22" s="110">
        <v>6014</v>
      </c>
      <c r="D22" s="111">
        <v>27.9</v>
      </c>
      <c r="E22" s="112">
        <v>0</v>
      </c>
      <c r="F22" s="90" t="str">
        <f>IFERROR(VLOOKUP($C22,[5]Nod!$A$3:$E$999,4,FALSE)," ")</f>
        <v>PRO230</v>
      </c>
      <c r="G22" s="90">
        <f>IFERROR(VLOOKUP($C22,[5]Nod!$A$3:$E$999,5,FALSE)," ")</f>
        <v>1</v>
      </c>
      <c r="H22" s="121">
        <v>2</v>
      </c>
      <c r="I22" s="122"/>
      <c r="J22" s="123"/>
      <c r="K22" s="124">
        <f>SUM(K23)</f>
        <v>0</v>
      </c>
      <c r="L22" s="90"/>
      <c r="M22" s="90"/>
    </row>
    <row r="23" spans="1:13" ht="15" customHeight="1" x14ac:dyDescent="0.25">
      <c r="A23" s="120" t="s">
        <v>45</v>
      </c>
      <c r="B23" s="109"/>
      <c r="C23" s="110">
        <v>6014</v>
      </c>
      <c r="D23" s="111">
        <v>10</v>
      </c>
      <c r="E23" s="112">
        <v>13</v>
      </c>
      <c r="F23" s="90" t="str">
        <f>IFERROR(VLOOKUP($C23,[5]Nod!$A$3:$E$999,4,FALSE)," ")</f>
        <v>PRO230</v>
      </c>
      <c r="G23" s="90">
        <f>IFERROR(VLOOKUP($C23,[5]Nod!$A$3:$E$999,5,FALSE)," ")</f>
        <v>1</v>
      </c>
      <c r="H23" s="116" t="s">
        <v>44</v>
      </c>
      <c r="I23" s="117"/>
      <c r="J23" s="118"/>
      <c r="K23" s="125"/>
      <c r="L23" s="90"/>
      <c r="M23" s="90"/>
    </row>
    <row r="24" spans="1:13" ht="15" customHeight="1" x14ac:dyDescent="0.25">
      <c r="A24" s="120" t="s">
        <v>46</v>
      </c>
      <c r="B24" s="109"/>
      <c r="C24" s="110">
        <v>6014</v>
      </c>
      <c r="D24" s="111">
        <v>6</v>
      </c>
      <c r="E24" s="112">
        <v>13</v>
      </c>
      <c r="F24" s="90" t="str">
        <f>IFERROR(VLOOKUP($C24,[5]Nod!$A$3:$E$999,4,FALSE)," ")</f>
        <v>PRO230</v>
      </c>
      <c r="G24" s="90">
        <f>IFERROR(VLOOKUP($C24,[5]Nod!$A$3:$E$999,5,FALSE)," ")</f>
        <v>1</v>
      </c>
      <c r="H24" s="103">
        <v>3</v>
      </c>
      <c r="I24" s="104"/>
      <c r="J24" s="105"/>
      <c r="K24" s="106">
        <f>SUM(K25:K27)</f>
        <v>0.11</v>
      </c>
      <c r="L24" s="90"/>
      <c r="M24" s="90"/>
    </row>
    <row r="25" spans="1:13" ht="15" customHeight="1" x14ac:dyDescent="0.25">
      <c r="A25" s="169" t="s">
        <v>166</v>
      </c>
      <c r="B25" s="109"/>
      <c r="C25" s="110">
        <v>6014</v>
      </c>
      <c r="D25" s="111">
        <v>65.3</v>
      </c>
      <c r="E25" s="112">
        <v>0</v>
      </c>
      <c r="F25" s="90" t="str">
        <f>IFERROR(VLOOKUP($C25,[5]Nod!$A$3:$E$999,4,FALSE)," ")</f>
        <v>PRO230</v>
      </c>
      <c r="G25" s="90">
        <f>IFERROR(VLOOKUP($C25,[5]Nod!$A$3:$E$999,5,FALSE)," ")</f>
        <v>1</v>
      </c>
      <c r="H25" s="113" t="s">
        <v>38</v>
      </c>
      <c r="I25" s="109"/>
      <c r="J25" s="110"/>
      <c r="K25" s="129"/>
      <c r="L25" s="90"/>
      <c r="M25" s="90"/>
    </row>
    <row r="26" spans="1:13" ht="15" customHeight="1" x14ac:dyDescent="0.25">
      <c r="A26" s="126" t="s">
        <v>44</v>
      </c>
      <c r="B26" s="109"/>
      <c r="C26" s="110"/>
      <c r="D26" s="127"/>
      <c r="E26" s="112"/>
      <c r="F26" s="90" t="str">
        <f>IFERROR(VLOOKUP($C26,[5]Nod!$A$3:$E$999,4,FALSE)," ")</f>
        <v xml:space="preserve"> </v>
      </c>
      <c r="G26" s="90" t="str">
        <f>IFERROR(VLOOKUP($C26,[5]Nod!$A$3:$E$999,5,FALSE)," ")</f>
        <v xml:space="preserve"> </v>
      </c>
      <c r="H26" s="114" t="s">
        <v>48</v>
      </c>
      <c r="I26" s="109"/>
      <c r="J26" s="115">
        <v>6087</v>
      </c>
      <c r="K26" s="111">
        <v>0.11</v>
      </c>
      <c r="L26" s="90" t="str">
        <f>VLOOKUP($J26,[5]Nod!$A$3:$E$999,4,FALSE)</f>
        <v>CAL115</v>
      </c>
      <c r="M26" s="90">
        <f>VLOOKUP($J26,[5]Nod!$A$3:$E$999,5,FALSE)</f>
        <v>3</v>
      </c>
    </row>
    <row r="27" spans="1:13" ht="15" customHeight="1" x14ac:dyDescent="0.25">
      <c r="A27" s="121">
        <v>2</v>
      </c>
      <c r="B27" s="122"/>
      <c r="C27" s="123"/>
      <c r="D27" s="124">
        <f>SUM(D28:D33)</f>
        <v>537.79999999999995</v>
      </c>
      <c r="E27" s="128"/>
      <c r="F27" s="90" t="str">
        <f>IFERROR(VLOOKUP($C27,[5]Nod!$A$3:$E$999,4,FALSE)," ")</f>
        <v xml:space="preserve"> </v>
      </c>
      <c r="G27" s="90" t="str">
        <f>IFERROR(VLOOKUP($C27,[5]Nod!$A$3:$E$999,5,FALSE)," ")</f>
        <v xml:space="preserve"> </v>
      </c>
      <c r="H27" s="130" t="s">
        <v>44</v>
      </c>
      <c r="I27" s="109"/>
      <c r="J27" s="115"/>
      <c r="K27" s="111"/>
      <c r="L27" s="90"/>
      <c r="M27" s="90"/>
    </row>
    <row r="28" spans="1:13" ht="15" customHeight="1" x14ac:dyDescent="0.25">
      <c r="A28" s="108" t="s">
        <v>47</v>
      </c>
      <c r="B28" s="109"/>
      <c r="C28" s="110">
        <v>6096</v>
      </c>
      <c r="D28" s="111">
        <v>300</v>
      </c>
      <c r="E28" s="112">
        <v>0</v>
      </c>
      <c r="F28" s="90" t="str">
        <f>IFERROR(VLOOKUP($C28,[5]Nod!$A$3:$E$999,4,FALSE)," ")</f>
        <v>FOR230</v>
      </c>
      <c r="G28" s="90">
        <f>IFERROR(VLOOKUP($C28,[5]Nod!$A$3:$E$999,5,FALSE)," ")</f>
        <v>2</v>
      </c>
      <c r="H28" s="121">
        <v>4</v>
      </c>
      <c r="I28" s="122"/>
      <c r="J28" s="123"/>
      <c r="K28" s="124">
        <f>SUM(K29:K32)</f>
        <v>114.53</v>
      </c>
      <c r="L28" s="90"/>
      <c r="M28" s="90"/>
    </row>
    <row r="29" spans="1:13" ht="15" customHeight="1" x14ac:dyDescent="0.25">
      <c r="A29" s="108" t="s">
        <v>49</v>
      </c>
      <c r="B29" s="109"/>
      <c r="C29" s="110">
        <v>6179</v>
      </c>
      <c r="D29" s="111">
        <v>120</v>
      </c>
      <c r="E29" s="112">
        <v>0</v>
      </c>
      <c r="F29" s="90" t="str">
        <f>IFERROR(VLOOKUP($C29,[5]Nod!$A$3:$E$999,4,FALSE)," ")</f>
        <v>GUA230</v>
      </c>
      <c r="G29" s="90">
        <f>IFERROR(VLOOKUP($C29,[5]Nod!$A$3:$E$999,5,FALSE)," ")</f>
        <v>2</v>
      </c>
      <c r="H29" s="113" t="s">
        <v>38</v>
      </c>
      <c r="I29" s="109"/>
      <c r="J29" s="110"/>
      <c r="K29" s="129"/>
      <c r="L29" s="90"/>
      <c r="M29" s="90"/>
    </row>
    <row r="30" spans="1:13" ht="15" customHeight="1" x14ac:dyDescent="0.25">
      <c r="A30" s="108" t="s">
        <v>50</v>
      </c>
      <c r="B30" s="109"/>
      <c r="C30" s="110">
        <v>6179</v>
      </c>
      <c r="D30" s="111">
        <v>25.34</v>
      </c>
      <c r="E30" s="112">
        <v>0</v>
      </c>
      <c r="F30" s="90" t="str">
        <f>IFERROR(VLOOKUP($C30,[5]Nod!$A$3:$E$999,4,FALSE)," ")</f>
        <v>GUA230</v>
      </c>
      <c r="G30" s="90">
        <f>IFERROR(VLOOKUP($C30,[5]Nod!$A$3:$E$999,5,FALSE)," ")</f>
        <v>2</v>
      </c>
      <c r="H30" s="114" t="s">
        <v>53</v>
      </c>
      <c r="I30" s="109"/>
      <c r="J30" s="115">
        <v>6013</v>
      </c>
      <c r="K30" s="111">
        <v>12.88</v>
      </c>
      <c r="L30" s="90" t="str">
        <f>VLOOKUP($J30,[5]Nod!$A$3:$E$999,4,FALSE)</f>
        <v>MDN34</v>
      </c>
      <c r="M30" s="90">
        <f>VLOOKUP($J30,[5]Nod!$A$3:$E$999,5,FALSE)</f>
        <v>4</v>
      </c>
    </row>
    <row r="31" spans="1:13" ht="15" customHeight="1" x14ac:dyDescent="0.25">
      <c r="A31" s="120" t="s">
        <v>51</v>
      </c>
      <c r="B31" s="109"/>
      <c r="C31" s="110">
        <v>6179</v>
      </c>
      <c r="D31" s="111">
        <v>33.799999999999997</v>
      </c>
      <c r="E31" s="112">
        <v>0</v>
      </c>
      <c r="F31" s="90" t="str">
        <f>IFERROR(VLOOKUP($C31,[5]Nod!$A$3:$E$999,4,FALSE)," ")</f>
        <v>GUA230</v>
      </c>
      <c r="G31" s="90">
        <f>IFERROR(VLOOKUP($C31,[5]Nod!$A$3:$E$999,5,FALSE)," ")</f>
        <v>2</v>
      </c>
      <c r="H31" s="114" t="s">
        <v>54</v>
      </c>
      <c r="I31" s="109"/>
      <c r="J31" s="115">
        <v>6013</v>
      </c>
      <c r="K31" s="111">
        <v>101.65</v>
      </c>
      <c r="L31" s="90" t="str">
        <f>VLOOKUP($J31,[5]Nod!$A$3:$E$999,4,FALSE)</f>
        <v>MDN34</v>
      </c>
      <c r="M31" s="90">
        <f>VLOOKUP($J31,[5]Nod!$A$3:$E$999,5,FALSE)</f>
        <v>4</v>
      </c>
    </row>
    <row r="32" spans="1:13" ht="15" customHeight="1" x14ac:dyDescent="0.25">
      <c r="A32" s="108" t="s">
        <v>52</v>
      </c>
      <c r="B32" s="109"/>
      <c r="C32" s="110">
        <v>6179</v>
      </c>
      <c r="D32" s="111">
        <v>58.66</v>
      </c>
      <c r="E32" s="112">
        <v>0</v>
      </c>
      <c r="F32" s="90" t="str">
        <f>IFERROR(VLOOKUP($C32,[5]Nod!$A$3:$E$999,4,FALSE)," ")</f>
        <v>GUA230</v>
      </c>
      <c r="G32" s="90">
        <f>IFERROR(VLOOKUP($C32,[5]Nod!$A$3:$E$999,5,FALSE)," ")</f>
        <v>2</v>
      </c>
      <c r="H32" s="116" t="s">
        <v>44</v>
      </c>
      <c r="I32" s="117"/>
      <c r="J32" s="134"/>
      <c r="K32" s="119"/>
      <c r="L32" s="90"/>
      <c r="M32" s="90"/>
    </row>
    <row r="33" spans="1:13" ht="15" customHeight="1" x14ac:dyDescent="0.25">
      <c r="A33" s="131" t="s">
        <v>44</v>
      </c>
      <c r="B33" s="117"/>
      <c r="C33" s="118"/>
      <c r="D33" s="132"/>
      <c r="E33" s="133"/>
      <c r="F33" s="90" t="str">
        <f>IFERROR(VLOOKUP($C33,[5]Nod!$A$3:$E$999,4,FALSE)," ")</f>
        <v xml:space="preserve"> </v>
      </c>
      <c r="G33" s="90" t="str">
        <f>IFERROR(VLOOKUP($C33,[5]Nod!$A$3:$E$999,5,FALSE)," ")</f>
        <v xml:space="preserve"> </v>
      </c>
      <c r="H33" s="103">
        <v>5</v>
      </c>
      <c r="I33" s="104"/>
      <c r="J33" s="105"/>
      <c r="K33" s="106">
        <f>SUM(K34:K40)</f>
        <v>240.34983529537578</v>
      </c>
      <c r="L33" s="90"/>
      <c r="M33" s="90"/>
    </row>
    <row r="34" spans="1:13" ht="15" customHeight="1" x14ac:dyDescent="0.25">
      <c r="A34" s="103">
        <v>3</v>
      </c>
      <c r="B34" s="104"/>
      <c r="C34" s="105"/>
      <c r="D34" s="106">
        <f>SUM(D35:D41)</f>
        <v>155.26999999999998</v>
      </c>
      <c r="E34" s="107"/>
      <c r="F34" s="90" t="str">
        <f>IFERROR(VLOOKUP($C34,[5]Nod!$A$3:$E$999,4,FALSE)," ")</f>
        <v xml:space="preserve"> </v>
      </c>
      <c r="G34" s="90" t="str">
        <f>IFERROR(VLOOKUP($C34,[5]Nod!$A$3:$E$999,5,FALSE)," ")</f>
        <v xml:space="preserve"> </v>
      </c>
      <c r="H34" s="113" t="s">
        <v>57</v>
      </c>
      <c r="I34" s="109"/>
      <c r="J34" s="110"/>
      <c r="K34" s="129"/>
      <c r="L34" s="90"/>
      <c r="M34" s="90"/>
    </row>
    <row r="35" spans="1:13" ht="15" customHeight="1" x14ac:dyDescent="0.25">
      <c r="A35" s="108" t="s">
        <v>55</v>
      </c>
      <c r="B35" s="109"/>
      <c r="C35" s="110">
        <v>6087</v>
      </c>
      <c r="D35" s="111">
        <v>47.2</v>
      </c>
      <c r="E35" s="112">
        <v>0</v>
      </c>
      <c r="F35" s="90" t="str">
        <f>IFERROR(VLOOKUP($C35,[5]Nod!$A$3:$E$999,4,FALSE)," ")</f>
        <v>CAL115</v>
      </c>
      <c r="G35" s="90">
        <f>IFERROR(VLOOKUP($C35,[5]Nod!$A$3:$E$999,5,FALSE)," ")</f>
        <v>3</v>
      </c>
      <c r="H35" s="114" t="s">
        <v>59</v>
      </c>
      <c r="I35" s="109"/>
      <c r="J35" s="115">
        <v>6009</v>
      </c>
      <c r="K35" s="111">
        <v>238.43</v>
      </c>
      <c r="L35" s="90" t="str">
        <f>VLOOKUP($J35,[5]Nod!$A$3:$E$999,4,FALSE)</f>
        <v>LSA115</v>
      </c>
      <c r="M35" s="90">
        <f>VLOOKUP($J35,[5]Nod!$A$3:$E$999,5,FALSE)</f>
        <v>5</v>
      </c>
    </row>
    <row r="36" spans="1:13" ht="15" customHeight="1" x14ac:dyDescent="0.25">
      <c r="A36" s="108" t="s">
        <v>56</v>
      </c>
      <c r="B36" s="109"/>
      <c r="C36" s="110">
        <v>6087</v>
      </c>
      <c r="D36" s="111">
        <v>54.76</v>
      </c>
      <c r="E36" s="112">
        <v>0</v>
      </c>
      <c r="F36" s="90" t="str">
        <f>IFERROR(VLOOKUP($C36,[5]Nod!$A$3:$E$999,4,FALSE)," ")</f>
        <v>CAL115</v>
      </c>
      <c r="G36" s="90">
        <f>IFERROR(VLOOKUP($C36,[5]Nod!$A$3:$E$999,5,FALSE)," ")</f>
        <v>3</v>
      </c>
      <c r="H36" s="113" t="s">
        <v>61</v>
      </c>
      <c r="I36" s="109"/>
      <c r="J36" s="115"/>
      <c r="K36" s="111"/>
      <c r="L36" s="90"/>
      <c r="M36" s="90"/>
    </row>
    <row r="37" spans="1:13" ht="15" customHeight="1" x14ac:dyDescent="0.25">
      <c r="A37" s="108" t="s">
        <v>58</v>
      </c>
      <c r="B37" s="109"/>
      <c r="C37" s="110">
        <v>6087</v>
      </c>
      <c r="D37" s="111">
        <v>19.75</v>
      </c>
      <c r="E37" s="112">
        <v>0</v>
      </c>
      <c r="F37" s="90" t="str">
        <f>IFERROR(VLOOKUP($C37,[5]Nod!$A$3:$E$999,4,FALSE)," ")</f>
        <v>CAL115</v>
      </c>
      <c r="G37" s="90">
        <f>IFERROR(VLOOKUP($C37,[5]Nod!$A$3:$E$999,5,FALSE)," ")</f>
        <v>3</v>
      </c>
      <c r="H37" s="114" t="s">
        <v>63</v>
      </c>
      <c r="I37" s="109"/>
      <c r="J37" s="115">
        <v>6009</v>
      </c>
      <c r="K37" s="111">
        <v>0.98298267347968538</v>
      </c>
      <c r="L37" s="90" t="str">
        <f>VLOOKUP($J37,[5]Nod!$A$3:$E$999,4,FALSE)</f>
        <v>LSA115</v>
      </c>
      <c r="M37" s="90">
        <f>VLOOKUP($J37,[5]Nod!$A$3:$E$999,5,FALSE)</f>
        <v>5</v>
      </c>
    </row>
    <row r="38" spans="1:13" ht="15" customHeight="1" x14ac:dyDescent="0.25">
      <c r="A38" s="108" t="s">
        <v>60</v>
      </c>
      <c r="B38" s="109"/>
      <c r="C38" s="110">
        <v>6087</v>
      </c>
      <c r="D38" s="111">
        <v>15.5</v>
      </c>
      <c r="E38" s="112">
        <v>0</v>
      </c>
      <c r="F38" s="90" t="str">
        <f>IFERROR(VLOOKUP($C38,[5]Nod!$A$3:$E$999,4,FALSE)," ")</f>
        <v>CAL115</v>
      </c>
      <c r="G38" s="90">
        <f>IFERROR(VLOOKUP($C38,[5]Nod!$A$3:$E$999,5,FALSE)," ")</f>
        <v>3</v>
      </c>
      <c r="H38" s="114" t="s">
        <v>65</v>
      </c>
      <c r="I38" s="109"/>
      <c r="J38" s="115">
        <v>6009</v>
      </c>
      <c r="K38" s="111">
        <v>0.81643298536117104</v>
      </c>
      <c r="L38" s="90" t="str">
        <f>VLOOKUP($J38,[5]Nod!$A$3:$E$999,4,FALSE)</f>
        <v>LSA115</v>
      </c>
      <c r="M38" s="90">
        <f>VLOOKUP($J38,[5]Nod!$A$3:$E$999,5,FALSE)</f>
        <v>5</v>
      </c>
    </row>
    <row r="39" spans="1:13" ht="15" customHeight="1" x14ac:dyDescent="0.25">
      <c r="A39" s="108" t="s">
        <v>62</v>
      </c>
      <c r="B39" s="109"/>
      <c r="C39" s="110">
        <v>6087</v>
      </c>
      <c r="D39" s="111">
        <v>8.1999999999999993</v>
      </c>
      <c r="E39" s="112">
        <v>0</v>
      </c>
      <c r="F39" s="90" t="str">
        <f>IFERROR(VLOOKUP($C39,[5]Nod!$A$3:$E$999,4,FALSE)," ")</f>
        <v>CAL115</v>
      </c>
      <c r="G39" s="90">
        <f>IFERROR(VLOOKUP($C39,[5]Nod!$A$3:$E$999,5,FALSE)," ")</f>
        <v>3</v>
      </c>
      <c r="H39" s="114" t="s">
        <v>66</v>
      </c>
      <c r="I39" s="109"/>
      <c r="J39" s="115">
        <v>6009</v>
      </c>
      <c r="K39" s="111">
        <v>0.12041963653493307</v>
      </c>
      <c r="L39" s="90" t="str">
        <f>VLOOKUP($J39,[5]Nod!$A$3:$E$999,4,FALSE)</f>
        <v>LSA115</v>
      </c>
      <c r="M39" s="90">
        <f>VLOOKUP($J39,[5]Nod!$A$3:$E$999,5,FALSE)</f>
        <v>5</v>
      </c>
    </row>
    <row r="40" spans="1:13" ht="15" customHeight="1" x14ac:dyDescent="0.25">
      <c r="A40" s="108" t="s">
        <v>64</v>
      </c>
      <c r="B40" s="109"/>
      <c r="C40" s="110">
        <v>6087</v>
      </c>
      <c r="D40" s="111">
        <v>9.86</v>
      </c>
      <c r="E40" s="112">
        <v>0</v>
      </c>
      <c r="F40" s="90" t="str">
        <f>IFERROR(VLOOKUP($C40,[5]Nod!$A$3:$E$999,4,FALSE)," ")</f>
        <v>CAL115</v>
      </c>
      <c r="G40" s="90">
        <f>IFERROR(VLOOKUP($C40,[5]Nod!$A$3:$E$999,5,FALSE)," ")</f>
        <v>3</v>
      </c>
      <c r="H40" s="130" t="s">
        <v>44</v>
      </c>
      <c r="I40" s="109"/>
      <c r="J40" s="110"/>
      <c r="K40" s="129"/>
      <c r="L40" s="90"/>
      <c r="M40" s="90"/>
    </row>
    <row r="41" spans="1:13" ht="15" customHeight="1" x14ac:dyDescent="0.25">
      <c r="A41" s="126" t="s">
        <v>44</v>
      </c>
      <c r="B41" s="109"/>
      <c r="C41" s="110"/>
      <c r="D41" s="127"/>
      <c r="E41" s="112"/>
      <c r="F41" s="90" t="str">
        <f>IFERROR(VLOOKUP($C41,[5]Nod!$A$3:$E$999,4,FALSE)," ")</f>
        <v xml:space="preserve"> </v>
      </c>
      <c r="G41" s="90" t="str">
        <f>IFERROR(VLOOKUP($C41,[5]Nod!$A$3:$E$999,5,FALSE)," ")</f>
        <v xml:space="preserve"> </v>
      </c>
      <c r="H41" s="121">
        <v>6</v>
      </c>
      <c r="I41" s="122"/>
      <c r="J41" s="123"/>
      <c r="K41" s="124">
        <f>SUM(K42:K47)</f>
        <v>171.22199929453993</v>
      </c>
      <c r="L41" s="90"/>
      <c r="M41" s="90"/>
    </row>
    <row r="42" spans="1:13" ht="15" customHeight="1" x14ac:dyDescent="0.25">
      <c r="A42" s="121">
        <v>4</v>
      </c>
      <c r="B42" s="122"/>
      <c r="C42" s="123"/>
      <c r="D42" s="124">
        <f>SUM(D43:D71)</f>
        <v>375.70699999999999</v>
      </c>
      <c r="E42" s="128"/>
      <c r="F42" s="90" t="str">
        <f>IFERROR(VLOOKUP($C42,[5]Nod!$A$3:$E$999,4,FALSE)," ")</f>
        <v xml:space="preserve"> </v>
      </c>
      <c r="G42" s="90" t="str">
        <f>IFERROR(VLOOKUP($C42,[5]Nod!$A$3:$E$999,5,FALSE)," ")</f>
        <v xml:space="preserve"> </v>
      </c>
      <c r="H42" s="113" t="s">
        <v>57</v>
      </c>
      <c r="I42" s="109"/>
      <c r="J42" s="110"/>
      <c r="K42" s="129"/>
      <c r="L42" s="90"/>
      <c r="M42" s="90"/>
    </row>
    <row r="43" spans="1:13" ht="15" customHeight="1" x14ac:dyDescent="0.25">
      <c r="A43" s="108" t="s">
        <v>67</v>
      </c>
      <c r="B43" s="109"/>
      <c r="C43" s="115">
        <v>6380</v>
      </c>
      <c r="D43" s="111">
        <v>10</v>
      </c>
      <c r="E43" s="112">
        <v>0</v>
      </c>
      <c r="F43" s="90" t="str">
        <f>IFERROR(VLOOKUP($C43,[5]Nod!$A$3:$E$999,4,FALSE)," ")</f>
        <v>BOQIII230</v>
      </c>
      <c r="G43" s="90">
        <f>IFERROR(VLOOKUP($C43,[5]Nod!$A$3:$E$999,5,FALSE)," ")</f>
        <v>4</v>
      </c>
      <c r="H43" s="114" t="s">
        <v>70</v>
      </c>
      <c r="I43" s="109"/>
      <c r="J43" s="115">
        <v>6005</v>
      </c>
      <c r="K43" s="111">
        <v>169.89</v>
      </c>
      <c r="L43" s="90" t="str">
        <f>VLOOKUP($J43,[5]Nod!$A$3:$E$999,4,FALSE)</f>
        <v>CHO230</v>
      </c>
      <c r="M43" s="90">
        <f>VLOOKUP($J43,[5]Nod!$A$3:$E$999,5,FALSE)</f>
        <v>6</v>
      </c>
    </row>
    <row r="44" spans="1:13" ht="15" customHeight="1" x14ac:dyDescent="0.25">
      <c r="A44" s="135" t="s">
        <v>68</v>
      </c>
      <c r="B44" s="109"/>
      <c r="C44" s="115">
        <v>6380</v>
      </c>
      <c r="D44" s="111">
        <v>3.5</v>
      </c>
      <c r="E44" s="112">
        <v>0</v>
      </c>
      <c r="F44" s="90" t="str">
        <f>IFERROR(VLOOKUP($C44,[5]Nod!$A$3:$E$999,4,FALSE)," ")</f>
        <v>BOQIII230</v>
      </c>
      <c r="G44" s="90">
        <f>IFERROR(VLOOKUP($C44,[5]Nod!$A$3:$E$999,5,FALSE)," ")</f>
        <v>4</v>
      </c>
      <c r="H44" s="113" t="s">
        <v>61</v>
      </c>
      <c r="I44" s="109"/>
      <c r="J44" s="115"/>
      <c r="K44" s="111"/>
      <c r="L44" s="90"/>
      <c r="M44" s="90"/>
    </row>
    <row r="45" spans="1:13" ht="15" customHeight="1" x14ac:dyDescent="0.25">
      <c r="A45" s="108" t="s">
        <v>69</v>
      </c>
      <c r="B45" s="109"/>
      <c r="C45" s="115">
        <v>6013</v>
      </c>
      <c r="D45" s="111">
        <v>6.12</v>
      </c>
      <c r="E45" s="112">
        <v>0</v>
      </c>
      <c r="F45" s="90" t="str">
        <f>IFERROR(VLOOKUP($C45,[5]Nod!$A$3:$E$999,4,FALSE)," ")</f>
        <v>MDN34</v>
      </c>
      <c r="G45" s="90">
        <f>IFERROR(VLOOKUP($C45,[5]Nod!$A$3:$E$999,5,FALSE)," ")</f>
        <v>4</v>
      </c>
      <c r="H45" s="114" t="s">
        <v>63</v>
      </c>
      <c r="I45" s="109"/>
      <c r="J45" s="115">
        <v>6005</v>
      </c>
      <c r="K45" s="111">
        <v>0.29932012016500509</v>
      </c>
      <c r="L45" s="90" t="str">
        <f>VLOOKUP($J45,[5]Nod!$A$3:$E$999,4,FALSE)</f>
        <v>CHO230</v>
      </c>
      <c r="M45" s="90">
        <f>VLOOKUP($J45,[5]Nod!$A$3:$E$999,5,FALSE)</f>
        <v>6</v>
      </c>
    </row>
    <row r="46" spans="1:13" ht="15" customHeight="1" x14ac:dyDescent="0.25">
      <c r="A46" s="135" t="s">
        <v>71</v>
      </c>
      <c r="B46" s="109"/>
      <c r="C46" s="115">
        <v>6013</v>
      </c>
      <c r="D46" s="111">
        <v>4.95</v>
      </c>
      <c r="E46" s="112">
        <v>0</v>
      </c>
      <c r="F46" s="90" t="str">
        <f>IFERROR(VLOOKUP($C46,[5]Nod!$A$3:$E$999,4,FALSE)," ")</f>
        <v>MDN34</v>
      </c>
      <c r="G46" s="90">
        <f>IFERROR(VLOOKUP($C46,[5]Nod!$A$3:$E$999,5,FALSE)," ")</f>
        <v>4</v>
      </c>
      <c r="H46" s="114" t="s">
        <v>74</v>
      </c>
      <c r="I46" s="109"/>
      <c r="J46" s="115">
        <v>6005</v>
      </c>
      <c r="K46" s="111">
        <v>1.0326791743749477</v>
      </c>
      <c r="L46" s="90" t="str">
        <f>VLOOKUP($J46,[5]Nod!$A$3:$E$999,4,FALSE)</f>
        <v>CHO230</v>
      </c>
      <c r="M46" s="90">
        <f>VLOOKUP($J46,[5]Nod!$A$3:$E$999,5,FALSE)</f>
        <v>6</v>
      </c>
    </row>
    <row r="47" spans="1:13" ht="15" customHeight="1" x14ac:dyDescent="0.25">
      <c r="A47" s="108" t="s">
        <v>72</v>
      </c>
      <c r="B47" s="109"/>
      <c r="C47" s="115">
        <v>6380</v>
      </c>
      <c r="D47" s="111">
        <v>20</v>
      </c>
      <c r="E47" s="136">
        <v>0</v>
      </c>
      <c r="F47" s="90" t="str">
        <f>IFERROR(VLOOKUP($C47,[5]Nod!$A$3:$E$999,4,FALSE)," ")</f>
        <v>BOQIII230</v>
      </c>
      <c r="G47" s="90">
        <f>IFERROR(VLOOKUP($C47,[5]Nod!$A$3:$E$999,5,FALSE)," ")</f>
        <v>4</v>
      </c>
      <c r="H47" s="116" t="s">
        <v>44</v>
      </c>
      <c r="I47" s="117"/>
      <c r="J47" s="118"/>
      <c r="K47" s="125"/>
      <c r="L47" s="90"/>
      <c r="M47" s="90"/>
    </row>
    <row r="48" spans="1:13" ht="15" customHeight="1" x14ac:dyDescent="0.25">
      <c r="A48" s="108" t="s">
        <v>73</v>
      </c>
      <c r="B48" s="109"/>
      <c r="C48" s="115">
        <v>6380</v>
      </c>
      <c r="D48" s="111">
        <v>14</v>
      </c>
      <c r="E48" s="136">
        <v>0</v>
      </c>
      <c r="F48" s="90" t="str">
        <f>IFERROR(VLOOKUP($C48,[5]Nod!$A$3:$E$999,4,FALSE)," ")</f>
        <v>BOQIII230</v>
      </c>
      <c r="G48" s="90">
        <f>IFERROR(VLOOKUP($C48,[5]Nod!$A$3:$E$999,5,FALSE)," ")</f>
        <v>4</v>
      </c>
      <c r="H48" s="103">
        <v>7</v>
      </c>
      <c r="I48" s="104"/>
      <c r="J48" s="105"/>
      <c r="K48" s="106">
        <f>SUM(K49:K64)</f>
        <v>1101.3877155576843</v>
      </c>
      <c r="L48" s="90"/>
      <c r="M48" s="90"/>
    </row>
    <row r="49" spans="1:13" ht="15" customHeight="1" x14ac:dyDescent="0.25">
      <c r="A49" s="108" t="s">
        <v>75</v>
      </c>
      <c r="B49" s="109"/>
      <c r="C49" s="115">
        <v>6380</v>
      </c>
      <c r="D49" s="111">
        <v>14</v>
      </c>
      <c r="E49" s="136">
        <v>0</v>
      </c>
      <c r="F49" s="90" t="str">
        <f>IFERROR(VLOOKUP($C49,[5]Nod!$A$3:$E$999,4,FALSE)," ")</f>
        <v>BOQIII230</v>
      </c>
      <c r="G49" s="90">
        <f>IFERROR(VLOOKUP($C49,[5]Nod!$A$3:$E$999,5,FALSE)," ")</f>
        <v>4</v>
      </c>
      <c r="H49" s="113" t="s">
        <v>78</v>
      </c>
      <c r="I49" s="109"/>
      <c r="J49" s="110"/>
      <c r="K49" s="111"/>
      <c r="L49" s="90"/>
      <c r="M49" s="90"/>
    </row>
    <row r="50" spans="1:13" ht="15" customHeight="1" x14ac:dyDescent="0.25">
      <c r="A50" s="135" t="s">
        <v>76</v>
      </c>
      <c r="B50" s="109"/>
      <c r="C50" s="137">
        <v>6013</v>
      </c>
      <c r="D50" s="111">
        <v>2.5</v>
      </c>
      <c r="E50" s="112">
        <v>0</v>
      </c>
      <c r="F50" s="90" t="str">
        <f>IFERROR(VLOOKUP($C50,[5]Nod!$A$3:$E$999,4,FALSE)," ")</f>
        <v>MDN34</v>
      </c>
      <c r="G50" s="90">
        <f>IFERROR(VLOOKUP($C50,[5]Nod!$A$3:$E$999,5,FALSE)," ")</f>
        <v>4</v>
      </c>
      <c r="H50" s="114" t="s">
        <v>80</v>
      </c>
      <c r="I50" s="109"/>
      <c r="J50" s="115">
        <v>6002</v>
      </c>
      <c r="K50" s="111">
        <v>284.93999999999994</v>
      </c>
      <c r="L50" s="90" t="str">
        <f>VLOOKUP($J50,[5]Nod!$A$3:$E$999,4,FALSE)</f>
        <v>PAN115</v>
      </c>
      <c r="M50" s="90">
        <f>VLOOKUP($J50,[5]Nod!$A$3:$E$999,5,FALSE)</f>
        <v>7</v>
      </c>
    </row>
    <row r="51" spans="1:13" ht="15" customHeight="1" x14ac:dyDescent="0.25">
      <c r="A51" s="135" t="s">
        <v>77</v>
      </c>
      <c r="B51" s="109"/>
      <c r="C51" s="137">
        <v>6013</v>
      </c>
      <c r="D51" s="111">
        <v>3.12</v>
      </c>
      <c r="E51" s="112">
        <v>0</v>
      </c>
      <c r="F51" s="90" t="str">
        <f>IFERROR(VLOOKUP($C51,[5]Nod!$A$3:$E$999,4,FALSE)," ")</f>
        <v>MDN34</v>
      </c>
      <c r="G51" s="90">
        <f>IFERROR(VLOOKUP($C51,[5]Nod!$A$3:$E$999,5,FALSE)," ")</f>
        <v>4</v>
      </c>
      <c r="H51" s="114" t="s">
        <v>82</v>
      </c>
      <c r="I51" s="109"/>
      <c r="J51" s="115">
        <v>6004</v>
      </c>
      <c r="K51" s="111">
        <v>263.02</v>
      </c>
      <c r="L51" s="90" t="str">
        <f>VLOOKUP($J51,[5]Nod!$A$3:$E$999,4,FALSE)</f>
        <v>PANII115</v>
      </c>
      <c r="M51" s="90">
        <f>VLOOKUP($J51,[5]Nod!$A$3:$E$999,5,FALSE)</f>
        <v>7</v>
      </c>
    </row>
    <row r="52" spans="1:13" ht="15" customHeight="1" x14ac:dyDescent="0.25">
      <c r="A52" s="108" t="s">
        <v>79</v>
      </c>
      <c r="B52" s="109"/>
      <c r="C52" s="115">
        <v>6380</v>
      </c>
      <c r="D52" s="111">
        <v>10</v>
      </c>
      <c r="E52" s="112">
        <v>0</v>
      </c>
      <c r="F52" s="90" t="str">
        <f>IFERROR(VLOOKUP($C52,[5]Nod!$A$3:$E$999,4,FALSE)," ")</f>
        <v>BOQIII230</v>
      </c>
      <c r="G52" s="90">
        <f>IFERROR(VLOOKUP($C52,[5]Nod!$A$3:$E$999,5,FALSE)," ")</f>
        <v>4</v>
      </c>
      <c r="H52" s="114"/>
      <c r="I52" s="109"/>
      <c r="J52" s="115"/>
      <c r="K52" s="111"/>
      <c r="L52" s="90"/>
      <c r="M52" s="90"/>
    </row>
    <row r="53" spans="1:13" ht="15" customHeight="1" x14ac:dyDescent="0.25">
      <c r="A53" s="108" t="s">
        <v>81</v>
      </c>
      <c r="B53" s="109"/>
      <c r="C53" s="115">
        <v>6380</v>
      </c>
      <c r="D53" s="111">
        <v>10</v>
      </c>
      <c r="E53" s="112">
        <v>0</v>
      </c>
      <c r="F53" s="90" t="str">
        <f>IFERROR(VLOOKUP($C53,[5]Nod!$A$3:$E$999,4,FALSE)," ")</f>
        <v>BOQIII230</v>
      </c>
      <c r="G53" s="90">
        <f>IFERROR(VLOOKUP($C53,[5]Nod!$A$3:$E$999,5,FALSE)," ")</f>
        <v>4</v>
      </c>
      <c r="H53" s="113" t="s">
        <v>57</v>
      </c>
      <c r="I53" s="109"/>
      <c r="J53" s="115"/>
      <c r="K53" s="111"/>
      <c r="L53" s="90"/>
      <c r="M53" s="90"/>
    </row>
    <row r="54" spans="1:13" ht="15" customHeight="1" x14ac:dyDescent="0.25">
      <c r="A54" s="108" t="s">
        <v>83</v>
      </c>
      <c r="B54" s="109"/>
      <c r="C54" s="115">
        <v>6013</v>
      </c>
      <c r="D54" s="111">
        <v>8.1199999999999992</v>
      </c>
      <c r="E54" s="112">
        <v>0</v>
      </c>
      <c r="F54" s="90" t="str">
        <f>IFERROR(VLOOKUP($C54,[5]Nod!$A$3:$E$999,4,FALSE)," ")</f>
        <v>MDN34</v>
      </c>
      <c r="G54" s="90">
        <f>IFERROR(VLOOKUP($C54,[5]Nod!$A$3:$E$999,5,FALSE)," ")</f>
        <v>4</v>
      </c>
      <c r="H54" s="114" t="s">
        <v>80</v>
      </c>
      <c r="I54" s="109"/>
      <c r="J54" s="115">
        <v>6002</v>
      </c>
      <c r="K54" s="111">
        <v>517.89</v>
      </c>
      <c r="L54" s="90" t="str">
        <f>VLOOKUP($J54,[5]Nod!$A$3:$E$999,4,FALSE)</f>
        <v>PAN115</v>
      </c>
      <c r="M54" s="90">
        <f>VLOOKUP($J54,[5]Nod!$A$3:$E$999,5,FALSE)</f>
        <v>7</v>
      </c>
    </row>
    <row r="55" spans="1:13" ht="15" customHeight="1" x14ac:dyDescent="0.25">
      <c r="A55" s="108" t="s">
        <v>84</v>
      </c>
      <c r="B55" s="109"/>
      <c r="C55" s="115">
        <v>6182</v>
      </c>
      <c r="D55" s="111">
        <v>51.65</v>
      </c>
      <c r="E55" s="112">
        <v>0</v>
      </c>
      <c r="F55" s="90" t="str">
        <f>IFERROR(VLOOKUP($C55,[5]Nod!$A$3:$E$999,4,FALSE)," ")</f>
        <v>VEL230</v>
      </c>
      <c r="G55" s="90">
        <f>IFERROR(VLOOKUP($C55,[5]Nod!$A$3:$E$999,5,FALSE)," ")</f>
        <v>4</v>
      </c>
      <c r="H55" s="113" t="s">
        <v>61</v>
      </c>
      <c r="I55" s="109"/>
      <c r="J55" s="115"/>
      <c r="K55" s="111"/>
      <c r="L55" s="90"/>
      <c r="M55" s="90"/>
    </row>
    <row r="56" spans="1:13" ht="15" customHeight="1" x14ac:dyDescent="0.25">
      <c r="A56" s="135" t="s">
        <v>85</v>
      </c>
      <c r="B56" s="109"/>
      <c r="C56" s="115">
        <v>6380</v>
      </c>
      <c r="D56" s="111">
        <v>3.2869999999999999</v>
      </c>
      <c r="E56" s="112">
        <v>0</v>
      </c>
      <c r="F56" s="90" t="str">
        <f>IFERROR(VLOOKUP($C56,[5]Nod!$A$3:$E$999,4,FALSE)," ")</f>
        <v>BOQIII230</v>
      </c>
      <c r="G56" s="90">
        <f>IFERROR(VLOOKUP($C56,[5]Nod!$A$3:$E$999,5,FALSE)," ")</f>
        <v>4</v>
      </c>
      <c r="H56" s="114" t="s">
        <v>88</v>
      </c>
      <c r="I56" s="109"/>
      <c r="J56" s="115">
        <v>6024</v>
      </c>
      <c r="K56" s="111">
        <v>24.14123591370431</v>
      </c>
      <c r="L56" s="90" t="str">
        <f>VLOOKUP($J56,[5]Nod!$A$3:$E$999,4,FALSE)</f>
        <v>CHI115</v>
      </c>
      <c r="M56" s="90">
        <f>VLOOKUP($J56,[5]Nod!$A$3:$E$999,5,FALSE)</f>
        <v>7</v>
      </c>
    </row>
    <row r="57" spans="1:13" ht="15" customHeight="1" x14ac:dyDescent="0.25">
      <c r="A57" s="135" t="s">
        <v>86</v>
      </c>
      <c r="B57" s="109"/>
      <c r="C57" s="115">
        <v>6380</v>
      </c>
      <c r="D57" s="111">
        <v>4</v>
      </c>
      <c r="E57" s="112">
        <v>13</v>
      </c>
      <c r="F57" s="90" t="str">
        <f>IFERROR(VLOOKUP($C57,[5]Nod!$A$3:$E$999,4,FALSE)," ")</f>
        <v>BOQIII230</v>
      </c>
      <c r="G57" s="90">
        <f>IFERROR(VLOOKUP($C57,[5]Nod!$A$3:$E$999,5,FALSE)," ")</f>
        <v>4</v>
      </c>
      <c r="H57" s="114" t="s">
        <v>90</v>
      </c>
      <c r="I57" s="109"/>
      <c r="J57" s="115">
        <v>6002</v>
      </c>
      <c r="K57" s="111">
        <v>1.1599999999999999</v>
      </c>
      <c r="L57" s="90" t="str">
        <f>VLOOKUP($J57,[5]Nod!$A$3:$E$999,4,FALSE)</f>
        <v>PAN115</v>
      </c>
      <c r="M57" s="90">
        <f>VLOOKUP($J57,[5]Nod!$A$3:$E$999,5,FALSE)</f>
        <v>7</v>
      </c>
    </row>
    <row r="58" spans="1:13" ht="15" customHeight="1" x14ac:dyDescent="0.25">
      <c r="A58" s="108" t="s">
        <v>87</v>
      </c>
      <c r="B58" s="109"/>
      <c r="C58" s="115">
        <v>6182</v>
      </c>
      <c r="D58" s="111">
        <v>69.48</v>
      </c>
      <c r="E58" s="112">
        <v>0</v>
      </c>
      <c r="F58" s="90" t="str">
        <f>IFERROR(VLOOKUP($C58,[5]Nod!$A$3:$E$999,4,FALSE)," ")</f>
        <v>VEL230</v>
      </c>
      <c r="G58" s="90">
        <f>IFERROR(VLOOKUP($C58,[5]Nod!$A$3:$E$999,5,FALSE)," ")</f>
        <v>4</v>
      </c>
      <c r="H58" s="114" t="s">
        <v>63</v>
      </c>
      <c r="I58" s="109"/>
      <c r="J58" s="115">
        <v>6002</v>
      </c>
      <c r="K58" s="111">
        <v>3.9782919721040182</v>
      </c>
      <c r="L58" s="90" t="str">
        <f>VLOOKUP($J58,[5]Nod!$A$3:$E$999,4,FALSE)</f>
        <v>PAN115</v>
      </c>
      <c r="M58" s="90">
        <f>VLOOKUP($J58,[5]Nod!$A$3:$E$999,5,FALSE)</f>
        <v>7</v>
      </c>
    </row>
    <row r="59" spans="1:13" ht="15" customHeight="1" x14ac:dyDescent="0.25">
      <c r="A59" s="164" t="s">
        <v>156</v>
      </c>
      <c r="B59" s="109"/>
      <c r="C59" s="115">
        <v>6182</v>
      </c>
      <c r="D59" s="111">
        <v>1.1100000000000001</v>
      </c>
      <c r="E59" s="112">
        <v>0</v>
      </c>
      <c r="F59" s="90" t="str">
        <f>IFERROR(VLOOKUP($C59,[5]Nod!$A$3:$E$999,4,FALSE)," ")</f>
        <v>VEL230</v>
      </c>
      <c r="G59" s="90">
        <f>IFERROR(VLOOKUP($C59,[5]Nod!$A$3:$E$999,5,FALSE)," ")</f>
        <v>4</v>
      </c>
      <c r="H59" s="114" t="s">
        <v>93</v>
      </c>
      <c r="I59" s="109"/>
      <c r="J59" s="115">
        <v>6002</v>
      </c>
      <c r="K59" s="111">
        <v>0.91532859317102244</v>
      </c>
      <c r="L59" s="90" t="str">
        <f>VLOOKUP($J59,[5]Nod!$A$3:$E$999,4,FALSE)</f>
        <v>PAN115</v>
      </c>
      <c r="M59" s="90">
        <f>VLOOKUP($J59,[5]Nod!$A$3:$E$999,5,FALSE)</f>
        <v>7</v>
      </c>
    </row>
    <row r="60" spans="1:13" ht="15" customHeight="1" x14ac:dyDescent="0.25">
      <c r="A60" s="138" t="s">
        <v>89</v>
      </c>
      <c r="B60" s="139"/>
      <c r="C60" s="140">
        <v>6380</v>
      </c>
      <c r="D60" s="141">
        <v>5</v>
      </c>
      <c r="E60" s="142">
        <v>13</v>
      </c>
      <c r="F60" s="90" t="str">
        <f>IFERROR(VLOOKUP($C60,[5]Nod!$A$3:$E$999,4,FALSE)," ")</f>
        <v>BOQIII230</v>
      </c>
      <c r="G60" s="90">
        <f>IFERROR(VLOOKUP($C60,[5]Nod!$A$3:$E$999,5,FALSE)," ")</f>
        <v>4</v>
      </c>
      <c r="H60" s="114" t="s">
        <v>95</v>
      </c>
      <c r="I60" s="109"/>
      <c r="J60" s="115">
        <v>6002</v>
      </c>
      <c r="K60" s="111">
        <v>0.16502931546830643</v>
      </c>
      <c r="L60" s="90" t="str">
        <f>VLOOKUP($J60,[5]Nod!$A$3:$E$999,4,FALSE)</f>
        <v>PAN115</v>
      </c>
      <c r="M60" s="90">
        <f>VLOOKUP($J60,[5]Nod!$A$3:$E$999,5,FALSE)</f>
        <v>7</v>
      </c>
    </row>
    <row r="61" spans="1:13" ht="15" customHeight="1" x14ac:dyDescent="0.25">
      <c r="A61" s="165" t="s">
        <v>91</v>
      </c>
      <c r="B61" s="166"/>
      <c r="C61" s="140">
        <v>6013</v>
      </c>
      <c r="D61" s="141">
        <v>3.72</v>
      </c>
      <c r="E61" s="142">
        <v>0</v>
      </c>
      <c r="F61" s="90" t="str">
        <f>IFERROR(VLOOKUP($C61,[5]Nod!$A$3:$E$999,4,FALSE)," ")</f>
        <v>MDN34</v>
      </c>
      <c r="G61" s="90">
        <f>IFERROR(VLOOKUP($C61,[5]Nod!$A$3:$E$999,5,FALSE)," ")</f>
        <v>4</v>
      </c>
      <c r="H61" s="114" t="s">
        <v>97</v>
      </c>
      <c r="I61" s="109"/>
      <c r="J61" s="115">
        <v>6002</v>
      </c>
      <c r="K61" s="111">
        <v>1.3409961685823757</v>
      </c>
      <c r="L61" s="90" t="str">
        <f>VLOOKUP($J61,[5]Nod!$A$3:$E$999,4,FALSE)</f>
        <v>PAN115</v>
      </c>
      <c r="M61" s="90">
        <f>VLOOKUP($J61,[5]Nod!$A$3:$E$999,5,FALSE)</f>
        <v>7</v>
      </c>
    </row>
    <row r="62" spans="1:13" ht="15" customHeight="1" x14ac:dyDescent="0.25">
      <c r="A62" s="108" t="s">
        <v>92</v>
      </c>
      <c r="B62" s="109"/>
      <c r="C62" s="137">
        <v>6013</v>
      </c>
      <c r="D62" s="111">
        <v>10</v>
      </c>
      <c r="E62" s="112">
        <v>13</v>
      </c>
      <c r="F62" s="90" t="str">
        <f>IFERROR(VLOOKUP($C62,[5]Nod!$A$3:$E$999,4,FALSE)," ")</f>
        <v>MDN34</v>
      </c>
      <c r="G62" s="90">
        <f>IFERROR(VLOOKUP($C62,[5]Nod!$A$3:$E$999,5,FALSE)," ")</f>
        <v>4</v>
      </c>
      <c r="H62" s="114" t="s">
        <v>99</v>
      </c>
      <c r="I62" s="109"/>
      <c r="J62" s="115">
        <v>6002</v>
      </c>
      <c r="K62" s="111">
        <v>3.5418235458082181</v>
      </c>
      <c r="L62" s="90" t="str">
        <f>VLOOKUP($J62,[5]Nod!$A$3:$E$999,4,FALSE)</f>
        <v>PAN115</v>
      </c>
      <c r="M62" s="90">
        <f>VLOOKUP($J62,[5]Nod!$A$3:$E$999,5,FALSE)</f>
        <v>7</v>
      </c>
    </row>
    <row r="63" spans="1:13" ht="15" customHeight="1" x14ac:dyDescent="0.25">
      <c r="A63" s="108" t="s">
        <v>94</v>
      </c>
      <c r="B63" s="109"/>
      <c r="C63" s="137">
        <v>6520</v>
      </c>
      <c r="D63" s="141">
        <v>19.87</v>
      </c>
      <c r="E63" s="136">
        <v>0</v>
      </c>
      <c r="F63" s="90" t="str">
        <f>IFERROR(VLOOKUP($C63,[5]Nod!$A$3:$E$999,4,FALSE)," ")</f>
        <v>SBA230</v>
      </c>
      <c r="G63" s="90">
        <f>IFERROR(VLOOKUP($C63,[5]Nod!$A$3:$E$999,5,FALSE)," ")</f>
        <v>4</v>
      </c>
      <c r="H63" s="114" t="s">
        <v>101</v>
      </c>
      <c r="I63" s="109"/>
      <c r="J63" s="115">
        <v>6004</v>
      </c>
      <c r="K63" s="111">
        <v>0.29501004884593701</v>
      </c>
      <c r="L63" s="90" t="str">
        <f>VLOOKUP($J63,[5]Nod!$A$3:$E$999,4,FALSE)</f>
        <v>PANII115</v>
      </c>
      <c r="M63" s="90">
        <f>VLOOKUP($J63,[5]Nod!$A$3:$E$999,5,FALSE)</f>
        <v>7</v>
      </c>
    </row>
    <row r="64" spans="1:13" ht="15" customHeight="1" x14ac:dyDescent="0.25">
      <c r="A64" s="120" t="s">
        <v>96</v>
      </c>
      <c r="C64" s="137">
        <v>6550</v>
      </c>
      <c r="D64" s="144">
        <v>28.5</v>
      </c>
      <c r="E64" s="136">
        <v>0</v>
      </c>
      <c r="F64" s="90" t="str">
        <f>IFERROR(VLOOKUP($C64,[5]Nod!$A$3:$E$999,4,FALSE)," ")</f>
        <v>BEV230</v>
      </c>
      <c r="G64" s="90">
        <f>IFERROR(VLOOKUP($C64,[5]Nod!$A$3:$E$999,5,FALSE)," ")</f>
        <v>4</v>
      </c>
      <c r="H64" s="116" t="s">
        <v>44</v>
      </c>
      <c r="I64" s="117"/>
      <c r="J64" s="134"/>
      <c r="K64" s="119"/>
      <c r="L64" s="90"/>
      <c r="M64" s="90"/>
    </row>
    <row r="65" spans="1:13" ht="15" customHeight="1" x14ac:dyDescent="0.25">
      <c r="A65" s="120" t="s">
        <v>98</v>
      </c>
      <c r="C65" s="115">
        <v>6380</v>
      </c>
      <c r="D65" s="144">
        <v>13.14</v>
      </c>
      <c r="E65" s="136">
        <v>0</v>
      </c>
      <c r="F65" s="90" t="str">
        <f>IFERROR(VLOOKUP($C65,[5]Nod!$A$3:$E$999,4,FALSE)," ")</f>
        <v>BOQIII230</v>
      </c>
      <c r="G65" s="90">
        <f>IFERROR(VLOOKUP($C65,[5]Nod!$A$3:$E$999,5,FALSE)," ")</f>
        <v>4</v>
      </c>
      <c r="H65" s="121">
        <v>8</v>
      </c>
      <c r="I65" s="122"/>
      <c r="J65" s="123"/>
      <c r="K65" s="124">
        <f>SUM(K66:K68)</f>
        <v>24.31</v>
      </c>
      <c r="L65" s="90"/>
      <c r="M65" s="90"/>
    </row>
    <row r="66" spans="1:13" ht="15" customHeight="1" x14ac:dyDescent="0.25">
      <c r="A66" s="120" t="s">
        <v>100</v>
      </c>
      <c r="C66" s="115">
        <v>6380</v>
      </c>
      <c r="D66" s="129">
        <v>3</v>
      </c>
      <c r="E66" s="136">
        <v>13</v>
      </c>
      <c r="F66" s="90" t="str">
        <f>IFERROR(VLOOKUP($C66,[5]Nod!$A$3:$E$999,4,FALSE)," ")</f>
        <v>BOQIII230</v>
      </c>
      <c r="G66" s="90">
        <f>IFERROR(VLOOKUP($C66,[5]Nod!$A$3:$E$999,5,FALSE)," ")</f>
        <v>4</v>
      </c>
      <c r="H66" s="113" t="s">
        <v>78</v>
      </c>
      <c r="I66" s="109"/>
      <c r="J66" s="115"/>
      <c r="K66" s="111"/>
      <c r="L66" s="90"/>
      <c r="M66" s="90"/>
    </row>
    <row r="67" spans="1:13" ht="15" customHeight="1" x14ac:dyDescent="0.25">
      <c r="A67" s="120" t="s">
        <v>102</v>
      </c>
      <c r="C67" s="115">
        <v>6380</v>
      </c>
      <c r="D67" s="129">
        <v>8.1999999999999993</v>
      </c>
      <c r="E67" s="136">
        <v>0</v>
      </c>
      <c r="F67" s="90" t="str">
        <f>IFERROR(VLOOKUP($C67,[5]Nod!$A$3:$E$999,4,FALSE)," ")</f>
        <v>BOQIII230</v>
      </c>
      <c r="G67" s="90">
        <f>IFERROR(VLOOKUP($C67,[5]Nod!$A$3:$E$999,5,FALSE)," ")</f>
        <v>4</v>
      </c>
      <c r="H67" s="145" t="s">
        <v>104</v>
      </c>
      <c r="I67" s="109"/>
      <c r="J67" s="115">
        <v>6470</v>
      </c>
      <c r="K67" s="111">
        <v>24.31</v>
      </c>
      <c r="L67" s="90" t="str">
        <f>VLOOKUP($J67,[5]Nod!$A$3:$E$999,4,FALSE)</f>
        <v>24DIC230</v>
      </c>
      <c r="M67" s="90">
        <f>VLOOKUP($J67,[5]Nod!$A$3:$E$999,5,FALSE)</f>
        <v>9</v>
      </c>
    </row>
    <row r="68" spans="1:13" ht="15" customHeight="1" x14ac:dyDescent="0.25">
      <c r="A68" s="167" t="s">
        <v>157</v>
      </c>
      <c r="C68" s="115">
        <v>6182</v>
      </c>
      <c r="D68" s="129">
        <v>32.9</v>
      </c>
      <c r="E68" s="136">
        <v>0</v>
      </c>
      <c r="F68" s="90" t="str">
        <f>IFERROR(VLOOKUP($C68,[5]Nod!$A$3:$E$999,4,FALSE)," ")</f>
        <v>VEL230</v>
      </c>
      <c r="G68" s="90">
        <f>IFERROR(VLOOKUP($C68,[5]Nod!$A$3:$E$999,5,FALSE)," ")</f>
        <v>4</v>
      </c>
      <c r="H68" s="116" t="s">
        <v>44</v>
      </c>
      <c r="I68" s="117"/>
      <c r="J68" s="134"/>
      <c r="K68" s="119"/>
      <c r="L68" s="90"/>
      <c r="M68" s="90"/>
    </row>
    <row r="69" spans="1:13" ht="15" customHeight="1" x14ac:dyDescent="0.25">
      <c r="A69" s="167" t="s">
        <v>158</v>
      </c>
      <c r="C69" s="115">
        <v>6182</v>
      </c>
      <c r="D69" s="129">
        <v>8.8000000000000007</v>
      </c>
      <c r="E69" s="136">
        <v>0</v>
      </c>
      <c r="F69" s="90" t="str">
        <f>IFERROR(VLOOKUP($C69,[5]Nod!$A$3:$E$999,4,FALSE)," ")</f>
        <v>VEL230</v>
      </c>
      <c r="G69" s="90">
        <f>IFERROR(VLOOKUP($C69,[5]Nod!$A$3:$E$999,5,FALSE)," ")</f>
        <v>4</v>
      </c>
      <c r="H69" s="103">
        <v>9</v>
      </c>
      <c r="I69" s="104"/>
      <c r="J69" s="105"/>
      <c r="K69" s="106">
        <f>SUM(K70:K75)</f>
        <v>126.62036340062984</v>
      </c>
      <c r="L69" s="90"/>
      <c r="M69" s="90"/>
    </row>
    <row r="70" spans="1:13" ht="15" customHeight="1" x14ac:dyDescent="0.25">
      <c r="A70" s="167" t="s">
        <v>159</v>
      </c>
      <c r="C70" s="115">
        <v>6380</v>
      </c>
      <c r="D70" s="129">
        <v>6.74</v>
      </c>
      <c r="E70" s="136">
        <v>0</v>
      </c>
      <c r="F70" s="90" t="str">
        <f>IFERROR(VLOOKUP($C70,[5]Nod!$A$3:$E$999,4,FALSE)," ")</f>
        <v>BOQIII230</v>
      </c>
      <c r="G70" s="90">
        <f>IFERROR(VLOOKUP($C70,[5]Nod!$A$3:$E$999,5,FALSE)," ")</f>
        <v>4</v>
      </c>
      <c r="H70" s="113" t="s">
        <v>78</v>
      </c>
      <c r="I70" s="109"/>
      <c r="J70" s="115"/>
      <c r="K70" s="111"/>
      <c r="L70" s="90"/>
      <c r="M70" s="90"/>
    </row>
    <row r="71" spans="1:13" ht="15" customHeight="1" x14ac:dyDescent="0.25">
      <c r="A71" s="131" t="s">
        <v>44</v>
      </c>
      <c r="B71" s="117"/>
      <c r="C71" s="118"/>
      <c r="D71" s="132"/>
      <c r="E71" s="133"/>
      <c r="F71" s="90" t="str">
        <f>IFERROR(VLOOKUP($C71,[5]Nod!$A$3:$E$999,4,FALSE)," ")</f>
        <v xml:space="preserve"> </v>
      </c>
      <c r="G71" s="90" t="str">
        <f>IFERROR(VLOOKUP($C71,[5]Nod!$A$3:$E$999,5,FALSE)," ")</f>
        <v xml:space="preserve"> </v>
      </c>
      <c r="H71" s="114" t="s">
        <v>109</v>
      </c>
      <c r="I71" s="109"/>
      <c r="J71" s="115">
        <v>6059</v>
      </c>
      <c r="K71" s="111">
        <v>118.02000000000001</v>
      </c>
      <c r="L71" s="90" t="str">
        <f>VLOOKUP($J71,[5]Nod!$A$3:$E$999,4,FALSE)</f>
        <v>LM1115</v>
      </c>
      <c r="M71" s="90">
        <f>VLOOKUP($J71,[5]Nod!$A$3:$E$999,5,FALSE)</f>
        <v>9</v>
      </c>
    </row>
    <row r="72" spans="1:13" ht="15" customHeight="1" x14ac:dyDescent="0.25">
      <c r="A72" s="103">
        <v>5</v>
      </c>
      <c r="B72" s="104"/>
      <c r="C72" s="105"/>
      <c r="D72" s="106">
        <f>SUM(D73:D105)</f>
        <v>606.81000000000006</v>
      </c>
      <c r="E72" s="107"/>
      <c r="F72" s="90" t="str">
        <f>IFERROR(VLOOKUP($C72,[5]Nod!$A$3:$E$999,4,FALSE)," ")</f>
        <v xml:space="preserve"> </v>
      </c>
      <c r="G72" s="90" t="str">
        <f>IFERROR(VLOOKUP($C72,[5]Nod!$A$3:$E$999,5,FALSE)," ")</f>
        <v xml:space="preserve"> </v>
      </c>
      <c r="H72" s="113" t="s">
        <v>61</v>
      </c>
      <c r="I72" s="109"/>
      <c r="J72" s="115"/>
      <c r="K72" s="111"/>
      <c r="L72" s="90"/>
      <c r="M72" s="90"/>
    </row>
    <row r="73" spans="1:13" ht="15" customHeight="1" x14ac:dyDescent="0.25">
      <c r="A73" s="108" t="s">
        <v>103</v>
      </c>
      <c r="B73" s="109"/>
      <c r="C73" s="137">
        <v>6010</v>
      </c>
      <c r="D73" s="111">
        <v>5.35</v>
      </c>
      <c r="E73" s="112">
        <v>0</v>
      </c>
      <c r="F73" s="90" t="str">
        <f>IFERROR(VLOOKUP($C73,[5]Nod!$A$3:$E$999,4,FALSE)," ")</f>
        <v>LSA34</v>
      </c>
      <c r="G73" s="90">
        <f>IFERROR(VLOOKUP($C73,[5]Nod!$A$3:$E$999,5,FALSE)," ")</f>
        <v>5</v>
      </c>
      <c r="H73" s="114" t="s">
        <v>112</v>
      </c>
      <c r="I73" s="109"/>
      <c r="J73" s="115">
        <v>6170</v>
      </c>
      <c r="K73" s="111">
        <v>8.3198600170736992</v>
      </c>
      <c r="L73" s="90" t="str">
        <f>VLOOKUP($J73,[5]Nod!$A$3:$E$999,4,FALSE)</f>
        <v>CPA115</v>
      </c>
      <c r="M73" s="90">
        <f>VLOOKUP($J73,[5]Nod!$A$3:$E$999,5,FALSE)</f>
        <v>7</v>
      </c>
    </row>
    <row r="74" spans="1:13" ht="15" customHeight="1" x14ac:dyDescent="0.25">
      <c r="A74" s="168" t="s">
        <v>105</v>
      </c>
      <c r="B74" s="109"/>
      <c r="C74" s="137">
        <v>6010</v>
      </c>
      <c r="D74" s="111">
        <v>1.35</v>
      </c>
      <c r="E74" s="112">
        <v>0</v>
      </c>
      <c r="F74" s="90" t="str">
        <f>IFERROR(VLOOKUP($C74,[5]Nod!$A$3:$E$999,4,FALSE)," ")</f>
        <v>LSA34</v>
      </c>
      <c r="G74" s="90">
        <f>IFERROR(VLOOKUP($C74,[5]Nod!$A$3:$E$999,5,FALSE)," ")</f>
        <v>5</v>
      </c>
      <c r="H74" s="114" t="s">
        <v>63</v>
      </c>
      <c r="I74" s="109"/>
      <c r="J74" s="115">
        <v>6059</v>
      </c>
      <c r="K74" s="111">
        <v>0.28050338355614318</v>
      </c>
      <c r="L74" s="90" t="str">
        <f>VLOOKUP($J74,[5]Nod!$A$3:$E$999,4,FALSE)</f>
        <v>LM1115</v>
      </c>
      <c r="M74" s="90">
        <f>VLOOKUP($J74,[5]Nod!$A$3:$E$999,5,FALSE)</f>
        <v>9</v>
      </c>
    </row>
    <row r="75" spans="1:13" ht="15" customHeight="1" x14ac:dyDescent="0.25">
      <c r="A75" s="108" t="s">
        <v>106</v>
      </c>
      <c r="B75" s="109"/>
      <c r="C75" s="137">
        <v>6010</v>
      </c>
      <c r="D75" s="111">
        <v>6.6</v>
      </c>
      <c r="E75" s="112">
        <v>0</v>
      </c>
      <c r="F75" s="90" t="str">
        <f>IFERROR(VLOOKUP($C75,[5]Nod!$A$3:$E$999,4,FALSE)," ")</f>
        <v>LSA34</v>
      </c>
      <c r="G75" s="90">
        <f>IFERROR(VLOOKUP($C75,[5]Nod!$A$3:$E$999,5,FALSE)," ")</f>
        <v>5</v>
      </c>
      <c r="H75" s="116" t="s">
        <v>44</v>
      </c>
      <c r="I75" s="117"/>
      <c r="J75" s="134"/>
      <c r="K75" s="119"/>
      <c r="L75" s="90"/>
      <c r="M75" s="90"/>
    </row>
    <row r="76" spans="1:13" ht="15" customHeight="1" x14ac:dyDescent="0.25">
      <c r="A76" s="108" t="s">
        <v>107</v>
      </c>
      <c r="B76" s="109"/>
      <c r="C76" s="137">
        <v>6010</v>
      </c>
      <c r="D76" s="111">
        <v>2.0099999999999998</v>
      </c>
      <c r="E76" s="112">
        <v>13</v>
      </c>
      <c r="F76" s="90" t="str">
        <f>IFERROR(VLOOKUP($C76,[5]Nod!$A$3:$E$999,4,FALSE)," ")</f>
        <v>LSA34</v>
      </c>
      <c r="G76" s="90">
        <f>IFERROR(VLOOKUP($C76,[5]Nod!$A$3:$E$999,5,FALSE)," ")</f>
        <v>5</v>
      </c>
      <c r="H76" s="121">
        <v>10</v>
      </c>
      <c r="I76" s="122"/>
      <c r="J76" s="123"/>
      <c r="K76" s="124">
        <f>SUM(K77:K81)</f>
        <v>92.82</v>
      </c>
      <c r="L76" s="90"/>
      <c r="M76" s="90"/>
    </row>
    <row r="77" spans="1:13" ht="15" customHeight="1" x14ac:dyDescent="0.25">
      <c r="A77" s="168" t="s">
        <v>108</v>
      </c>
      <c r="B77" s="109"/>
      <c r="C77" s="137">
        <v>6010</v>
      </c>
      <c r="D77" s="111">
        <v>7.99</v>
      </c>
      <c r="E77" s="112">
        <v>13</v>
      </c>
      <c r="F77" s="90" t="str">
        <f>IFERROR(VLOOKUP($C77,[5]Nod!$A$3:$E$999,4,FALSE)," ")</f>
        <v>LSA34</v>
      </c>
      <c r="G77" s="90">
        <f>IFERROR(VLOOKUP($C77,[5]Nod!$A$3:$E$999,5,FALSE)," ")</f>
        <v>5</v>
      </c>
      <c r="H77" s="113" t="s">
        <v>38</v>
      </c>
      <c r="I77" s="109"/>
      <c r="J77" s="115"/>
      <c r="K77" s="111"/>
      <c r="L77" s="90"/>
      <c r="M77" s="90"/>
    </row>
    <row r="78" spans="1:13" ht="15" customHeight="1" x14ac:dyDescent="0.25">
      <c r="A78" s="108" t="s">
        <v>110</v>
      </c>
      <c r="B78" s="109"/>
      <c r="C78" s="137">
        <v>6010</v>
      </c>
      <c r="D78" s="111">
        <v>2.4</v>
      </c>
      <c r="E78" s="112">
        <v>13</v>
      </c>
      <c r="F78" s="90" t="str">
        <f>IFERROR(VLOOKUP($C78,[5]Nod!$A$3:$E$999,4,FALSE)," ")</f>
        <v>LSA34</v>
      </c>
      <c r="G78" s="90">
        <f>IFERROR(VLOOKUP($C78,[5]Nod!$A$3:$E$999,5,FALSE)," ")</f>
        <v>5</v>
      </c>
      <c r="H78" s="114" t="s">
        <v>118</v>
      </c>
      <c r="I78" s="109"/>
      <c r="J78" s="115">
        <v>6340</v>
      </c>
      <c r="K78" s="111">
        <v>27.75</v>
      </c>
      <c r="L78" s="90" t="str">
        <f>VLOOKUP($J78,[5]Nod!$A$3:$E$999,4,FALSE)</f>
        <v>CAN230</v>
      </c>
      <c r="M78" s="90">
        <f>VLOOKUP($J78,[5]Nod!$A$3:$E$999,5,FALSE)</f>
        <v>10</v>
      </c>
    </row>
    <row r="79" spans="1:13" ht="15" customHeight="1" x14ac:dyDescent="0.25">
      <c r="A79" s="108" t="s">
        <v>111</v>
      </c>
      <c r="B79" s="109"/>
      <c r="C79" s="137">
        <v>6010</v>
      </c>
      <c r="D79" s="111">
        <v>10</v>
      </c>
      <c r="E79" s="112">
        <v>13</v>
      </c>
      <c r="F79" s="90" t="str">
        <f>IFERROR(VLOOKUP($C79,[5]Nod!$A$3:$E$999,4,FALSE)," ")</f>
        <v>LSA34</v>
      </c>
      <c r="G79" s="90">
        <f>IFERROR(VLOOKUP($C79,[5]Nod!$A$3:$E$999,5,FALSE)," ")</f>
        <v>5</v>
      </c>
      <c r="H79" s="114" t="s">
        <v>120</v>
      </c>
      <c r="I79" s="109"/>
      <c r="J79" s="115">
        <v>6262</v>
      </c>
      <c r="K79" s="111">
        <v>18.66</v>
      </c>
      <c r="L79" s="90" t="s">
        <v>121</v>
      </c>
      <c r="M79" s="90">
        <v>10</v>
      </c>
    </row>
    <row r="80" spans="1:13" ht="15" customHeight="1" x14ac:dyDescent="0.25">
      <c r="A80" s="120" t="s">
        <v>113</v>
      </c>
      <c r="C80" s="137">
        <v>6010</v>
      </c>
      <c r="D80" s="111">
        <v>0.96</v>
      </c>
      <c r="E80" s="112">
        <v>13</v>
      </c>
      <c r="F80" s="90" t="str">
        <f>IFERROR(VLOOKUP($C80,[5]Nod!$A$3:$E$999,4,FALSE)," ")</f>
        <v>LSA34</v>
      </c>
      <c r="G80" s="90">
        <f>IFERROR(VLOOKUP($C80,[5]Nod!$A$3:$E$999,5,FALSE)," ")</f>
        <v>5</v>
      </c>
      <c r="H80" s="147" t="s">
        <v>123</v>
      </c>
      <c r="I80" s="109"/>
      <c r="J80" s="115">
        <v>6262</v>
      </c>
      <c r="K80" s="111">
        <v>46.41</v>
      </c>
      <c r="L80" s="90" t="s">
        <v>121</v>
      </c>
      <c r="M80" s="90">
        <v>10</v>
      </c>
    </row>
    <row r="81" spans="1:13" ht="15" customHeight="1" x14ac:dyDescent="0.25">
      <c r="A81" s="120" t="s">
        <v>114</v>
      </c>
      <c r="C81" s="137">
        <v>6010</v>
      </c>
      <c r="D81" s="111">
        <v>0.96</v>
      </c>
      <c r="E81" s="112">
        <v>13</v>
      </c>
      <c r="F81" s="90" t="str">
        <f>IFERROR(VLOOKUP($C81,[5]Nod!$A$3:$E$999,4,FALSE)," ")</f>
        <v>LSA34</v>
      </c>
      <c r="G81" s="90">
        <f>IFERROR(VLOOKUP($C81,[5]Nod!$A$3:$E$999,5,FALSE)," ")</f>
        <v>5</v>
      </c>
      <c r="H81" s="116" t="s">
        <v>44</v>
      </c>
      <c r="I81" s="117"/>
      <c r="J81" s="134"/>
      <c r="K81" s="119"/>
      <c r="L81" s="90"/>
      <c r="M81" s="90"/>
    </row>
    <row r="82" spans="1:13" ht="15" customHeight="1" x14ac:dyDescent="0.25">
      <c r="A82" s="120" t="s">
        <v>115</v>
      </c>
      <c r="C82" s="137">
        <v>6010</v>
      </c>
      <c r="D82" s="111">
        <v>0.48</v>
      </c>
      <c r="E82" s="112">
        <v>13</v>
      </c>
      <c r="F82" s="90" t="str">
        <f>IFERROR(VLOOKUP($C82,[5]Nod!$A$3:$E$999,4,FALSE)," ")</f>
        <v>LSA34</v>
      </c>
      <c r="G82" s="90">
        <f>IFERROR(VLOOKUP($C82,[5]Nod!$A$3:$E$999,5,FALSE)," ")</f>
        <v>5</v>
      </c>
    </row>
    <row r="83" spans="1:13" ht="15" customHeight="1" x14ac:dyDescent="0.25">
      <c r="A83" s="120" t="s">
        <v>116</v>
      </c>
      <c r="C83" s="137">
        <v>6010</v>
      </c>
      <c r="D83" s="111">
        <v>8.99</v>
      </c>
      <c r="E83" s="112">
        <v>13</v>
      </c>
      <c r="F83" s="90" t="str">
        <f>IFERROR(VLOOKUP($C83,[5]Nod!$A$3:$E$999,4,FALSE)," ")</f>
        <v>LSA34</v>
      </c>
      <c r="G83" s="90">
        <f>IFERROR(VLOOKUP($C83,[5]Nod!$A$3:$E$999,5,FALSE)," ")</f>
        <v>5</v>
      </c>
    </row>
    <row r="84" spans="1:13" ht="15" customHeight="1" x14ac:dyDescent="0.25">
      <c r="A84" s="120" t="s">
        <v>117</v>
      </c>
      <c r="C84" s="137">
        <v>6010</v>
      </c>
      <c r="D84" s="111">
        <v>8.99</v>
      </c>
      <c r="E84" s="112">
        <v>13</v>
      </c>
      <c r="F84" s="90" t="str">
        <f>IFERROR(VLOOKUP($C84,[5]Nod!$A$3:$E$999,4,FALSE)," ")</f>
        <v>LSA34</v>
      </c>
      <c r="G84" s="90">
        <f>IFERROR(VLOOKUP($C84,[5]Nod!$A$3:$E$999,5,FALSE)," ")</f>
        <v>5</v>
      </c>
    </row>
    <row r="85" spans="1:13" ht="15" customHeight="1" x14ac:dyDescent="0.25">
      <c r="A85" s="120" t="s">
        <v>119</v>
      </c>
      <c r="C85" s="137">
        <v>6010</v>
      </c>
      <c r="D85" s="111">
        <v>9.52</v>
      </c>
      <c r="E85" s="112">
        <v>13</v>
      </c>
      <c r="F85" s="90" t="str">
        <f>IFERROR(VLOOKUP($C85,[5]Nod!$A$3:$E$999,4,FALSE)," ")</f>
        <v>LSA34</v>
      </c>
      <c r="G85" s="90">
        <f>IFERROR(VLOOKUP($C85,[5]Nod!$A$3:$E$999,5,FALSE)," ")</f>
        <v>5</v>
      </c>
    </row>
    <row r="86" spans="1:13" ht="15" customHeight="1" x14ac:dyDescent="0.25">
      <c r="A86" s="168" t="s">
        <v>122</v>
      </c>
      <c r="C86" s="137">
        <v>6010</v>
      </c>
      <c r="D86" s="111">
        <v>10.78</v>
      </c>
      <c r="E86" s="112">
        <v>13</v>
      </c>
      <c r="F86" s="90" t="str">
        <f>IFERROR(VLOOKUP($C86,[5]Nod!$A$3:$E$999,4,FALSE)," ")</f>
        <v>LSA34</v>
      </c>
      <c r="G86" s="90">
        <f>IFERROR(VLOOKUP($C86,[5]Nod!$A$3:$E$999,5,FALSE)," ")</f>
        <v>5</v>
      </c>
    </row>
    <row r="87" spans="1:13" ht="15" customHeight="1" x14ac:dyDescent="0.25">
      <c r="A87" s="168" t="s">
        <v>124</v>
      </c>
      <c r="C87" s="137">
        <v>6010</v>
      </c>
      <c r="D87" s="111">
        <v>8.5</v>
      </c>
      <c r="E87" s="112">
        <v>13</v>
      </c>
      <c r="F87" s="90" t="str">
        <f>IFERROR(VLOOKUP($C87,[5]Nod!$A$3:$E$999,4,FALSE)," ")</f>
        <v>LSA34</v>
      </c>
      <c r="G87" s="90">
        <f>IFERROR(VLOOKUP($C87,[5]Nod!$A$3:$E$999,5,FALSE)," ")</f>
        <v>5</v>
      </c>
      <c r="L87" s="90"/>
      <c r="M87" s="90"/>
    </row>
    <row r="88" spans="1:13" ht="15" customHeight="1" x14ac:dyDescent="0.25">
      <c r="A88" s="120" t="s">
        <v>125</v>
      </c>
      <c r="C88" s="137">
        <v>6010</v>
      </c>
      <c r="D88" s="111">
        <v>10</v>
      </c>
      <c r="E88" s="112">
        <v>13</v>
      </c>
      <c r="F88" s="90" t="str">
        <f>IFERROR(VLOOKUP($C88,[5]Nod!$A$3:$E$999,4,FALSE)," ")</f>
        <v>LSA34</v>
      </c>
      <c r="G88" s="90">
        <f>IFERROR(VLOOKUP($C88,[5]Nod!$A$3:$E$999,5,FALSE)," ")</f>
        <v>5</v>
      </c>
      <c r="L88" s="90"/>
      <c r="M88" s="90"/>
    </row>
    <row r="89" spans="1:13" ht="15" customHeight="1" x14ac:dyDescent="0.25">
      <c r="A89" s="120" t="s">
        <v>126</v>
      </c>
      <c r="C89" s="137">
        <v>6010</v>
      </c>
      <c r="D89" s="111">
        <v>10</v>
      </c>
      <c r="E89" s="112">
        <v>13</v>
      </c>
      <c r="F89" s="90" t="str">
        <f>IFERROR(VLOOKUP($C89,[5]Nod!$A$3:$E$999,4,FALSE)," ")</f>
        <v>LSA34</v>
      </c>
      <c r="G89" s="90">
        <f>IFERROR(VLOOKUP($C89,[5]Nod!$A$3:$E$999,5,FALSE)," ")</f>
        <v>5</v>
      </c>
      <c r="L89" s="90"/>
      <c r="M89" s="90"/>
    </row>
    <row r="90" spans="1:13" ht="15" customHeight="1" x14ac:dyDescent="0.25">
      <c r="A90" s="108" t="s">
        <v>127</v>
      </c>
      <c r="B90" s="109"/>
      <c r="C90" s="115">
        <v>6460</v>
      </c>
      <c r="D90" s="111">
        <v>55</v>
      </c>
      <c r="E90" s="112">
        <v>13</v>
      </c>
      <c r="F90" s="90" t="str">
        <f>IFERROR(VLOOKUP($C90,[5]Nod!$A$3:$E$999,4,FALSE)," ")</f>
        <v>ECO230</v>
      </c>
      <c r="G90" s="90">
        <f>IFERROR(VLOOKUP($C90,[5]Nod!$A$3:$E$999,5,FALSE)," ")</f>
        <v>5</v>
      </c>
      <c r="L90" s="90"/>
      <c r="M90" s="90"/>
    </row>
    <row r="91" spans="1:13" ht="15" customHeight="1" x14ac:dyDescent="0.25">
      <c r="A91" s="108" t="s">
        <v>128</v>
      </c>
      <c r="B91" s="109"/>
      <c r="C91" s="115">
        <v>6460</v>
      </c>
      <c r="D91" s="111">
        <v>17.5</v>
      </c>
      <c r="E91" s="112">
        <v>13</v>
      </c>
      <c r="F91" s="90" t="str">
        <f>IFERROR(VLOOKUP($C91,[5]Nod!$A$3:$E$999,4,FALSE)," ")</f>
        <v>ECO230</v>
      </c>
      <c r="G91" s="90">
        <f>IFERROR(VLOOKUP($C91,[5]Nod!$A$3:$E$999,5,FALSE)," ")</f>
        <v>5</v>
      </c>
      <c r="L91" s="90"/>
      <c r="M91" s="90"/>
    </row>
    <row r="92" spans="1:13" ht="15" customHeight="1" x14ac:dyDescent="0.25">
      <c r="A92" s="108" t="s">
        <v>129</v>
      </c>
      <c r="B92" s="109"/>
      <c r="C92" s="115">
        <v>6460</v>
      </c>
      <c r="D92" s="111">
        <v>52.5</v>
      </c>
      <c r="E92" s="112">
        <v>13</v>
      </c>
      <c r="F92" s="90" t="str">
        <f>IFERROR(VLOOKUP($C92,[5]Nod!$A$3:$E$999,4,FALSE)," ")</f>
        <v>ECO230</v>
      </c>
      <c r="G92" s="90">
        <f>IFERROR(VLOOKUP($C92,[5]Nod!$A$3:$E$999,5,FALSE)," ")</f>
        <v>5</v>
      </c>
      <c r="L92" s="90"/>
      <c r="M92" s="90"/>
    </row>
    <row r="93" spans="1:13" ht="15" customHeight="1" x14ac:dyDescent="0.25">
      <c r="A93" s="108" t="s">
        <v>130</v>
      </c>
      <c r="B93" s="109"/>
      <c r="C93" s="115">
        <v>6460</v>
      </c>
      <c r="D93" s="111">
        <v>62.5</v>
      </c>
      <c r="E93" s="112">
        <v>13</v>
      </c>
      <c r="F93" s="90" t="str">
        <f>IFERROR(VLOOKUP($C93,[5]Nod!$A$3:$E$999,4,FALSE)," ")</f>
        <v>ECO230</v>
      </c>
      <c r="G93" s="90">
        <f>IFERROR(VLOOKUP($C93,[5]Nod!$A$3:$E$999,5,FALSE)," ")</f>
        <v>5</v>
      </c>
      <c r="L93" s="90"/>
      <c r="M93" s="90"/>
    </row>
    <row r="94" spans="1:13" ht="15" customHeight="1" x14ac:dyDescent="0.25">
      <c r="A94" s="108" t="s">
        <v>131</v>
      </c>
      <c r="B94" s="109"/>
      <c r="C94" s="115">
        <v>6460</v>
      </c>
      <c r="D94" s="111">
        <v>32.5</v>
      </c>
      <c r="E94" s="112">
        <v>13</v>
      </c>
      <c r="F94" s="90" t="str">
        <f>IFERROR(VLOOKUP($C94,[5]Nod!$A$3:$E$999,4,FALSE)," ")</f>
        <v>ECO230</v>
      </c>
      <c r="G94" s="90">
        <f>IFERROR(VLOOKUP($C94,[5]Nod!$A$3:$E$999,5,FALSE)," ")</f>
        <v>5</v>
      </c>
      <c r="L94" s="90"/>
      <c r="M94" s="90"/>
    </row>
    <row r="95" spans="1:13" ht="15" customHeight="1" x14ac:dyDescent="0.25">
      <c r="A95" s="108" t="s">
        <v>132</v>
      </c>
      <c r="B95" s="109"/>
      <c r="C95" s="137">
        <v>6240</v>
      </c>
      <c r="D95" s="111">
        <v>4.3</v>
      </c>
      <c r="E95" s="112">
        <v>0</v>
      </c>
      <c r="F95" s="90" t="str">
        <f>IFERROR(VLOOKUP($C95,[5]Nod!$A$3:$E$999,4,FALSE)," ")</f>
        <v>EHIG230</v>
      </c>
      <c r="G95" s="90">
        <f>IFERROR(VLOOKUP($C95,[5]Nod!$A$3:$E$999,5,FALSE)," ")</f>
        <v>5</v>
      </c>
      <c r="L95" s="90"/>
      <c r="M95" s="90"/>
    </row>
    <row r="96" spans="1:13" ht="15" customHeight="1" x14ac:dyDescent="0.25">
      <c r="A96" s="168" t="s">
        <v>133</v>
      </c>
      <c r="B96" s="109"/>
      <c r="C96" s="137">
        <v>6010</v>
      </c>
      <c r="D96" s="111">
        <v>10</v>
      </c>
      <c r="E96" s="112">
        <v>13</v>
      </c>
      <c r="F96" s="90" t="str">
        <f>IFERROR(VLOOKUP($C96,[5]Nod!$A$3:$E$999,4,FALSE)," ")</f>
        <v>LSA34</v>
      </c>
      <c r="G96" s="90">
        <f>IFERROR(VLOOKUP($C96,[5]Nod!$A$3:$E$999,5,FALSE)," ")</f>
        <v>5</v>
      </c>
      <c r="L96" s="90"/>
      <c r="M96" s="90"/>
    </row>
    <row r="97" spans="1:13" ht="15" customHeight="1" x14ac:dyDescent="0.25">
      <c r="A97" s="168" t="s">
        <v>134</v>
      </c>
      <c r="B97" s="109"/>
      <c r="C97" s="137">
        <v>6010</v>
      </c>
      <c r="D97" s="111">
        <v>16</v>
      </c>
      <c r="E97" s="112">
        <v>13</v>
      </c>
      <c r="F97" s="90" t="str">
        <f>IFERROR(VLOOKUP($C97,[5]Nod!$A$3:$E$999,4,FALSE)," ")</f>
        <v>LSA34</v>
      </c>
      <c r="G97" s="90">
        <f>IFERROR(VLOOKUP($C97,[5]Nod!$A$3:$E$999,5,FALSE)," ")</f>
        <v>5</v>
      </c>
      <c r="L97" s="90"/>
      <c r="M97" s="90"/>
    </row>
    <row r="98" spans="1:13" ht="15" customHeight="1" x14ac:dyDescent="0.25">
      <c r="A98" s="168" t="s">
        <v>135</v>
      </c>
      <c r="B98" s="109"/>
      <c r="C98" s="137">
        <v>6010</v>
      </c>
      <c r="D98" s="111">
        <v>4.79</v>
      </c>
      <c r="E98" s="112">
        <v>13</v>
      </c>
      <c r="F98" s="90" t="str">
        <f>IFERROR(VLOOKUP($C98,[5]Nod!$A$3:$E$999,4,FALSE)," ")</f>
        <v>LSA34</v>
      </c>
      <c r="G98" s="90">
        <f>IFERROR(VLOOKUP($C98,[5]Nod!$A$3:$E$999,5,FALSE)," ")</f>
        <v>5</v>
      </c>
      <c r="L98" s="90"/>
      <c r="M98" s="90"/>
    </row>
    <row r="99" spans="1:13" ht="15" customHeight="1" x14ac:dyDescent="0.25">
      <c r="A99" s="167" t="s">
        <v>160</v>
      </c>
      <c r="B99" s="109"/>
      <c r="C99" s="137">
        <v>6010</v>
      </c>
      <c r="D99" s="111">
        <v>9.9</v>
      </c>
      <c r="E99" s="112">
        <v>13</v>
      </c>
      <c r="F99" s="90" t="str">
        <f>IFERROR(VLOOKUP($C99,[5]Nod!$A$3:$E$999,4,FALSE)," ")</f>
        <v>LSA34</v>
      </c>
      <c r="G99" s="90">
        <f>IFERROR(VLOOKUP($C99,[5]Nod!$A$3:$E$999,5,FALSE)," ")</f>
        <v>5</v>
      </c>
      <c r="L99" s="90"/>
      <c r="M99" s="90"/>
    </row>
    <row r="100" spans="1:13" ht="15" customHeight="1" x14ac:dyDescent="0.25">
      <c r="A100" s="167" t="s">
        <v>161</v>
      </c>
      <c r="B100" s="109"/>
      <c r="C100" s="137">
        <v>6009</v>
      </c>
      <c r="D100" s="111">
        <v>44.33</v>
      </c>
      <c r="E100" s="112">
        <v>0</v>
      </c>
      <c r="F100" s="90" t="str">
        <f>IFERROR(VLOOKUP($C100,[5]Nod!$A$3:$E$999,4,FALSE)," ")</f>
        <v>LSA115</v>
      </c>
      <c r="G100" s="90">
        <f>IFERROR(VLOOKUP($C100,[5]Nod!$A$3:$E$999,5,FALSE)," ")</f>
        <v>5</v>
      </c>
      <c r="L100" s="90"/>
      <c r="M100" s="90"/>
    </row>
    <row r="101" spans="1:13" ht="15" customHeight="1" x14ac:dyDescent="0.25">
      <c r="A101" s="167" t="s">
        <v>162</v>
      </c>
      <c r="B101" s="109"/>
      <c r="C101" s="137">
        <v>6010</v>
      </c>
      <c r="D101" s="111">
        <v>9.99</v>
      </c>
      <c r="E101" s="112">
        <v>13</v>
      </c>
      <c r="F101" s="90" t="str">
        <f>IFERROR(VLOOKUP($C101,[5]Nod!$A$3:$E$999,4,FALSE)," ")</f>
        <v>LSA34</v>
      </c>
      <c r="G101" s="90">
        <f>IFERROR(VLOOKUP($C101,[5]Nod!$A$3:$E$999,5,FALSE)," ")</f>
        <v>5</v>
      </c>
      <c r="L101" s="90"/>
      <c r="M101" s="90"/>
    </row>
    <row r="102" spans="1:13" ht="15" customHeight="1" x14ac:dyDescent="0.25">
      <c r="A102" s="167" t="s">
        <v>163</v>
      </c>
      <c r="C102" s="115">
        <v>6830</v>
      </c>
      <c r="D102" s="129">
        <v>102</v>
      </c>
      <c r="E102" s="136">
        <v>13</v>
      </c>
      <c r="F102" s="90" t="str">
        <f>IFERROR(VLOOKUP($C102,[5]Nod!$A$3:$E$999,4,FALSE)," ")</f>
        <v>ANT230</v>
      </c>
      <c r="G102" s="90">
        <f>IFERROR(VLOOKUP($C102,[5]Nod!$A$3:$E$999,5,FALSE)," ")</f>
        <v>5</v>
      </c>
      <c r="L102" s="90"/>
      <c r="M102" s="90"/>
    </row>
    <row r="103" spans="1:13" ht="15" customHeight="1" x14ac:dyDescent="0.25">
      <c r="A103" s="167" t="s">
        <v>164</v>
      </c>
      <c r="C103" s="115">
        <v>6460</v>
      </c>
      <c r="D103" s="129">
        <v>69</v>
      </c>
      <c r="E103" s="136">
        <v>13</v>
      </c>
      <c r="F103" s="90" t="str">
        <f>IFERROR(VLOOKUP($C103,[5]Nod!$A$3:$E$999,4,FALSE)," ")</f>
        <v>ECO230</v>
      </c>
      <c r="G103" s="90">
        <f>IFERROR(VLOOKUP($C103,[5]Nod!$A$3:$E$999,5,FALSE)," ")</f>
        <v>5</v>
      </c>
      <c r="L103" s="90"/>
      <c r="M103" s="90"/>
    </row>
    <row r="104" spans="1:13" ht="15" customHeight="1" x14ac:dyDescent="0.25">
      <c r="A104" s="169" t="s">
        <v>167</v>
      </c>
      <c r="C104" s="115">
        <v>6010</v>
      </c>
      <c r="D104" s="129">
        <v>11.62</v>
      </c>
      <c r="E104" s="136">
        <v>0</v>
      </c>
      <c r="F104" s="90" t="str">
        <f>IFERROR(VLOOKUP($C104,[5]Nod!$A$3:$E$999,4,FALSE)," ")</f>
        <v>LSA34</v>
      </c>
      <c r="G104" s="90">
        <f>IFERROR(VLOOKUP($C104,[5]Nod!$A$3:$E$999,5,FALSE)," ")</f>
        <v>5</v>
      </c>
      <c r="L104" s="90"/>
      <c r="M104" s="90"/>
    </row>
    <row r="105" spans="1:13" ht="15" customHeight="1" x14ac:dyDescent="0.25">
      <c r="A105" s="114" t="s">
        <v>44</v>
      </c>
      <c r="B105" s="109"/>
      <c r="C105" s="110"/>
      <c r="D105" s="129"/>
      <c r="E105" s="112"/>
      <c r="F105" s="90" t="str">
        <f>IFERROR(VLOOKUP($C105,[5]Nod!$A$3:$E$999,4,FALSE)," ")</f>
        <v xml:space="preserve"> </v>
      </c>
      <c r="G105" s="90" t="str">
        <f>IFERROR(VLOOKUP($C105,[5]Nod!$A$3:$E$999,5,FALSE)," ")</f>
        <v xml:space="preserve"> </v>
      </c>
      <c r="L105" s="90"/>
      <c r="M105" s="90"/>
    </row>
    <row r="106" spans="1:13" ht="15" customHeight="1" x14ac:dyDescent="0.25">
      <c r="A106" s="121">
        <v>6</v>
      </c>
      <c r="B106" s="122"/>
      <c r="C106" s="123"/>
      <c r="D106" s="124">
        <f>SUM(D107:D109)</f>
        <v>147</v>
      </c>
      <c r="E106" s="128"/>
      <c r="F106" s="90" t="str">
        <f>IFERROR(VLOOKUP($C106,[5]Nod!$A$3:$E$999,4,FALSE)," ")</f>
        <v xml:space="preserve"> </v>
      </c>
      <c r="G106" s="90" t="str">
        <f>IFERROR(VLOOKUP($C106,[5]Nod!$A$3:$E$999,5,FALSE)," ")</f>
        <v xml:space="preserve"> </v>
      </c>
      <c r="L106" s="90"/>
      <c r="M106" s="90"/>
    </row>
    <row r="107" spans="1:13" ht="15" customHeight="1" x14ac:dyDescent="0.25">
      <c r="A107" s="108" t="s">
        <v>136</v>
      </c>
      <c r="B107" s="109"/>
      <c r="C107" s="115">
        <v>6005</v>
      </c>
      <c r="D107" s="111">
        <v>97</v>
      </c>
      <c r="E107" s="112">
        <v>0</v>
      </c>
      <c r="F107" s="90" t="str">
        <f>IFERROR(VLOOKUP($C107,[5]Nod!$A$3:$E$999,4,FALSE)," ")</f>
        <v>CHO230</v>
      </c>
      <c r="G107" s="90">
        <f>IFERROR(VLOOKUP($C107,[5]Nod!$A$3:$E$999,5,FALSE)," ")</f>
        <v>6</v>
      </c>
      <c r="L107" s="90"/>
      <c r="M107" s="90"/>
    </row>
    <row r="108" spans="1:13" ht="15" customHeight="1" x14ac:dyDescent="0.25">
      <c r="A108" s="108" t="s">
        <v>137</v>
      </c>
      <c r="B108" s="109"/>
      <c r="C108" s="115">
        <v>6005</v>
      </c>
      <c r="D108" s="111">
        <v>50</v>
      </c>
      <c r="E108" s="136">
        <v>0</v>
      </c>
      <c r="F108" s="90" t="str">
        <f>IFERROR(VLOOKUP($C108,[5]Nod!$A$3:$E$999,4,FALSE)," ")</f>
        <v>CHO230</v>
      </c>
      <c r="G108" s="90">
        <f>IFERROR(VLOOKUP($C108,[5]Nod!$A$3:$E$999,5,FALSE)," ")</f>
        <v>6</v>
      </c>
      <c r="L108" s="90"/>
      <c r="M108" s="90"/>
    </row>
    <row r="109" spans="1:13" ht="15" customHeight="1" x14ac:dyDescent="0.25">
      <c r="A109" s="148" t="s">
        <v>44</v>
      </c>
      <c r="B109" s="117"/>
      <c r="C109" s="118"/>
      <c r="D109" s="125"/>
      <c r="E109" s="133"/>
      <c r="F109" s="90" t="str">
        <f>IFERROR(VLOOKUP($C109,[5]Nod!$A$3:$E$999,4,FALSE)," ")</f>
        <v xml:space="preserve"> </v>
      </c>
      <c r="G109" s="90" t="str">
        <f>IFERROR(VLOOKUP($C109,[5]Nod!$A$3:$E$999,5,FALSE)," ")</f>
        <v xml:space="preserve"> </v>
      </c>
      <c r="L109" s="90"/>
      <c r="M109" s="90"/>
    </row>
    <row r="110" spans="1:13" ht="15" customHeight="1" x14ac:dyDescent="0.25">
      <c r="A110" s="103">
        <v>7</v>
      </c>
      <c r="B110" s="104"/>
      <c r="C110" s="105"/>
      <c r="D110" s="106">
        <f>SUM(D111:D114)</f>
        <v>195.98</v>
      </c>
      <c r="E110" s="107"/>
      <c r="F110" s="90" t="str">
        <f>IFERROR(VLOOKUP($C110,[5]Nod!$A$3:$E$999,4,FALSE)," ")</f>
        <v xml:space="preserve"> </v>
      </c>
      <c r="G110" s="90" t="str">
        <f>IFERROR(VLOOKUP($C110,[5]Nod!$A$3:$E$999,5,FALSE)," ")</f>
        <v xml:space="preserve"> </v>
      </c>
      <c r="K110" s="156"/>
      <c r="L110" s="90"/>
      <c r="M110" s="90"/>
    </row>
    <row r="111" spans="1:13" ht="15" customHeight="1" x14ac:dyDescent="0.25">
      <c r="A111" s="120" t="s">
        <v>138</v>
      </c>
      <c r="B111" s="149"/>
      <c r="C111" s="115">
        <v>6018</v>
      </c>
      <c r="D111" s="111">
        <v>135.63</v>
      </c>
      <c r="E111" s="136">
        <v>0</v>
      </c>
      <c r="F111" s="90" t="str">
        <f>IFERROR(VLOOKUP($C111,[5]Nod!$A$3:$E$999,4,FALSE)," ")</f>
        <v>CAC115</v>
      </c>
      <c r="G111" s="90">
        <f>IFERROR(VLOOKUP($C111,[5]Nod!$A$3:$E$999,5,FALSE)," ")</f>
        <v>7</v>
      </c>
      <c r="K111" s="156"/>
      <c r="L111" s="90"/>
      <c r="M111" s="90"/>
    </row>
    <row r="112" spans="1:13" ht="15" customHeight="1" x14ac:dyDescent="0.25">
      <c r="A112" s="108" t="s">
        <v>139</v>
      </c>
      <c r="B112" s="109"/>
      <c r="C112" s="115">
        <v>6170</v>
      </c>
      <c r="D112" s="111">
        <v>50.35</v>
      </c>
      <c r="E112" s="112">
        <v>0</v>
      </c>
      <c r="F112" s="90" t="str">
        <f>IFERROR(VLOOKUP($C112,[5]Nod!$A$3:$E$999,4,FALSE)," ")</f>
        <v>CPA115</v>
      </c>
      <c r="G112" s="90">
        <f>IFERROR(VLOOKUP($C112,[5]Nod!$A$3:$E$999,5,FALSE)," ")</f>
        <v>7</v>
      </c>
      <c r="K112" s="156"/>
      <c r="L112" s="90"/>
      <c r="M112" s="90"/>
    </row>
    <row r="113" spans="1:13" ht="15" customHeight="1" x14ac:dyDescent="0.25">
      <c r="A113" s="120" t="s">
        <v>140</v>
      </c>
      <c r="B113" s="109"/>
      <c r="C113" s="115">
        <v>6002</v>
      </c>
      <c r="D113" s="111">
        <v>10</v>
      </c>
      <c r="E113" s="112">
        <v>0</v>
      </c>
      <c r="F113" s="90" t="str">
        <f>IFERROR(VLOOKUP($C113,[5]Nod!$A$3:$E$999,4,FALSE)," ")</f>
        <v>PAN115</v>
      </c>
      <c r="G113" s="90">
        <f>IFERROR(VLOOKUP($C113,[5]Nod!$A$3:$E$999,5,FALSE)," ")</f>
        <v>7</v>
      </c>
      <c r="K113" s="156"/>
      <c r="L113" s="90"/>
      <c r="M113" s="90"/>
    </row>
    <row r="114" spans="1:13" ht="15" customHeight="1" x14ac:dyDescent="0.25">
      <c r="A114" s="114" t="s">
        <v>44</v>
      </c>
      <c r="B114" s="150"/>
      <c r="C114" s="151"/>
      <c r="D114" s="152"/>
      <c r="E114" s="153"/>
      <c r="F114" s="90" t="str">
        <f>IFERROR(VLOOKUP($C114,[5]Nod!$A$3:$E$999,4,FALSE)," ")</f>
        <v xml:space="preserve"> </v>
      </c>
      <c r="G114" s="90" t="str">
        <f>IFERROR(VLOOKUP($C114,[5]Nod!$A$3:$E$999,5,FALSE)," ")</f>
        <v xml:space="preserve"> </v>
      </c>
      <c r="K114" s="156"/>
      <c r="L114" s="90"/>
      <c r="M114" s="90"/>
    </row>
    <row r="115" spans="1:13" ht="15" customHeight="1" x14ac:dyDescent="0.25">
      <c r="A115" s="121">
        <v>8</v>
      </c>
      <c r="B115" s="154"/>
      <c r="C115" s="123"/>
      <c r="D115" s="124">
        <f>SUM(D116:D117)</f>
        <v>260</v>
      </c>
      <c r="E115" s="128"/>
      <c r="F115" s="90" t="str">
        <f>IFERROR(VLOOKUP($C115,[5]Nod!$A$3:$E$999,4,FALSE)," ")</f>
        <v xml:space="preserve"> </v>
      </c>
      <c r="G115" s="90" t="str">
        <f>IFERROR(VLOOKUP($C115,[5]Nod!$A$3:$E$999,5,FALSE)," ")</f>
        <v xml:space="preserve"> </v>
      </c>
      <c r="K115" s="156"/>
      <c r="L115" s="90"/>
      <c r="M115" s="90"/>
    </row>
    <row r="116" spans="1:13" ht="15" customHeight="1" x14ac:dyDescent="0.25">
      <c r="A116" s="108" t="s">
        <v>142</v>
      </c>
      <c r="B116" s="109"/>
      <c r="C116" s="115">
        <v>6100</v>
      </c>
      <c r="D116" s="111">
        <v>260</v>
      </c>
      <c r="E116" s="112">
        <v>0</v>
      </c>
      <c r="F116" s="90" t="str">
        <f>IFERROR(VLOOKUP($C116,[5]Nod!$A$3:$E$999,4,FALSE)," ")</f>
        <v>BAY230</v>
      </c>
      <c r="G116" s="90">
        <f>IFERROR(VLOOKUP($C116,[5]Nod!$A$3:$E$999,5,FALSE)," ")</f>
        <v>8</v>
      </c>
      <c r="K116" s="156"/>
      <c r="L116" s="90"/>
      <c r="M116" s="90"/>
    </row>
    <row r="117" spans="1:13" ht="15" customHeight="1" x14ac:dyDescent="0.25">
      <c r="A117" s="114" t="s">
        <v>44</v>
      </c>
      <c r="B117" s="117"/>
      <c r="C117" s="118"/>
      <c r="D117" s="125"/>
      <c r="E117" s="133"/>
      <c r="F117" s="90" t="str">
        <f>IFERROR(VLOOKUP($C117,[5]Nod!$A$3:$E$999,4,FALSE)," ")</f>
        <v xml:space="preserve"> </v>
      </c>
      <c r="G117" s="90" t="str">
        <f>IFERROR(VLOOKUP($C117,[5]Nod!$A$3:$E$999,5,FALSE)," ")</f>
        <v xml:space="preserve"> </v>
      </c>
      <c r="K117" s="156"/>
      <c r="L117" s="90"/>
      <c r="M117" s="90"/>
    </row>
    <row r="118" spans="1:13" ht="15" customHeight="1" x14ac:dyDescent="0.25">
      <c r="A118" s="121">
        <v>9</v>
      </c>
      <c r="B118" s="154"/>
      <c r="C118" s="155"/>
      <c r="D118" s="106">
        <f>SUM(D119:D130)</f>
        <v>2263.5299999999997</v>
      </c>
      <c r="E118" s="107"/>
      <c r="F118" s="90" t="str">
        <f>IFERROR(VLOOKUP($C118,[5]Nod!$A$3:$E$999,4,FALSE)," ")</f>
        <v xml:space="preserve"> </v>
      </c>
      <c r="G118" s="90" t="str">
        <f>IFERROR(VLOOKUP($C118,[5]Nod!$A$3:$E$999,5,FALSE)," ")</f>
        <v xml:space="preserve"> </v>
      </c>
      <c r="K118" s="156"/>
      <c r="L118" s="90"/>
      <c r="M118" s="90"/>
    </row>
    <row r="119" spans="1:13" ht="15" customHeight="1" x14ac:dyDescent="0.25">
      <c r="A119" s="108" t="s">
        <v>143</v>
      </c>
      <c r="B119" s="109"/>
      <c r="C119" s="115">
        <v>6059</v>
      </c>
      <c r="D119" s="111">
        <v>160</v>
      </c>
      <c r="E119" s="112">
        <v>0</v>
      </c>
      <c r="F119" s="90" t="str">
        <f>IFERROR(VLOOKUP($C119,[5]Nod!$A$3:$E$999,4,FALSE)," ")</f>
        <v>LM1115</v>
      </c>
      <c r="G119" s="90">
        <f>IFERROR(VLOOKUP($C119,[5]Nod!$A$3:$E$999,5,FALSE)," ")</f>
        <v>9</v>
      </c>
      <c r="K119" s="156"/>
      <c r="L119" s="90"/>
      <c r="M119" s="90"/>
    </row>
    <row r="120" spans="1:13" ht="15" customHeight="1" x14ac:dyDescent="0.25">
      <c r="A120" s="108" t="s">
        <v>144</v>
      </c>
      <c r="B120" s="109"/>
      <c r="C120" s="115">
        <v>6060</v>
      </c>
      <c r="D120" s="111">
        <v>120</v>
      </c>
      <c r="E120" s="112">
        <v>0</v>
      </c>
      <c r="F120" s="90" t="str">
        <f>IFERROR(VLOOKUP($C120,[5]Nod!$A$3:$E$999,4,FALSE)," ")</f>
        <v>LM2115</v>
      </c>
      <c r="G120" s="90">
        <f>IFERROR(VLOOKUP($C120,[5]Nod!$A$3:$E$999,5,FALSE)," ")</f>
        <v>9</v>
      </c>
      <c r="K120" s="156"/>
      <c r="L120" s="90"/>
      <c r="M120" s="90"/>
    </row>
    <row r="121" spans="1:13" ht="15" customHeight="1" x14ac:dyDescent="0.25">
      <c r="A121" s="108" t="s">
        <v>145</v>
      </c>
      <c r="B121" s="109"/>
      <c r="C121" s="115">
        <v>6059</v>
      </c>
      <c r="D121" s="111">
        <v>87.2</v>
      </c>
      <c r="E121" s="112">
        <v>0</v>
      </c>
      <c r="F121" s="90" t="str">
        <f>IFERROR(VLOOKUP($C121,[5]Nod!$A$3:$E$999,4,FALSE)," ")</f>
        <v>LM1115</v>
      </c>
      <c r="G121" s="90">
        <f>IFERROR(VLOOKUP($C121,[5]Nod!$A$3:$E$999,5,FALSE)," ")</f>
        <v>9</v>
      </c>
      <c r="K121" s="156"/>
      <c r="L121" s="90"/>
      <c r="M121" s="90"/>
    </row>
    <row r="122" spans="1:13" ht="15" customHeight="1" x14ac:dyDescent="0.25">
      <c r="A122" s="108" t="s">
        <v>146</v>
      </c>
      <c r="B122" s="109"/>
      <c r="C122" s="115">
        <v>6290</v>
      </c>
      <c r="D122" s="111">
        <v>150</v>
      </c>
      <c r="E122" s="112">
        <v>0</v>
      </c>
      <c r="F122" s="90" t="str">
        <f>IFERROR(VLOOKUP($C122,[5]Nod!$A$3:$E$999,4,FALSE)," ")</f>
        <v>CATII115</v>
      </c>
      <c r="G122" s="90">
        <f>IFERROR(VLOOKUP($C122,[5]Nod!$A$3:$E$999,5,FALSE)," ")</f>
        <v>9</v>
      </c>
      <c r="K122" s="156"/>
      <c r="L122" s="90"/>
      <c r="M122" s="90"/>
    </row>
    <row r="123" spans="1:13" ht="15" customHeight="1" x14ac:dyDescent="0.25">
      <c r="A123" s="108" t="s">
        <v>147</v>
      </c>
      <c r="B123" s="109"/>
      <c r="C123" s="115">
        <v>6171</v>
      </c>
      <c r="D123" s="111">
        <v>53.53</v>
      </c>
      <c r="E123" s="112">
        <v>0</v>
      </c>
      <c r="F123" s="90" t="str">
        <f>IFERROR(VLOOKUP($C123,[5]Nod!$A$3:$E$999,4,FALSE)," ")</f>
        <v>PAC230</v>
      </c>
      <c r="G123" s="90">
        <f>IFERROR(VLOOKUP($C123,[5]Nod!$A$3:$E$999,5,FALSE)," ")</f>
        <v>9</v>
      </c>
      <c r="K123" s="156"/>
      <c r="L123" s="90"/>
      <c r="M123" s="90"/>
    </row>
    <row r="124" spans="1:13" ht="15" customHeight="1" x14ac:dyDescent="0.25">
      <c r="A124" s="108" t="s">
        <v>148</v>
      </c>
      <c r="B124" s="109"/>
      <c r="C124" s="115">
        <v>6059</v>
      </c>
      <c r="D124" s="111">
        <v>72</v>
      </c>
      <c r="E124" s="112">
        <v>0</v>
      </c>
      <c r="F124" s="90" t="str">
        <f>IFERROR(VLOOKUP($C124,[5]Nod!$A$3:$E$999,4,FALSE)," ")</f>
        <v>LM1115</v>
      </c>
      <c r="G124" s="90">
        <f>IFERROR(VLOOKUP($C124,[5]Nod!$A$3:$E$999,5,FALSE)," ")</f>
        <v>9</v>
      </c>
      <c r="K124" s="156"/>
      <c r="L124" s="90"/>
      <c r="M124" s="90"/>
    </row>
    <row r="125" spans="1:13" ht="15" customHeight="1" x14ac:dyDescent="0.25">
      <c r="A125" s="108" t="s">
        <v>149</v>
      </c>
      <c r="B125" s="109"/>
      <c r="C125" s="115">
        <v>6173</v>
      </c>
      <c r="D125" s="111">
        <v>57.8</v>
      </c>
      <c r="E125" s="136">
        <v>0</v>
      </c>
      <c r="F125" s="90" t="str">
        <f>IFERROR(VLOOKUP($C125,[5]Nod!$A$3:$E$999,4,FALSE)," ")</f>
        <v>STR115</v>
      </c>
      <c r="G125" s="90">
        <f>IFERROR(VLOOKUP($C125,[5]Nod!$A$3:$E$999,5,FALSE)," ")</f>
        <v>9</v>
      </c>
      <c r="K125" s="156"/>
      <c r="L125" s="90"/>
      <c r="M125" s="90"/>
    </row>
    <row r="126" spans="1:13" ht="15" customHeight="1" x14ac:dyDescent="0.25">
      <c r="A126" s="108" t="s">
        <v>150</v>
      </c>
      <c r="B126" s="109"/>
      <c r="C126" s="115">
        <v>6059</v>
      </c>
      <c r="D126" s="111">
        <v>92</v>
      </c>
      <c r="E126" s="136">
        <v>0</v>
      </c>
      <c r="F126" s="90" t="str">
        <f>IFERROR(VLOOKUP($C126,[5]Nod!$A$3:$E$999,4,FALSE)," ")</f>
        <v>LM1115</v>
      </c>
      <c r="G126" s="90">
        <f>IFERROR(VLOOKUP($C126,[5]Nod!$A$3:$E$999,5,FALSE)," ")</f>
        <v>9</v>
      </c>
      <c r="K126" s="156"/>
      <c r="L126" s="90"/>
      <c r="M126" s="90"/>
    </row>
    <row r="127" spans="1:13" ht="15" customHeight="1" x14ac:dyDescent="0.25">
      <c r="A127" s="168" t="s">
        <v>141</v>
      </c>
      <c r="B127" s="109"/>
      <c r="C127" s="115">
        <v>6801</v>
      </c>
      <c r="D127" s="111">
        <v>381</v>
      </c>
      <c r="E127" s="136">
        <v>0</v>
      </c>
      <c r="F127" s="90" t="str">
        <f>IFERROR(VLOOKUP($C127,[5]Nod!$A$3:$E$999,4,FALSE)," ")</f>
        <v>SAB230</v>
      </c>
      <c r="G127" s="90">
        <f>IFERROR(VLOOKUP($C127,[5]Nod!$A$3:$E$999,5,FALSE)," ")</f>
        <v>9</v>
      </c>
      <c r="K127" s="156"/>
      <c r="L127" s="90"/>
      <c r="M127" s="90"/>
    </row>
    <row r="128" spans="1:13" ht="15" customHeight="1" x14ac:dyDescent="0.25">
      <c r="A128" s="170" t="s">
        <v>168</v>
      </c>
      <c r="B128" s="109"/>
      <c r="C128" s="115">
        <v>6801</v>
      </c>
      <c r="D128" s="111">
        <v>420</v>
      </c>
      <c r="E128" s="136">
        <v>0</v>
      </c>
      <c r="F128" s="90" t="str">
        <f>IFERROR(VLOOKUP($C128,[5]Nod!$A$3:$E$999,4,FALSE)," ")</f>
        <v>SAB230</v>
      </c>
      <c r="G128" s="90">
        <f>IFERROR(VLOOKUP($C128,[5]Nod!$A$3:$E$999,5,FALSE)," ")</f>
        <v>9</v>
      </c>
      <c r="K128" s="156"/>
      <c r="L128" s="90"/>
      <c r="M128" s="90"/>
    </row>
    <row r="129" spans="1:13" ht="15" customHeight="1" x14ac:dyDescent="0.25">
      <c r="A129" s="170" t="s">
        <v>170</v>
      </c>
      <c r="B129" s="109"/>
      <c r="C129" s="115">
        <v>6801</v>
      </c>
      <c r="D129" s="111">
        <v>670</v>
      </c>
      <c r="E129" s="136">
        <v>1</v>
      </c>
      <c r="F129" s="90" t="str">
        <f>IFERROR(VLOOKUP($C129,[5]Nod!$A$3:$E$999,4,FALSE)," ")</f>
        <v>SAB230</v>
      </c>
      <c r="G129" s="90">
        <f>IFERROR(VLOOKUP($C129,[5]Nod!$A$3:$E$999,5,FALSE)," ")</f>
        <v>9</v>
      </c>
      <c r="K129" s="156"/>
      <c r="L129" s="90"/>
      <c r="M129" s="90"/>
    </row>
    <row r="130" spans="1:13" ht="15" customHeight="1" x14ac:dyDescent="0.25">
      <c r="A130" s="114" t="s">
        <v>44</v>
      </c>
      <c r="B130" s="109"/>
      <c r="C130" s="115"/>
      <c r="D130" s="157"/>
      <c r="E130" s="112"/>
      <c r="F130" s="90" t="str">
        <f>IFERROR(VLOOKUP($C130,[5]Nod!$A$3:$E$999,4,FALSE)," ")</f>
        <v xml:space="preserve"> </v>
      </c>
      <c r="G130" s="90" t="str">
        <f>IFERROR(VLOOKUP($C130,[5]Nod!$A$3:$E$999,5,FALSE)," ")</f>
        <v xml:space="preserve"> </v>
      </c>
      <c r="K130" s="156"/>
      <c r="L130" s="90"/>
      <c r="M130" s="90"/>
    </row>
    <row r="131" spans="1:13" ht="15" customHeight="1" x14ac:dyDescent="0.25">
      <c r="A131" s="121">
        <v>10</v>
      </c>
      <c r="B131" s="154"/>
      <c r="C131" s="158"/>
      <c r="D131" s="124">
        <f>SUM(D132:D134)</f>
        <v>252.17</v>
      </c>
      <c r="E131" s="128"/>
      <c r="F131" s="90" t="str">
        <f>IFERROR(VLOOKUP($C131,[5]Nod!$A$3:$E$999,4,FALSE)," ")</f>
        <v xml:space="preserve"> </v>
      </c>
      <c r="G131" s="90" t="str">
        <f>IFERROR(VLOOKUP($C131,[5]Nod!$A$3:$E$999,5,FALSE)," ")</f>
        <v xml:space="preserve"> </v>
      </c>
      <c r="K131" s="156"/>
      <c r="L131" s="90"/>
      <c r="M131" s="90"/>
    </row>
    <row r="132" spans="1:13" ht="15" customHeight="1" x14ac:dyDescent="0.25">
      <c r="A132" s="108" t="s">
        <v>151</v>
      </c>
      <c r="B132" s="109"/>
      <c r="C132" s="115">
        <v>6263</v>
      </c>
      <c r="D132" s="111">
        <v>222.17</v>
      </c>
      <c r="E132" s="112">
        <v>0</v>
      </c>
      <c r="F132" s="90" t="str">
        <f>IFERROR(VLOOKUP($C132,[5]Nod!$A$3:$E$999,4,FALSE)," ")</f>
        <v>ESP230</v>
      </c>
      <c r="G132" s="90">
        <f>IFERROR(VLOOKUP($C132,[5]Nod!$A$3:$E$999,5,FALSE)," ")</f>
        <v>10</v>
      </c>
      <c r="K132" s="156"/>
      <c r="L132" s="90"/>
      <c r="M132" s="90"/>
    </row>
    <row r="133" spans="1:13" ht="15" customHeight="1" x14ac:dyDescent="0.25">
      <c r="A133" s="108" t="s">
        <v>152</v>
      </c>
      <c r="B133" s="109"/>
      <c r="C133" s="115">
        <v>6261</v>
      </c>
      <c r="D133" s="111">
        <v>30</v>
      </c>
      <c r="E133" s="112">
        <v>0</v>
      </c>
      <c r="F133" s="90" t="str">
        <f>IFERROR(VLOOKUP($C133,[5]Nod!$A$3:$E$999,4,FALSE)," ")</f>
        <v>CHA115</v>
      </c>
      <c r="G133" s="90">
        <f>IFERROR(VLOOKUP($C133,[5]Nod!$A$3:$E$999,5,FALSE)," ")</f>
        <v>10</v>
      </c>
      <c r="K133" s="156"/>
      <c r="L133" s="90"/>
      <c r="M133" s="90"/>
    </row>
    <row r="134" spans="1:13" ht="15" customHeight="1" x14ac:dyDescent="0.25">
      <c r="A134" s="148" t="s">
        <v>44</v>
      </c>
      <c r="B134" s="117"/>
      <c r="C134" s="134"/>
      <c r="D134" s="119"/>
      <c r="E134" s="133"/>
      <c r="F134" s="90" t="str">
        <f>IFERROR(VLOOKUP($C134,[5]Nod!$A$3:$E$999,4,FALSE)," ")</f>
        <v xml:space="preserve"> </v>
      </c>
      <c r="G134" s="90" t="str">
        <f>IFERROR(VLOOKUP($C134,[5]Nod!$A$3:$E$999,5,FALSE)," ")</f>
        <v xml:space="preserve"> </v>
      </c>
      <c r="K134" s="156"/>
      <c r="L134" s="90"/>
      <c r="M134" s="90"/>
    </row>
    <row r="135" spans="1:13" ht="15" customHeight="1" x14ac:dyDescent="0.25">
      <c r="D135" s="156"/>
      <c r="F135" s="90"/>
      <c r="G135" s="90"/>
      <c r="K135" s="156"/>
      <c r="L135" s="90"/>
      <c r="M135" s="90"/>
    </row>
    <row r="136" spans="1:13" ht="15" customHeight="1" x14ac:dyDescent="0.2">
      <c r="A136" s="159"/>
      <c r="D136" s="156"/>
      <c r="F136" s="90"/>
      <c r="G136" s="90"/>
      <c r="K136" s="156"/>
      <c r="L136" s="90"/>
      <c r="M136" s="90"/>
    </row>
    <row r="137" spans="1:13" ht="15" customHeight="1" x14ac:dyDescent="0.2">
      <c r="A137" s="159"/>
      <c r="D137" s="156"/>
      <c r="F137" s="90"/>
      <c r="G137" s="90"/>
      <c r="K137" s="156"/>
      <c r="L137" s="90"/>
      <c r="M137" s="90"/>
    </row>
    <row r="138" spans="1:13" ht="15" customHeight="1" x14ac:dyDescent="0.25">
      <c r="D138" s="156"/>
      <c r="F138" s="90"/>
      <c r="G138" s="90"/>
      <c r="K138" s="156"/>
      <c r="L138" s="90"/>
      <c r="M138" s="90"/>
    </row>
    <row r="139" spans="1:13" ht="15" customHeight="1" x14ac:dyDescent="0.25">
      <c r="D139" s="156"/>
      <c r="F139" s="90"/>
      <c r="G139" s="90"/>
      <c r="K139" s="156"/>
      <c r="L139" s="90"/>
      <c r="M139" s="90"/>
    </row>
    <row r="140" spans="1:13" ht="15" customHeight="1" x14ac:dyDescent="0.25">
      <c r="D140" s="156"/>
      <c r="F140" s="90"/>
      <c r="G140" s="90"/>
      <c r="K140" s="156"/>
      <c r="L140" s="90"/>
      <c r="M140" s="90"/>
    </row>
    <row r="141" spans="1:13" ht="15" customHeight="1" x14ac:dyDescent="0.25">
      <c r="D141" s="156"/>
      <c r="F141" s="90"/>
      <c r="G141" s="90"/>
      <c r="K141" s="156"/>
      <c r="L141" s="90"/>
      <c r="M141" s="90"/>
    </row>
    <row r="142" spans="1:13" ht="15" customHeight="1" x14ac:dyDescent="0.25">
      <c r="D142" s="156"/>
      <c r="F142" s="90"/>
      <c r="G142" s="90"/>
      <c r="K142" s="156"/>
      <c r="L142" s="90"/>
      <c r="M142" s="90"/>
    </row>
    <row r="143" spans="1:13" ht="15" customHeight="1" x14ac:dyDescent="0.25">
      <c r="D143" s="156"/>
      <c r="F143" s="90"/>
      <c r="G143" s="90"/>
      <c r="K143" s="156"/>
      <c r="L143" s="90"/>
      <c r="M143" s="90"/>
    </row>
    <row r="144" spans="1:13" ht="15" customHeight="1" x14ac:dyDescent="0.25">
      <c r="D144" s="156"/>
      <c r="F144" s="90"/>
      <c r="G144" s="90"/>
      <c r="K144" s="156"/>
      <c r="L144" s="90"/>
      <c r="M144" s="90"/>
    </row>
    <row r="145" spans="4:13" ht="15" customHeight="1" x14ac:dyDescent="0.25">
      <c r="D145" s="156"/>
      <c r="F145" s="90"/>
      <c r="G145" s="90"/>
      <c r="K145" s="156"/>
      <c r="L145" s="90"/>
      <c r="M145" s="90"/>
    </row>
    <row r="146" spans="4:13" ht="15" customHeight="1" x14ac:dyDescent="0.25">
      <c r="D146" s="156"/>
      <c r="F146" s="90"/>
      <c r="G146" s="90"/>
      <c r="K146" s="156"/>
      <c r="L146" s="90"/>
      <c r="M146" s="90"/>
    </row>
    <row r="147" spans="4:13" ht="15" customHeight="1" x14ac:dyDescent="0.25">
      <c r="D147" s="156"/>
      <c r="F147" s="90"/>
      <c r="G147" s="90"/>
      <c r="K147" s="156"/>
      <c r="L147" s="90"/>
      <c r="M147" s="90"/>
    </row>
    <row r="148" spans="4:13" ht="15" customHeight="1" x14ac:dyDescent="0.25">
      <c r="D148" s="156"/>
      <c r="F148" s="90"/>
      <c r="G148" s="90"/>
      <c r="K148" s="156"/>
      <c r="L148" s="90"/>
      <c r="M148" s="90"/>
    </row>
    <row r="149" spans="4:13" ht="15" customHeight="1" x14ac:dyDescent="0.25">
      <c r="D149" s="156"/>
      <c r="F149" s="90"/>
      <c r="G149" s="90"/>
      <c r="K149" s="156"/>
      <c r="L149" s="90"/>
      <c r="M149" s="90"/>
    </row>
    <row r="150" spans="4:13" ht="15" customHeight="1" x14ac:dyDescent="0.25">
      <c r="D150" s="156"/>
      <c r="F150" s="90"/>
      <c r="G150" s="90"/>
      <c r="K150" s="156"/>
      <c r="L150" s="90"/>
      <c r="M150" s="90"/>
    </row>
    <row r="151" spans="4:13" ht="15" customHeight="1" x14ac:dyDescent="0.25">
      <c r="D151" s="156"/>
      <c r="F151" s="90"/>
      <c r="G151" s="90"/>
      <c r="L151" s="90"/>
      <c r="M151" s="90"/>
    </row>
    <row r="152" spans="4:13" ht="15" customHeight="1" x14ac:dyDescent="0.25">
      <c r="D152" s="156"/>
      <c r="F152" s="90"/>
      <c r="G152" s="90"/>
      <c r="L152" s="90"/>
      <c r="M152" s="90"/>
    </row>
    <row r="153" spans="4:13" ht="15" customHeight="1" x14ac:dyDescent="0.25">
      <c r="D153" s="156"/>
      <c r="F153" s="90"/>
      <c r="G153" s="90"/>
      <c r="L153" s="90"/>
      <c r="M153" s="90"/>
    </row>
    <row r="154" spans="4:13" ht="15" customHeight="1" x14ac:dyDescent="0.25">
      <c r="D154" s="156"/>
      <c r="F154" s="90"/>
      <c r="G154" s="90"/>
      <c r="L154" s="90"/>
      <c r="M154" s="90"/>
    </row>
    <row r="155" spans="4:13" ht="15" customHeight="1" x14ac:dyDescent="0.25">
      <c r="D155" s="156"/>
      <c r="F155" s="90"/>
      <c r="G155" s="90"/>
      <c r="L155" s="90"/>
      <c r="M155" s="90"/>
    </row>
    <row r="156" spans="4:13" ht="15" customHeight="1" x14ac:dyDescent="0.25">
      <c r="D156" s="156"/>
      <c r="F156" s="90"/>
      <c r="G156" s="90"/>
      <c r="L156" s="90"/>
      <c r="M156" s="90"/>
    </row>
    <row r="157" spans="4:13" ht="15" customHeight="1" x14ac:dyDescent="0.25">
      <c r="D157" s="156"/>
      <c r="F157" s="90"/>
      <c r="G157" s="90"/>
      <c r="L157" s="90"/>
      <c r="M157" s="90"/>
    </row>
    <row r="158" spans="4:13" ht="15" customHeight="1" x14ac:dyDescent="0.25">
      <c r="D158" s="156"/>
      <c r="F158" s="90"/>
      <c r="G158" s="90"/>
      <c r="L158" s="90"/>
      <c r="M158" s="90"/>
    </row>
    <row r="159" spans="4:13" ht="15" customHeight="1" x14ac:dyDescent="0.25">
      <c r="D159" s="156"/>
      <c r="F159" s="90"/>
      <c r="G159" s="90"/>
      <c r="L159" s="90"/>
      <c r="M159" s="90"/>
    </row>
    <row r="160" spans="4:13" ht="15" customHeight="1" x14ac:dyDescent="0.25">
      <c r="D160" s="156"/>
      <c r="F160" s="90"/>
      <c r="G160" s="90"/>
      <c r="L160" s="90"/>
      <c r="M160" s="90"/>
    </row>
    <row r="161" spans="4:13" ht="15" customHeight="1" x14ac:dyDescent="0.25">
      <c r="D161" s="156"/>
      <c r="F161" s="90"/>
      <c r="G161" s="90"/>
      <c r="L161" s="90"/>
      <c r="M161" s="90"/>
    </row>
    <row r="162" spans="4:13" ht="15" customHeight="1" x14ac:dyDescent="0.25">
      <c r="D162" s="156"/>
      <c r="F162" s="90"/>
      <c r="G162" s="90"/>
      <c r="L162" s="90"/>
      <c r="M162" s="90"/>
    </row>
    <row r="163" spans="4:13" ht="15" customHeight="1" x14ac:dyDescent="0.25">
      <c r="D163" s="156"/>
      <c r="F163" s="90"/>
      <c r="G163" s="90"/>
      <c r="L163" s="90"/>
      <c r="M163" s="90"/>
    </row>
    <row r="164" spans="4:13" ht="15" customHeight="1" x14ac:dyDescent="0.25">
      <c r="D164" s="156"/>
      <c r="F164" s="90"/>
      <c r="G164" s="90"/>
      <c r="L164" s="90"/>
      <c r="M164" s="90"/>
    </row>
    <row r="165" spans="4:13" ht="15" customHeight="1" x14ac:dyDescent="0.25">
      <c r="D165" s="156"/>
      <c r="F165" s="90"/>
      <c r="G165" s="90"/>
      <c r="L165" s="90"/>
      <c r="M165" s="90"/>
    </row>
    <row r="166" spans="4:13" ht="15" customHeight="1" x14ac:dyDescent="0.25">
      <c r="D166" s="156"/>
      <c r="F166" s="90"/>
      <c r="G166" s="90"/>
      <c r="L166" s="90"/>
      <c r="M166" s="90"/>
    </row>
    <row r="167" spans="4:13" ht="15" customHeight="1" x14ac:dyDescent="0.25">
      <c r="D167" s="156"/>
      <c r="F167" s="90"/>
      <c r="G167" s="90"/>
      <c r="L167" s="90"/>
      <c r="M167" s="90"/>
    </row>
    <row r="168" spans="4:13" ht="15" customHeight="1" x14ac:dyDescent="0.25">
      <c r="D168" s="156"/>
      <c r="F168" s="90"/>
      <c r="G168" s="90"/>
      <c r="L168" s="90"/>
      <c r="M168" s="90"/>
    </row>
    <row r="169" spans="4:13" ht="15" customHeight="1" x14ac:dyDescent="0.25">
      <c r="D169" s="156"/>
      <c r="F169" s="90"/>
      <c r="G169" s="90"/>
      <c r="L169" s="90"/>
      <c r="M169" s="90"/>
    </row>
    <row r="170" spans="4:13" ht="15" customHeight="1" x14ac:dyDescent="0.25">
      <c r="D170" s="156"/>
      <c r="F170" s="90"/>
      <c r="G170" s="90"/>
      <c r="L170" s="90"/>
      <c r="M170" s="90"/>
    </row>
    <row r="171" spans="4:13" ht="15" customHeight="1" x14ac:dyDescent="0.25">
      <c r="D171" s="156"/>
      <c r="F171" s="90"/>
      <c r="G171" s="90"/>
      <c r="L171" s="90"/>
      <c r="M171" s="90"/>
    </row>
    <row r="172" spans="4:13" ht="15" customHeight="1" x14ac:dyDescent="0.25">
      <c r="D172" s="156"/>
      <c r="F172" s="90"/>
      <c r="G172" s="90"/>
      <c r="L172" s="90"/>
      <c r="M172" s="90"/>
    </row>
    <row r="173" spans="4:13" ht="15" customHeight="1" x14ac:dyDescent="0.25">
      <c r="D173" s="156"/>
      <c r="F173" s="90"/>
      <c r="G173" s="90"/>
      <c r="L173" s="90"/>
      <c r="M173" s="90"/>
    </row>
    <row r="174" spans="4:13" ht="15" customHeight="1" x14ac:dyDescent="0.25">
      <c r="D174" s="156"/>
      <c r="F174" s="90"/>
      <c r="G174" s="90"/>
      <c r="L174" s="90"/>
      <c r="M174" s="90"/>
    </row>
    <row r="175" spans="4:13" ht="15" customHeight="1" x14ac:dyDescent="0.25">
      <c r="F175" s="90"/>
      <c r="G175" s="90"/>
      <c r="L175" s="90"/>
      <c r="M175" s="90"/>
    </row>
    <row r="176" spans="4:13" ht="15" customHeight="1" x14ac:dyDescent="0.25">
      <c r="F176" s="90"/>
      <c r="G176" s="90"/>
      <c r="L176" s="90"/>
      <c r="M176" s="90"/>
    </row>
    <row r="177" spans="6:13" ht="15" customHeight="1" x14ac:dyDescent="0.25">
      <c r="F177" s="90"/>
      <c r="G177" s="90"/>
      <c r="L177" s="90"/>
      <c r="M177" s="90"/>
    </row>
    <row r="178" spans="6:13" ht="15" customHeight="1" x14ac:dyDescent="0.25">
      <c r="F178" s="90"/>
      <c r="G178" s="90"/>
      <c r="L178" s="90"/>
      <c r="M178" s="90"/>
    </row>
    <row r="179" spans="6:13" ht="15" customHeight="1" x14ac:dyDescent="0.25">
      <c r="F179" s="90"/>
      <c r="G179" s="90"/>
      <c r="L179" s="90"/>
      <c r="M179" s="90"/>
    </row>
    <row r="180" spans="6:13" ht="15" customHeight="1" x14ac:dyDescent="0.25">
      <c r="F180" s="90"/>
      <c r="G180" s="90"/>
      <c r="L180" s="90"/>
      <c r="M180" s="90"/>
    </row>
    <row r="181" spans="6:13" ht="15" customHeight="1" x14ac:dyDescent="0.25">
      <c r="F181" s="90"/>
      <c r="G181" s="90"/>
      <c r="L181" s="90"/>
      <c r="M181" s="90"/>
    </row>
    <row r="182" spans="6:13" ht="15" customHeight="1" x14ac:dyDescent="0.25">
      <c r="F182" s="90"/>
      <c r="G182" s="90"/>
      <c r="L182" s="90"/>
      <c r="M182" s="90"/>
    </row>
    <row r="183" spans="6:13" ht="15" customHeight="1" x14ac:dyDescent="0.25">
      <c r="F183" s="90"/>
      <c r="G183" s="90"/>
      <c r="L183" s="90"/>
      <c r="M183" s="90"/>
    </row>
    <row r="184" spans="6:13" ht="15" customHeight="1" x14ac:dyDescent="0.25">
      <c r="F184" s="90"/>
      <c r="G184" s="90"/>
      <c r="L184" s="90"/>
      <c r="M184" s="90"/>
    </row>
    <row r="185" spans="6:13" ht="15" customHeight="1" x14ac:dyDescent="0.25">
      <c r="F185" s="90"/>
      <c r="G185" s="90"/>
      <c r="L185" s="90"/>
      <c r="M185" s="90"/>
    </row>
    <row r="186" spans="6:13" ht="15" customHeight="1" x14ac:dyDescent="0.25">
      <c r="F186" s="90"/>
      <c r="G186" s="90"/>
      <c r="L186" s="90"/>
      <c r="M186" s="90"/>
    </row>
    <row r="187" spans="6:13" ht="15" customHeight="1" x14ac:dyDescent="0.25">
      <c r="F187" s="90"/>
      <c r="G187" s="90"/>
      <c r="L187" s="90"/>
      <c r="M187" s="90"/>
    </row>
    <row r="188" spans="6:13" ht="15" customHeight="1" x14ac:dyDescent="0.25">
      <c r="F188" s="90"/>
      <c r="G188" s="90"/>
      <c r="L188" s="90"/>
      <c r="M188" s="90"/>
    </row>
    <row r="189" spans="6:13" ht="15" customHeight="1" x14ac:dyDescent="0.25">
      <c r="F189" s="90"/>
      <c r="G189" s="90"/>
      <c r="L189" s="90"/>
      <c r="M189" s="90"/>
    </row>
    <row r="190" spans="6:13" ht="15" customHeight="1" x14ac:dyDescent="0.25">
      <c r="F190" s="90"/>
      <c r="G190" s="90"/>
      <c r="L190" s="90"/>
      <c r="M190" s="90"/>
    </row>
    <row r="191" spans="6:13" ht="15" customHeight="1" x14ac:dyDescent="0.25">
      <c r="F191" s="90"/>
      <c r="G191" s="90"/>
      <c r="L191" s="90"/>
      <c r="M191" s="90"/>
    </row>
    <row r="192" spans="6:13" ht="15" customHeight="1" x14ac:dyDescent="0.25">
      <c r="F192" s="90"/>
      <c r="G192" s="90"/>
      <c r="L192" s="90"/>
      <c r="M192" s="90"/>
    </row>
    <row r="193" spans="6:13" ht="15" customHeight="1" x14ac:dyDescent="0.25">
      <c r="F193" s="90"/>
      <c r="G193" s="90"/>
      <c r="L193" s="90"/>
      <c r="M193" s="90"/>
    </row>
    <row r="194" spans="6:13" ht="15" customHeight="1" x14ac:dyDescent="0.25">
      <c r="F194" s="90"/>
      <c r="G194" s="90"/>
      <c r="L194" s="90"/>
      <c r="M194" s="90"/>
    </row>
    <row r="195" spans="6:13" ht="15" customHeight="1" x14ac:dyDescent="0.25">
      <c r="F195" s="90"/>
      <c r="G195" s="90"/>
      <c r="L195" s="90"/>
      <c r="M195" s="90"/>
    </row>
    <row r="196" spans="6:13" ht="15" customHeight="1" x14ac:dyDescent="0.25">
      <c r="F196" s="90"/>
      <c r="G196" s="90"/>
      <c r="L196" s="90"/>
      <c r="M196" s="90"/>
    </row>
    <row r="197" spans="6:13" ht="15" customHeight="1" x14ac:dyDescent="0.25">
      <c r="F197" s="90"/>
      <c r="G197" s="90"/>
      <c r="L197" s="90"/>
      <c r="M197" s="90"/>
    </row>
    <row r="198" spans="6:13" ht="15" customHeight="1" x14ac:dyDescent="0.25">
      <c r="F198" s="90"/>
      <c r="G198" s="90"/>
      <c r="L198" s="90"/>
      <c r="M198" s="90"/>
    </row>
    <row r="199" spans="6:13" ht="15" customHeight="1" x14ac:dyDescent="0.25">
      <c r="F199" s="90"/>
      <c r="G199" s="90"/>
      <c r="L199" s="90"/>
      <c r="M199" s="90"/>
    </row>
    <row r="200" spans="6:13" ht="15" customHeight="1" x14ac:dyDescent="0.25">
      <c r="F200" s="90"/>
      <c r="G200" s="90"/>
      <c r="L200" s="90"/>
      <c r="M200" s="90"/>
    </row>
    <row r="201" spans="6:13" ht="15" customHeight="1" x14ac:dyDescent="0.25">
      <c r="F201" s="90"/>
      <c r="G201" s="90"/>
      <c r="L201" s="90"/>
      <c r="M201" s="90"/>
    </row>
    <row r="202" spans="6:13" ht="15" customHeight="1" x14ac:dyDescent="0.25">
      <c r="F202" s="90"/>
      <c r="G202" s="90"/>
      <c r="L202" s="90"/>
      <c r="M202" s="90"/>
    </row>
    <row r="203" spans="6:13" ht="15" customHeight="1" x14ac:dyDescent="0.25">
      <c r="F203" s="90"/>
      <c r="G203" s="90"/>
      <c r="L203" s="90"/>
      <c r="M203" s="90"/>
    </row>
    <row r="204" spans="6:13" ht="15" customHeight="1" x14ac:dyDescent="0.25">
      <c r="F204" s="90"/>
      <c r="G204" s="90"/>
      <c r="L204" s="90"/>
      <c r="M204" s="90"/>
    </row>
    <row r="205" spans="6:13" ht="15" customHeight="1" x14ac:dyDescent="0.25">
      <c r="F205" s="90"/>
      <c r="G205" s="90"/>
      <c r="L205" s="90"/>
      <c r="M205" s="90"/>
    </row>
    <row r="206" spans="6:13" ht="15" customHeight="1" x14ac:dyDescent="0.25">
      <c r="F206" s="90"/>
      <c r="G206" s="90"/>
      <c r="L206" s="90"/>
      <c r="M206" s="90"/>
    </row>
    <row r="207" spans="6:13" ht="15" customHeight="1" x14ac:dyDescent="0.25">
      <c r="F207" s="90"/>
      <c r="G207" s="90"/>
    </row>
    <row r="208" spans="6:13" ht="15" customHeight="1" x14ac:dyDescent="0.25">
      <c r="F208" s="90"/>
      <c r="G208" s="90"/>
    </row>
    <row r="209" spans="6:7" ht="15" customHeight="1" x14ac:dyDescent="0.25">
      <c r="F209" s="90"/>
      <c r="G209" s="90"/>
    </row>
    <row r="210" spans="6:7" ht="15" customHeight="1" x14ac:dyDescent="0.25">
      <c r="F210" s="90"/>
      <c r="G210" s="90"/>
    </row>
    <row r="211" spans="6:7" ht="15" customHeight="1" x14ac:dyDescent="0.25">
      <c r="F211" s="90"/>
      <c r="G211" s="90"/>
    </row>
    <row r="212" spans="6:7" ht="15" customHeight="1" x14ac:dyDescent="0.25">
      <c r="F212" s="90"/>
      <c r="G212" s="90"/>
    </row>
    <row r="213" spans="6:7" ht="15" customHeight="1" x14ac:dyDescent="0.25">
      <c r="F213" s="90"/>
      <c r="G213" s="90"/>
    </row>
    <row r="214" spans="6:7" ht="15" customHeight="1" x14ac:dyDescent="0.25">
      <c r="F214" s="90"/>
      <c r="G214" s="90"/>
    </row>
    <row r="215" spans="6:7" ht="15" customHeight="1" x14ac:dyDescent="0.25">
      <c r="F215" s="90"/>
      <c r="G215" s="90"/>
    </row>
    <row r="216" spans="6:7" ht="15" customHeight="1" x14ac:dyDescent="0.25">
      <c r="F216" s="90"/>
      <c r="G216" s="90"/>
    </row>
    <row r="217" spans="6:7" ht="15" customHeight="1" x14ac:dyDescent="0.25">
      <c r="F217" s="90"/>
      <c r="G217" s="90"/>
    </row>
    <row r="218" spans="6:7" ht="15" customHeight="1" x14ac:dyDescent="0.25">
      <c r="F218" s="90"/>
      <c r="G218" s="90"/>
    </row>
    <row r="219" spans="6:7" ht="15" customHeight="1" x14ac:dyDescent="0.25">
      <c r="F219" s="90"/>
      <c r="G219" s="90"/>
    </row>
  </sheetData>
  <sheetProtection algorithmName="SHA-512" hashValue="Fci4J8jGg0RF6EVu+5KHJeIHJ4b0Shy2X62o7Ekwk/6hMWrjWo6FQBbLIwbnq9MaVHq23606Mdw7FQ8IHPX4aQ==" saltValue="H8fgyrBT/s05+333p0N6SQ==" spinCount="100000" sheet="1" objects="1" scenarios="1"/>
  <mergeCells count="1">
    <mergeCell ref="A9:L9"/>
  </mergeCells>
  <conditionalFormatting sqref="K25:K26 K70:K74 K42:K46 K77:K78 K18:K20 K80:K81 K34:K39 K67 K110:K150 D135:D174 D104:E104 D128:E129 K29:K31 K49:K63">
    <cfRule type="cellIs" dxfId="91" priority="20" operator="equal">
      <formula>0</formula>
    </cfRule>
  </conditionalFormatting>
  <conditionalFormatting sqref="K79">
    <cfRule type="cellIs" dxfId="90" priority="15" operator="equal">
      <formula>0</formula>
    </cfRule>
  </conditionalFormatting>
  <conditionalFormatting sqref="B11:L12">
    <cfRule type="cellIs" dxfId="89" priority="19" operator="equal">
      <formula>0</formula>
    </cfRule>
  </conditionalFormatting>
  <conditionalFormatting sqref="M11">
    <cfRule type="cellIs" dxfId="88" priority="18" stopIfTrue="1" operator="notEqual">
      <formula>L11</formula>
    </cfRule>
  </conditionalFormatting>
  <conditionalFormatting sqref="M12">
    <cfRule type="cellIs" dxfId="87" priority="17" stopIfTrue="1" operator="notEqual">
      <formula>L12</formula>
    </cfRule>
  </conditionalFormatting>
  <conditionalFormatting sqref="K66">
    <cfRule type="cellIs" dxfId="86" priority="16" operator="equal">
      <formula>0</formula>
    </cfRule>
  </conditionalFormatting>
  <conditionalFormatting sqref="D91:E92 E93:E94">
    <cfRule type="cellIs" dxfId="85" priority="11" operator="equal">
      <formula>0</formula>
    </cfRule>
  </conditionalFormatting>
  <conditionalFormatting sqref="D22:E22">
    <cfRule type="cellIs" dxfId="84" priority="10" operator="equal">
      <formula>0</formula>
    </cfRule>
  </conditionalFormatting>
  <conditionalFormatting sqref="D76:E77">
    <cfRule type="cellIs" dxfId="83" priority="2" operator="equal">
      <formula>0</formula>
    </cfRule>
  </conditionalFormatting>
  <conditionalFormatting sqref="D60:E60">
    <cfRule type="cellIs" dxfId="82" priority="5" operator="equal">
      <formula>0</formula>
    </cfRule>
  </conditionalFormatting>
  <conditionalFormatting sqref="D57:E57">
    <cfRule type="cellIs" dxfId="81" priority="4" operator="equal">
      <formula>0</formula>
    </cfRule>
  </conditionalFormatting>
  <conditionalFormatting sqref="D49:E49">
    <cfRule type="cellIs" dxfId="80" priority="3" operator="equal">
      <formula>0</formula>
    </cfRule>
  </conditionalFormatting>
  <conditionalFormatting sqref="D101:E101">
    <cfRule type="cellIs" dxfId="79" priority="1" operator="equal">
      <formula>0</formula>
    </cfRule>
  </conditionalFormatting>
  <conditionalFormatting sqref="D124:E127 D68:D70 D102:E103 D95:E100 D73:E75">
    <cfRule type="cellIs" dxfId="78" priority="14" operator="equal">
      <formula>0</formula>
    </cfRule>
  </conditionalFormatting>
  <conditionalFormatting sqref="D28:E32 D18:E19 D35:E40 D132:E134 D116:E117 D107:E109 D43:E48 E64:E65 D61:E63 D50:E56 D119:E123 D79:E90 D66:E67 D111:E114 D105:E105 D58:E59 E68:E70 D23:E25">
    <cfRule type="cellIs" dxfId="77" priority="13" operator="equal">
      <formula>0</formula>
    </cfRule>
  </conditionalFormatting>
  <conditionalFormatting sqref="D20:E21">
    <cfRule type="cellIs" dxfId="76" priority="12" operator="equal">
      <formula>0</formula>
    </cfRule>
  </conditionalFormatting>
  <conditionalFormatting sqref="D93:D94">
    <cfRule type="cellIs" dxfId="75" priority="9" operator="equal">
      <formula>0</formula>
    </cfRule>
  </conditionalFormatting>
  <conditionalFormatting sqref="D78:E78">
    <cfRule type="cellIs" dxfId="74" priority="8" operator="equal">
      <formula>0</formula>
    </cfRule>
  </conditionalFormatting>
  <conditionalFormatting sqref="D64">
    <cfRule type="cellIs" dxfId="73" priority="7" operator="equal">
      <formula>0</formula>
    </cfRule>
  </conditionalFormatting>
  <conditionalFormatting sqref="D65">
    <cfRule type="cellIs" dxfId="72" priority="6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opLeftCell="A4" zoomScaleNormal="100" workbookViewId="0">
      <selection sqref="A1:XFD1048576"/>
    </sheetView>
  </sheetViews>
  <sheetFormatPr baseColWidth="10" defaultColWidth="10.7109375" defaultRowHeight="15" customHeight="1" x14ac:dyDescent="0.25"/>
  <cols>
    <col min="1" max="1" width="12.7109375" style="171" customWidth="1"/>
    <col min="2" max="2" width="13.7109375" style="171" bestFit="1" customWidth="1"/>
    <col min="3" max="3" width="16.140625" style="171" bestFit="1" customWidth="1"/>
    <col min="4" max="4" width="14.85546875" style="171" bestFit="1" customWidth="1"/>
    <col min="5" max="5" width="12.28515625" style="171" bestFit="1" customWidth="1"/>
    <col min="6" max="6" width="15.85546875" style="171" bestFit="1" customWidth="1"/>
    <col min="7" max="7" width="16.140625" style="171" bestFit="1" customWidth="1"/>
    <col min="8" max="8" width="13.42578125" style="171" bestFit="1" customWidth="1"/>
    <col min="9" max="10" width="13.28515625" style="171" bestFit="1" customWidth="1"/>
    <col min="11" max="11" width="16.85546875" style="171" bestFit="1" customWidth="1"/>
    <col min="12" max="12" width="13" style="171" bestFit="1" customWidth="1"/>
    <col min="13" max="256" width="10.7109375" style="171"/>
    <col min="257" max="257" width="12.7109375" style="171" customWidth="1"/>
    <col min="258" max="258" width="13.7109375" style="171" bestFit="1" customWidth="1"/>
    <col min="259" max="259" width="16.140625" style="171" bestFit="1" customWidth="1"/>
    <col min="260" max="260" width="14.85546875" style="171" bestFit="1" customWidth="1"/>
    <col min="261" max="261" width="12.28515625" style="171" bestFit="1" customWidth="1"/>
    <col min="262" max="262" width="15.85546875" style="171" bestFit="1" customWidth="1"/>
    <col min="263" max="263" width="16.140625" style="171" bestFit="1" customWidth="1"/>
    <col min="264" max="264" width="13.42578125" style="171" bestFit="1" customWidth="1"/>
    <col min="265" max="266" width="13.28515625" style="171" bestFit="1" customWidth="1"/>
    <col min="267" max="267" width="16.85546875" style="171" bestFit="1" customWidth="1"/>
    <col min="268" max="268" width="13" style="171" bestFit="1" customWidth="1"/>
    <col min="269" max="512" width="10.7109375" style="171"/>
    <col min="513" max="513" width="12.7109375" style="171" customWidth="1"/>
    <col min="514" max="514" width="13.7109375" style="171" bestFit="1" customWidth="1"/>
    <col min="515" max="515" width="16.140625" style="171" bestFit="1" customWidth="1"/>
    <col min="516" max="516" width="14.85546875" style="171" bestFit="1" customWidth="1"/>
    <col min="517" max="517" width="12.28515625" style="171" bestFit="1" customWidth="1"/>
    <col min="518" max="518" width="15.85546875" style="171" bestFit="1" customWidth="1"/>
    <col min="519" max="519" width="16.140625" style="171" bestFit="1" customWidth="1"/>
    <col min="520" max="520" width="13.42578125" style="171" bestFit="1" customWidth="1"/>
    <col min="521" max="522" width="13.28515625" style="171" bestFit="1" customWidth="1"/>
    <col min="523" max="523" width="16.85546875" style="171" bestFit="1" customWidth="1"/>
    <col min="524" max="524" width="13" style="171" bestFit="1" customWidth="1"/>
    <col min="525" max="768" width="10.7109375" style="171"/>
    <col min="769" max="769" width="12.7109375" style="171" customWidth="1"/>
    <col min="770" max="770" width="13.7109375" style="171" bestFit="1" customWidth="1"/>
    <col min="771" max="771" width="16.140625" style="171" bestFit="1" customWidth="1"/>
    <col min="772" max="772" width="14.85546875" style="171" bestFit="1" customWidth="1"/>
    <col min="773" max="773" width="12.28515625" style="171" bestFit="1" customWidth="1"/>
    <col min="774" max="774" width="15.85546875" style="171" bestFit="1" customWidth="1"/>
    <col min="775" max="775" width="16.140625" style="171" bestFit="1" customWidth="1"/>
    <col min="776" max="776" width="13.42578125" style="171" bestFit="1" customWidth="1"/>
    <col min="777" max="778" width="13.28515625" style="171" bestFit="1" customWidth="1"/>
    <col min="779" max="779" width="16.85546875" style="171" bestFit="1" customWidth="1"/>
    <col min="780" max="780" width="13" style="171" bestFit="1" customWidth="1"/>
    <col min="781" max="1024" width="10.7109375" style="171"/>
    <col min="1025" max="1025" width="12.7109375" style="171" customWidth="1"/>
    <col min="1026" max="1026" width="13.7109375" style="171" bestFit="1" customWidth="1"/>
    <col min="1027" max="1027" width="16.140625" style="171" bestFit="1" customWidth="1"/>
    <col min="1028" max="1028" width="14.85546875" style="171" bestFit="1" customWidth="1"/>
    <col min="1029" max="1029" width="12.28515625" style="171" bestFit="1" customWidth="1"/>
    <col min="1030" max="1030" width="15.85546875" style="171" bestFit="1" customWidth="1"/>
    <col min="1031" max="1031" width="16.140625" style="171" bestFit="1" customWidth="1"/>
    <col min="1032" max="1032" width="13.42578125" style="171" bestFit="1" customWidth="1"/>
    <col min="1033" max="1034" width="13.28515625" style="171" bestFit="1" customWidth="1"/>
    <col min="1035" max="1035" width="16.85546875" style="171" bestFit="1" customWidth="1"/>
    <col min="1036" max="1036" width="13" style="171" bestFit="1" customWidth="1"/>
    <col min="1037" max="1280" width="10.7109375" style="171"/>
    <col min="1281" max="1281" width="12.7109375" style="171" customWidth="1"/>
    <col min="1282" max="1282" width="13.7109375" style="171" bestFit="1" customWidth="1"/>
    <col min="1283" max="1283" width="16.140625" style="171" bestFit="1" customWidth="1"/>
    <col min="1284" max="1284" width="14.85546875" style="171" bestFit="1" customWidth="1"/>
    <col min="1285" max="1285" width="12.28515625" style="171" bestFit="1" customWidth="1"/>
    <col min="1286" max="1286" width="15.85546875" style="171" bestFit="1" customWidth="1"/>
    <col min="1287" max="1287" width="16.140625" style="171" bestFit="1" customWidth="1"/>
    <col min="1288" max="1288" width="13.42578125" style="171" bestFit="1" customWidth="1"/>
    <col min="1289" max="1290" width="13.28515625" style="171" bestFit="1" customWidth="1"/>
    <col min="1291" max="1291" width="16.85546875" style="171" bestFit="1" customWidth="1"/>
    <col min="1292" max="1292" width="13" style="171" bestFit="1" customWidth="1"/>
    <col min="1293" max="1536" width="10.7109375" style="171"/>
    <col min="1537" max="1537" width="12.7109375" style="171" customWidth="1"/>
    <col min="1538" max="1538" width="13.7109375" style="171" bestFit="1" customWidth="1"/>
    <col min="1539" max="1539" width="16.140625" style="171" bestFit="1" customWidth="1"/>
    <col min="1540" max="1540" width="14.85546875" style="171" bestFit="1" customWidth="1"/>
    <col min="1541" max="1541" width="12.28515625" style="171" bestFit="1" customWidth="1"/>
    <col min="1542" max="1542" width="15.85546875" style="171" bestFit="1" customWidth="1"/>
    <col min="1543" max="1543" width="16.140625" style="171" bestFit="1" customWidth="1"/>
    <col min="1544" max="1544" width="13.42578125" style="171" bestFit="1" customWidth="1"/>
    <col min="1545" max="1546" width="13.28515625" style="171" bestFit="1" customWidth="1"/>
    <col min="1547" max="1547" width="16.85546875" style="171" bestFit="1" customWidth="1"/>
    <col min="1548" max="1548" width="13" style="171" bestFit="1" customWidth="1"/>
    <col min="1549" max="1792" width="10.7109375" style="171"/>
    <col min="1793" max="1793" width="12.7109375" style="171" customWidth="1"/>
    <col min="1794" max="1794" width="13.7109375" style="171" bestFit="1" customWidth="1"/>
    <col min="1795" max="1795" width="16.140625" style="171" bestFit="1" customWidth="1"/>
    <col min="1796" max="1796" width="14.85546875" style="171" bestFit="1" customWidth="1"/>
    <col min="1797" max="1797" width="12.28515625" style="171" bestFit="1" customWidth="1"/>
    <col min="1798" max="1798" width="15.85546875" style="171" bestFit="1" customWidth="1"/>
    <col min="1799" max="1799" width="16.140625" style="171" bestFit="1" customWidth="1"/>
    <col min="1800" max="1800" width="13.42578125" style="171" bestFit="1" customWidth="1"/>
    <col min="1801" max="1802" width="13.28515625" style="171" bestFit="1" customWidth="1"/>
    <col min="1803" max="1803" width="16.85546875" style="171" bestFit="1" customWidth="1"/>
    <col min="1804" max="1804" width="13" style="171" bestFit="1" customWidth="1"/>
    <col min="1805" max="2048" width="10.7109375" style="171"/>
    <col min="2049" max="2049" width="12.7109375" style="171" customWidth="1"/>
    <col min="2050" max="2050" width="13.7109375" style="171" bestFit="1" customWidth="1"/>
    <col min="2051" max="2051" width="16.140625" style="171" bestFit="1" customWidth="1"/>
    <col min="2052" max="2052" width="14.85546875" style="171" bestFit="1" customWidth="1"/>
    <col min="2053" max="2053" width="12.28515625" style="171" bestFit="1" customWidth="1"/>
    <col min="2054" max="2054" width="15.85546875" style="171" bestFit="1" customWidth="1"/>
    <col min="2055" max="2055" width="16.140625" style="171" bestFit="1" customWidth="1"/>
    <col min="2056" max="2056" width="13.42578125" style="171" bestFit="1" customWidth="1"/>
    <col min="2057" max="2058" width="13.28515625" style="171" bestFit="1" customWidth="1"/>
    <col min="2059" max="2059" width="16.85546875" style="171" bestFit="1" customWidth="1"/>
    <col min="2060" max="2060" width="13" style="171" bestFit="1" customWidth="1"/>
    <col min="2061" max="2304" width="10.7109375" style="171"/>
    <col min="2305" max="2305" width="12.7109375" style="171" customWidth="1"/>
    <col min="2306" max="2306" width="13.7109375" style="171" bestFit="1" customWidth="1"/>
    <col min="2307" max="2307" width="16.140625" style="171" bestFit="1" customWidth="1"/>
    <col min="2308" max="2308" width="14.85546875" style="171" bestFit="1" customWidth="1"/>
    <col min="2309" max="2309" width="12.28515625" style="171" bestFit="1" customWidth="1"/>
    <col min="2310" max="2310" width="15.85546875" style="171" bestFit="1" customWidth="1"/>
    <col min="2311" max="2311" width="16.140625" style="171" bestFit="1" customWidth="1"/>
    <col min="2312" max="2312" width="13.42578125" style="171" bestFit="1" customWidth="1"/>
    <col min="2313" max="2314" width="13.28515625" style="171" bestFit="1" customWidth="1"/>
    <col min="2315" max="2315" width="16.85546875" style="171" bestFit="1" customWidth="1"/>
    <col min="2316" max="2316" width="13" style="171" bestFit="1" customWidth="1"/>
    <col min="2317" max="2560" width="10.7109375" style="171"/>
    <col min="2561" max="2561" width="12.7109375" style="171" customWidth="1"/>
    <col min="2562" max="2562" width="13.7109375" style="171" bestFit="1" customWidth="1"/>
    <col min="2563" max="2563" width="16.140625" style="171" bestFit="1" customWidth="1"/>
    <col min="2564" max="2564" width="14.85546875" style="171" bestFit="1" customWidth="1"/>
    <col min="2565" max="2565" width="12.28515625" style="171" bestFit="1" customWidth="1"/>
    <col min="2566" max="2566" width="15.85546875" style="171" bestFit="1" customWidth="1"/>
    <col min="2567" max="2567" width="16.140625" style="171" bestFit="1" customWidth="1"/>
    <col min="2568" max="2568" width="13.42578125" style="171" bestFit="1" customWidth="1"/>
    <col min="2569" max="2570" width="13.28515625" style="171" bestFit="1" customWidth="1"/>
    <col min="2571" max="2571" width="16.85546875" style="171" bestFit="1" customWidth="1"/>
    <col min="2572" max="2572" width="13" style="171" bestFit="1" customWidth="1"/>
    <col min="2573" max="2816" width="10.7109375" style="171"/>
    <col min="2817" max="2817" width="12.7109375" style="171" customWidth="1"/>
    <col min="2818" max="2818" width="13.7109375" style="171" bestFit="1" customWidth="1"/>
    <col min="2819" max="2819" width="16.140625" style="171" bestFit="1" customWidth="1"/>
    <col min="2820" max="2820" width="14.85546875" style="171" bestFit="1" customWidth="1"/>
    <col min="2821" max="2821" width="12.28515625" style="171" bestFit="1" customWidth="1"/>
    <col min="2822" max="2822" width="15.85546875" style="171" bestFit="1" customWidth="1"/>
    <col min="2823" max="2823" width="16.140625" style="171" bestFit="1" customWidth="1"/>
    <col min="2824" max="2824" width="13.42578125" style="171" bestFit="1" customWidth="1"/>
    <col min="2825" max="2826" width="13.28515625" style="171" bestFit="1" customWidth="1"/>
    <col min="2827" max="2827" width="16.85546875" style="171" bestFit="1" customWidth="1"/>
    <col min="2828" max="2828" width="13" style="171" bestFit="1" customWidth="1"/>
    <col min="2829" max="3072" width="10.7109375" style="171"/>
    <col min="3073" max="3073" width="12.7109375" style="171" customWidth="1"/>
    <col min="3074" max="3074" width="13.7109375" style="171" bestFit="1" customWidth="1"/>
    <col min="3075" max="3075" width="16.140625" style="171" bestFit="1" customWidth="1"/>
    <col min="3076" max="3076" width="14.85546875" style="171" bestFit="1" customWidth="1"/>
    <col min="3077" max="3077" width="12.28515625" style="171" bestFit="1" customWidth="1"/>
    <col min="3078" max="3078" width="15.85546875" style="171" bestFit="1" customWidth="1"/>
    <col min="3079" max="3079" width="16.140625" style="171" bestFit="1" customWidth="1"/>
    <col min="3080" max="3080" width="13.42578125" style="171" bestFit="1" customWidth="1"/>
    <col min="3081" max="3082" width="13.28515625" style="171" bestFit="1" customWidth="1"/>
    <col min="3083" max="3083" width="16.85546875" style="171" bestFit="1" customWidth="1"/>
    <col min="3084" max="3084" width="13" style="171" bestFit="1" customWidth="1"/>
    <col min="3085" max="3328" width="10.7109375" style="171"/>
    <col min="3329" max="3329" width="12.7109375" style="171" customWidth="1"/>
    <col min="3330" max="3330" width="13.7109375" style="171" bestFit="1" customWidth="1"/>
    <col min="3331" max="3331" width="16.140625" style="171" bestFit="1" customWidth="1"/>
    <col min="3332" max="3332" width="14.85546875" style="171" bestFit="1" customWidth="1"/>
    <col min="3333" max="3333" width="12.28515625" style="171" bestFit="1" customWidth="1"/>
    <col min="3334" max="3334" width="15.85546875" style="171" bestFit="1" customWidth="1"/>
    <col min="3335" max="3335" width="16.140625" style="171" bestFit="1" customWidth="1"/>
    <col min="3336" max="3336" width="13.42578125" style="171" bestFit="1" customWidth="1"/>
    <col min="3337" max="3338" width="13.28515625" style="171" bestFit="1" customWidth="1"/>
    <col min="3339" max="3339" width="16.85546875" style="171" bestFit="1" customWidth="1"/>
    <col min="3340" max="3340" width="13" style="171" bestFit="1" customWidth="1"/>
    <col min="3341" max="3584" width="10.7109375" style="171"/>
    <col min="3585" max="3585" width="12.7109375" style="171" customWidth="1"/>
    <col min="3586" max="3586" width="13.7109375" style="171" bestFit="1" customWidth="1"/>
    <col min="3587" max="3587" width="16.140625" style="171" bestFit="1" customWidth="1"/>
    <col min="3588" max="3588" width="14.85546875" style="171" bestFit="1" customWidth="1"/>
    <col min="3589" max="3589" width="12.28515625" style="171" bestFit="1" customWidth="1"/>
    <col min="3590" max="3590" width="15.85546875" style="171" bestFit="1" customWidth="1"/>
    <col min="3591" max="3591" width="16.140625" style="171" bestFit="1" customWidth="1"/>
    <col min="3592" max="3592" width="13.42578125" style="171" bestFit="1" customWidth="1"/>
    <col min="3593" max="3594" width="13.28515625" style="171" bestFit="1" customWidth="1"/>
    <col min="3595" max="3595" width="16.85546875" style="171" bestFit="1" customWidth="1"/>
    <col min="3596" max="3596" width="13" style="171" bestFit="1" customWidth="1"/>
    <col min="3597" max="3840" width="10.7109375" style="171"/>
    <col min="3841" max="3841" width="12.7109375" style="171" customWidth="1"/>
    <col min="3842" max="3842" width="13.7109375" style="171" bestFit="1" customWidth="1"/>
    <col min="3843" max="3843" width="16.140625" style="171" bestFit="1" customWidth="1"/>
    <col min="3844" max="3844" width="14.85546875" style="171" bestFit="1" customWidth="1"/>
    <col min="3845" max="3845" width="12.28515625" style="171" bestFit="1" customWidth="1"/>
    <col min="3846" max="3846" width="15.85546875" style="171" bestFit="1" customWidth="1"/>
    <col min="3847" max="3847" width="16.140625" style="171" bestFit="1" customWidth="1"/>
    <col min="3848" max="3848" width="13.42578125" style="171" bestFit="1" customWidth="1"/>
    <col min="3849" max="3850" width="13.28515625" style="171" bestFit="1" customWidth="1"/>
    <col min="3851" max="3851" width="16.85546875" style="171" bestFit="1" customWidth="1"/>
    <col min="3852" max="3852" width="13" style="171" bestFit="1" customWidth="1"/>
    <col min="3853" max="4096" width="10.7109375" style="171"/>
    <col min="4097" max="4097" width="12.7109375" style="171" customWidth="1"/>
    <col min="4098" max="4098" width="13.7109375" style="171" bestFit="1" customWidth="1"/>
    <col min="4099" max="4099" width="16.140625" style="171" bestFit="1" customWidth="1"/>
    <col min="4100" max="4100" width="14.85546875" style="171" bestFit="1" customWidth="1"/>
    <col min="4101" max="4101" width="12.28515625" style="171" bestFit="1" customWidth="1"/>
    <col min="4102" max="4102" width="15.85546875" style="171" bestFit="1" customWidth="1"/>
    <col min="4103" max="4103" width="16.140625" style="171" bestFit="1" customWidth="1"/>
    <col min="4104" max="4104" width="13.42578125" style="171" bestFit="1" customWidth="1"/>
    <col min="4105" max="4106" width="13.28515625" style="171" bestFit="1" customWidth="1"/>
    <col min="4107" max="4107" width="16.85546875" style="171" bestFit="1" customWidth="1"/>
    <col min="4108" max="4108" width="13" style="171" bestFit="1" customWidth="1"/>
    <col min="4109" max="4352" width="10.7109375" style="171"/>
    <col min="4353" max="4353" width="12.7109375" style="171" customWidth="1"/>
    <col min="4354" max="4354" width="13.7109375" style="171" bestFit="1" customWidth="1"/>
    <col min="4355" max="4355" width="16.140625" style="171" bestFit="1" customWidth="1"/>
    <col min="4356" max="4356" width="14.85546875" style="171" bestFit="1" customWidth="1"/>
    <col min="4357" max="4357" width="12.28515625" style="171" bestFit="1" customWidth="1"/>
    <col min="4358" max="4358" width="15.85546875" style="171" bestFit="1" customWidth="1"/>
    <col min="4359" max="4359" width="16.140625" style="171" bestFit="1" customWidth="1"/>
    <col min="4360" max="4360" width="13.42578125" style="171" bestFit="1" customWidth="1"/>
    <col min="4361" max="4362" width="13.28515625" style="171" bestFit="1" customWidth="1"/>
    <col min="4363" max="4363" width="16.85546875" style="171" bestFit="1" customWidth="1"/>
    <col min="4364" max="4364" width="13" style="171" bestFit="1" customWidth="1"/>
    <col min="4365" max="4608" width="10.7109375" style="171"/>
    <col min="4609" max="4609" width="12.7109375" style="171" customWidth="1"/>
    <col min="4610" max="4610" width="13.7109375" style="171" bestFit="1" customWidth="1"/>
    <col min="4611" max="4611" width="16.140625" style="171" bestFit="1" customWidth="1"/>
    <col min="4612" max="4612" width="14.85546875" style="171" bestFit="1" customWidth="1"/>
    <col min="4613" max="4613" width="12.28515625" style="171" bestFit="1" customWidth="1"/>
    <col min="4614" max="4614" width="15.85546875" style="171" bestFit="1" customWidth="1"/>
    <col min="4615" max="4615" width="16.140625" style="171" bestFit="1" customWidth="1"/>
    <col min="4616" max="4616" width="13.42578125" style="171" bestFit="1" customWidth="1"/>
    <col min="4617" max="4618" width="13.28515625" style="171" bestFit="1" customWidth="1"/>
    <col min="4619" max="4619" width="16.85546875" style="171" bestFit="1" customWidth="1"/>
    <col min="4620" max="4620" width="13" style="171" bestFit="1" customWidth="1"/>
    <col min="4621" max="4864" width="10.7109375" style="171"/>
    <col min="4865" max="4865" width="12.7109375" style="171" customWidth="1"/>
    <col min="4866" max="4866" width="13.7109375" style="171" bestFit="1" customWidth="1"/>
    <col min="4867" max="4867" width="16.140625" style="171" bestFit="1" customWidth="1"/>
    <col min="4868" max="4868" width="14.85546875" style="171" bestFit="1" customWidth="1"/>
    <col min="4869" max="4869" width="12.28515625" style="171" bestFit="1" customWidth="1"/>
    <col min="4870" max="4870" width="15.85546875" style="171" bestFit="1" customWidth="1"/>
    <col min="4871" max="4871" width="16.140625" style="171" bestFit="1" customWidth="1"/>
    <col min="4872" max="4872" width="13.42578125" style="171" bestFit="1" customWidth="1"/>
    <col min="4873" max="4874" width="13.28515625" style="171" bestFit="1" customWidth="1"/>
    <col min="4875" max="4875" width="16.85546875" style="171" bestFit="1" customWidth="1"/>
    <col min="4876" max="4876" width="13" style="171" bestFit="1" customWidth="1"/>
    <col min="4877" max="5120" width="10.7109375" style="171"/>
    <col min="5121" max="5121" width="12.7109375" style="171" customWidth="1"/>
    <col min="5122" max="5122" width="13.7109375" style="171" bestFit="1" customWidth="1"/>
    <col min="5123" max="5123" width="16.140625" style="171" bestFit="1" customWidth="1"/>
    <col min="5124" max="5124" width="14.85546875" style="171" bestFit="1" customWidth="1"/>
    <col min="5125" max="5125" width="12.28515625" style="171" bestFit="1" customWidth="1"/>
    <col min="5126" max="5126" width="15.85546875" style="171" bestFit="1" customWidth="1"/>
    <col min="5127" max="5127" width="16.140625" style="171" bestFit="1" customWidth="1"/>
    <col min="5128" max="5128" width="13.42578125" style="171" bestFit="1" customWidth="1"/>
    <col min="5129" max="5130" width="13.28515625" style="171" bestFit="1" customWidth="1"/>
    <col min="5131" max="5131" width="16.85546875" style="171" bestFit="1" customWidth="1"/>
    <col min="5132" max="5132" width="13" style="171" bestFit="1" customWidth="1"/>
    <col min="5133" max="5376" width="10.7109375" style="171"/>
    <col min="5377" max="5377" width="12.7109375" style="171" customWidth="1"/>
    <col min="5378" max="5378" width="13.7109375" style="171" bestFit="1" customWidth="1"/>
    <col min="5379" max="5379" width="16.140625" style="171" bestFit="1" customWidth="1"/>
    <col min="5380" max="5380" width="14.85546875" style="171" bestFit="1" customWidth="1"/>
    <col min="5381" max="5381" width="12.28515625" style="171" bestFit="1" customWidth="1"/>
    <col min="5382" max="5382" width="15.85546875" style="171" bestFit="1" customWidth="1"/>
    <col min="5383" max="5383" width="16.140625" style="171" bestFit="1" customWidth="1"/>
    <col min="5384" max="5384" width="13.42578125" style="171" bestFit="1" customWidth="1"/>
    <col min="5385" max="5386" width="13.28515625" style="171" bestFit="1" customWidth="1"/>
    <col min="5387" max="5387" width="16.85546875" style="171" bestFit="1" customWidth="1"/>
    <col min="5388" max="5388" width="13" style="171" bestFit="1" customWidth="1"/>
    <col min="5389" max="5632" width="10.7109375" style="171"/>
    <col min="5633" max="5633" width="12.7109375" style="171" customWidth="1"/>
    <col min="5634" max="5634" width="13.7109375" style="171" bestFit="1" customWidth="1"/>
    <col min="5635" max="5635" width="16.140625" style="171" bestFit="1" customWidth="1"/>
    <col min="5636" max="5636" width="14.85546875" style="171" bestFit="1" customWidth="1"/>
    <col min="5637" max="5637" width="12.28515625" style="171" bestFit="1" customWidth="1"/>
    <col min="5638" max="5638" width="15.85546875" style="171" bestFit="1" customWidth="1"/>
    <col min="5639" max="5639" width="16.140625" style="171" bestFit="1" customWidth="1"/>
    <col min="5640" max="5640" width="13.42578125" style="171" bestFit="1" customWidth="1"/>
    <col min="5641" max="5642" width="13.28515625" style="171" bestFit="1" customWidth="1"/>
    <col min="5643" max="5643" width="16.85546875" style="171" bestFit="1" customWidth="1"/>
    <col min="5644" max="5644" width="13" style="171" bestFit="1" customWidth="1"/>
    <col min="5645" max="5888" width="10.7109375" style="171"/>
    <col min="5889" max="5889" width="12.7109375" style="171" customWidth="1"/>
    <col min="5890" max="5890" width="13.7109375" style="171" bestFit="1" customWidth="1"/>
    <col min="5891" max="5891" width="16.140625" style="171" bestFit="1" customWidth="1"/>
    <col min="5892" max="5892" width="14.85546875" style="171" bestFit="1" customWidth="1"/>
    <col min="5893" max="5893" width="12.28515625" style="171" bestFit="1" customWidth="1"/>
    <col min="5894" max="5894" width="15.85546875" style="171" bestFit="1" customWidth="1"/>
    <col min="5895" max="5895" width="16.140625" style="171" bestFit="1" customWidth="1"/>
    <col min="5896" max="5896" width="13.42578125" style="171" bestFit="1" customWidth="1"/>
    <col min="5897" max="5898" width="13.28515625" style="171" bestFit="1" customWidth="1"/>
    <col min="5899" max="5899" width="16.85546875" style="171" bestFit="1" customWidth="1"/>
    <col min="5900" max="5900" width="13" style="171" bestFit="1" customWidth="1"/>
    <col min="5901" max="6144" width="10.7109375" style="171"/>
    <col min="6145" max="6145" width="12.7109375" style="171" customWidth="1"/>
    <col min="6146" max="6146" width="13.7109375" style="171" bestFit="1" customWidth="1"/>
    <col min="6147" max="6147" width="16.140625" style="171" bestFit="1" customWidth="1"/>
    <col min="6148" max="6148" width="14.85546875" style="171" bestFit="1" customWidth="1"/>
    <col min="6149" max="6149" width="12.28515625" style="171" bestFit="1" customWidth="1"/>
    <col min="6150" max="6150" width="15.85546875" style="171" bestFit="1" customWidth="1"/>
    <col min="6151" max="6151" width="16.140625" style="171" bestFit="1" customWidth="1"/>
    <col min="6152" max="6152" width="13.42578125" style="171" bestFit="1" customWidth="1"/>
    <col min="6153" max="6154" width="13.28515625" style="171" bestFit="1" customWidth="1"/>
    <col min="6155" max="6155" width="16.85546875" style="171" bestFit="1" customWidth="1"/>
    <col min="6156" max="6156" width="13" style="171" bestFit="1" customWidth="1"/>
    <col min="6157" max="6400" width="10.7109375" style="171"/>
    <col min="6401" max="6401" width="12.7109375" style="171" customWidth="1"/>
    <col min="6402" max="6402" width="13.7109375" style="171" bestFit="1" customWidth="1"/>
    <col min="6403" max="6403" width="16.140625" style="171" bestFit="1" customWidth="1"/>
    <col min="6404" max="6404" width="14.85546875" style="171" bestFit="1" customWidth="1"/>
    <col min="6405" max="6405" width="12.28515625" style="171" bestFit="1" customWidth="1"/>
    <col min="6406" max="6406" width="15.85546875" style="171" bestFit="1" customWidth="1"/>
    <col min="6407" max="6407" width="16.140625" style="171" bestFit="1" customWidth="1"/>
    <col min="6408" max="6408" width="13.42578125" style="171" bestFit="1" customWidth="1"/>
    <col min="6409" max="6410" width="13.28515625" style="171" bestFit="1" customWidth="1"/>
    <col min="6411" max="6411" width="16.85546875" style="171" bestFit="1" customWidth="1"/>
    <col min="6412" max="6412" width="13" style="171" bestFit="1" customWidth="1"/>
    <col min="6413" max="6656" width="10.7109375" style="171"/>
    <col min="6657" max="6657" width="12.7109375" style="171" customWidth="1"/>
    <col min="6658" max="6658" width="13.7109375" style="171" bestFit="1" customWidth="1"/>
    <col min="6659" max="6659" width="16.140625" style="171" bestFit="1" customWidth="1"/>
    <col min="6660" max="6660" width="14.85546875" style="171" bestFit="1" customWidth="1"/>
    <col min="6661" max="6661" width="12.28515625" style="171" bestFit="1" customWidth="1"/>
    <col min="6662" max="6662" width="15.85546875" style="171" bestFit="1" customWidth="1"/>
    <col min="6663" max="6663" width="16.140625" style="171" bestFit="1" customWidth="1"/>
    <col min="6664" max="6664" width="13.42578125" style="171" bestFit="1" customWidth="1"/>
    <col min="6665" max="6666" width="13.28515625" style="171" bestFit="1" customWidth="1"/>
    <col min="6667" max="6667" width="16.85546875" style="171" bestFit="1" customWidth="1"/>
    <col min="6668" max="6668" width="13" style="171" bestFit="1" customWidth="1"/>
    <col min="6669" max="6912" width="10.7109375" style="171"/>
    <col min="6913" max="6913" width="12.7109375" style="171" customWidth="1"/>
    <col min="6914" max="6914" width="13.7109375" style="171" bestFit="1" customWidth="1"/>
    <col min="6915" max="6915" width="16.140625" style="171" bestFit="1" customWidth="1"/>
    <col min="6916" max="6916" width="14.85546875" style="171" bestFit="1" customWidth="1"/>
    <col min="6917" max="6917" width="12.28515625" style="171" bestFit="1" customWidth="1"/>
    <col min="6918" max="6918" width="15.85546875" style="171" bestFit="1" customWidth="1"/>
    <col min="6919" max="6919" width="16.140625" style="171" bestFit="1" customWidth="1"/>
    <col min="6920" max="6920" width="13.42578125" style="171" bestFit="1" customWidth="1"/>
    <col min="6921" max="6922" width="13.28515625" style="171" bestFit="1" customWidth="1"/>
    <col min="6923" max="6923" width="16.85546875" style="171" bestFit="1" customWidth="1"/>
    <col min="6924" max="6924" width="13" style="171" bestFit="1" customWidth="1"/>
    <col min="6925" max="7168" width="10.7109375" style="171"/>
    <col min="7169" max="7169" width="12.7109375" style="171" customWidth="1"/>
    <col min="7170" max="7170" width="13.7109375" style="171" bestFit="1" customWidth="1"/>
    <col min="7171" max="7171" width="16.140625" style="171" bestFit="1" customWidth="1"/>
    <col min="7172" max="7172" width="14.85546875" style="171" bestFit="1" customWidth="1"/>
    <col min="7173" max="7173" width="12.28515625" style="171" bestFit="1" customWidth="1"/>
    <col min="7174" max="7174" width="15.85546875" style="171" bestFit="1" customWidth="1"/>
    <col min="7175" max="7175" width="16.140625" style="171" bestFit="1" customWidth="1"/>
    <col min="7176" max="7176" width="13.42578125" style="171" bestFit="1" customWidth="1"/>
    <col min="7177" max="7178" width="13.28515625" style="171" bestFit="1" customWidth="1"/>
    <col min="7179" max="7179" width="16.85546875" style="171" bestFit="1" customWidth="1"/>
    <col min="7180" max="7180" width="13" style="171" bestFit="1" customWidth="1"/>
    <col min="7181" max="7424" width="10.7109375" style="171"/>
    <col min="7425" max="7425" width="12.7109375" style="171" customWidth="1"/>
    <col min="7426" max="7426" width="13.7109375" style="171" bestFit="1" customWidth="1"/>
    <col min="7427" max="7427" width="16.140625" style="171" bestFit="1" customWidth="1"/>
    <col min="7428" max="7428" width="14.85546875" style="171" bestFit="1" customWidth="1"/>
    <col min="7429" max="7429" width="12.28515625" style="171" bestFit="1" customWidth="1"/>
    <col min="7430" max="7430" width="15.85546875" style="171" bestFit="1" customWidth="1"/>
    <col min="7431" max="7431" width="16.140625" style="171" bestFit="1" customWidth="1"/>
    <col min="7432" max="7432" width="13.42578125" style="171" bestFit="1" customWidth="1"/>
    <col min="7433" max="7434" width="13.28515625" style="171" bestFit="1" customWidth="1"/>
    <col min="7435" max="7435" width="16.85546875" style="171" bestFit="1" customWidth="1"/>
    <col min="7436" max="7436" width="13" style="171" bestFit="1" customWidth="1"/>
    <col min="7437" max="7680" width="10.7109375" style="171"/>
    <col min="7681" max="7681" width="12.7109375" style="171" customWidth="1"/>
    <col min="7682" max="7682" width="13.7109375" style="171" bestFit="1" customWidth="1"/>
    <col min="7683" max="7683" width="16.140625" style="171" bestFit="1" customWidth="1"/>
    <col min="7684" max="7684" width="14.85546875" style="171" bestFit="1" customWidth="1"/>
    <col min="7685" max="7685" width="12.28515625" style="171" bestFit="1" customWidth="1"/>
    <col min="7686" max="7686" width="15.85546875" style="171" bestFit="1" customWidth="1"/>
    <col min="7687" max="7687" width="16.140625" style="171" bestFit="1" customWidth="1"/>
    <col min="7688" max="7688" width="13.42578125" style="171" bestFit="1" customWidth="1"/>
    <col min="7689" max="7690" width="13.28515625" style="171" bestFit="1" customWidth="1"/>
    <col min="7691" max="7691" width="16.85546875" style="171" bestFit="1" customWidth="1"/>
    <col min="7692" max="7692" width="13" style="171" bestFit="1" customWidth="1"/>
    <col min="7693" max="7936" width="10.7109375" style="171"/>
    <col min="7937" max="7937" width="12.7109375" style="171" customWidth="1"/>
    <col min="7938" max="7938" width="13.7109375" style="171" bestFit="1" customWidth="1"/>
    <col min="7939" max="7939" width="16.140625" style="171" bestFit="1" customWidth="1"/>
    <col min="7940" max="7940" width="14.85546875" style="171" bestFit="1" customWidth="1"/>
    <col min="7941" max="7941" width="12.28515625" style="171" bestFit="1" customWidth="1"/>
    <col min="7942" max="7942" width="15.85546875" style="171" bestFit="1" customWidth="1"/>
    <col min="7943" max="7943" width="16.140625" style="171" bestFit="1" customWidth="1"/>
    <col min="7944" max="7944" width="13.42578125" style="171" bestFit="1" customWidth="1"/>
    <col min="7945" max="7946" width="13.28515625" style="171" bestFit="1" customWidth="1"/>
    <col min="7947" max="7947" width="16.85546875" style="171" bestFit="1" customWidth="1"/>
    <col min="7948" max="7948" width="13" style="171" bestFit="1" customWidth="1"/>
    <col min="7949" max="8192" width="10.7109375" style="171"/>
    <col min="8193" max="8193" width="12.7109375" style="171" customWidth="1"/>
    <col min="8194" max="8194" width="13.7109375" style="171" bestFit="1" customWidth="1"/>
    <col min="8195" max="8195" width="16.140625" style="171" bestFit="1" customWidth="1"/>
    <col min="8196" max="8196" width="14.85546875" style="171" bestFit="1" customWidth="1"/>
    <col min="8197" max="8197" width="12.28515625" style="171" bestFit="1" customWidth="1"/>
    <col min="8198" max="8198" width="15.85546875" style="171" bestFit="1" customWidth="1"/>
    <col min="8199" max="8199" width="16.140625" style="171" bestFit="1" customWidth="1"/>
    <col min="8200" max="8200" width="13.42578125" style="171" bestFit="1" customWidth="1"/>
    <col min="8201" max="8202" width="13.28515625" style="171" bestFit="1" customWidth="1"/>
    <col min="8203" max="8203" width="16.85546875" style="171" bestFit="1" customWidth="1"/>
    <col min="8204" max="8204" width="13" style="171" bestFit="1" customWidth="1"/>
    <col min="8205" max="8448" width="10.7109375" style="171"/>
    <col min="8449" max="8449" width="12.7109375" style="171" customWidth="1"/>
    <col min="8450" max="8450" width="13.7109375" style="171" bestFit="1" customWidth="1"/>
    <col min="8451" max="8451" width="16.140625" style="171" bestFit="1" customWidth="1"/>
    <col min="8452" max="8452" width="14.85546875" style="171" bestFit="1" customWidth="1"/>
    <col min="8453" max="8453" width="12.28515625" style="171" bestFit="1" customWidth="1"/>
    <col min="8454" max="8454" width="15.85546875" style="171" bestFit="1" customWidth="1"/>
    <col min="8455" max="8455" width="16.140625" style="171" bestFit="1" customWidth="1"/>
    <col min="8456" max="8456" width="13.42578125" style="171" bestFit="1" customWidth="1"/>
    <col min="8457" max="8458" width="13.28515625" style="171" bestFit="1" customWidth="1"/>
    <col min="8459" max="8459" width="16.85546875" style="171" bestFit="1" customWidth="1"/>
    <col min="8460" max="8460" width="13" style="171" bestFit="1" customWidth="1"/>
    <col min="8461" max="8704" width="10.7109375" style="171"/>
    <col min="8705" max="8705" width="12.7109375" style="171" customWidth="1"/>
    <col min="8706" max="8706" width="13.7109375" style="171" bestFit="1" customWidth="1"/>
    <col min="8707" max="8707" width="16.140625" style="171" bestFit="1" customWidth="1"/>
    <col min="8708" max="8708" width="14.85546875" style="171" bestFit="1" customWidth="1"/>
    <col min="8709" max="8709" width="12.28515625" style="171" bestFit="1" customWidth="1"/>
    <col min="8710" max="8710" width="15.85546875" style="171" bestFit="1" customWidth="1"/>
    <col min="8711" max="8711" width="16.140625" style="171" bestFit="1" customWidth="1"/>
    <col min="8712" max="8712" width="13.42578125" style="171" bestFit="1" customWidth="1"/>
    <col min="8713" max="8714" width="13.28515625" style="171" bestFit="1" customWidth="1"/>
    <col min="8715" max="8715" width="16.85546875" style="171" bestFit="1" customWidth="1"/>
    <col min="8716" max="8716" width="13" style="171" bestFit="1" customWidth="1"/>
    <col min="8717" max="8960" width="10.7109375" style="171"/>
    <col min="8961" max="8961" width="12.7109375" style="171" customWidth="1"/>
    <col min="8962" max="8962" width="13.7109375" style="171" bestFit="1" customWidth="1"/>
    <col min="8963" max="8963" width="16.140625" style="171" bestFit="1" customWidth="1"/>
    <col min="8964" max="8964" width="14.85546875" style="171" bestFit="1" customWidth="1"/>
    <col min="8965" max="8965" width="12.28515625" style="171" bestFit="1" customWidth="1"/>
    <col min="8966" max="8966" width="15.85546875" style="171" bestFit="1" customWidth="1"/>
    <col min="8967" max="8967" width="16.140625" style="171" bestFit="1" customWidth="1"/>
    <col min="8968" max="8968" width="13.42578125" style="171" bestFit="1" customWidth="1"/>
    <col min="8969" max="8970" width="13.28515625" style="171" bestFit="1" customWidth="1"/>
    <col min="8971" max="8971" width="16.85546875" style="171" bestFit="1" customWidth="1"/>
    <col min="8972" max="8972" width="13" style="171" bestFit="1" customWidth="1"/>
    <col min="8973" max="9216" width="10.7109375" style="171"/>
    <col min="9217" max="9217" width="12.7109375" style="171" customWidth="1"/>
    <col min="9218" max="9218" width="13.7109375" style="171" bestFit="1" customWidth="1"/>
    <col min="9219" max="9219" width="16.140625" style="171" bestFit="1" customWidth="1"/>
    <col min="9220" max="9220" width="14.85546875" style="171" bestFit="1" customWidth="1"/>
    <col min="9221" max="9221" width="12.28515625" style="171" bestFit="1" customWidth="1"/>
    <col min="9222" max="9222" width="15.85546875" style="171" bestFit="1" customWidth="1"/>
    <col min="9223" max="9223" width="16.140625" style="171" bestFit="1" customWidth="1"/>
    <col min="9224" max="9224" width="13.42578125" style="171" bestFit="1" customWidth="1"/>
    <col min="9225" max="9226" width="13.28515625" style="171" bestFit="1" customWidth="1"/>
    <col min="9227" max="9227" width="16.85546875" style="171" bestFit="1" customWidth="1"/>
    <col min="9228" max="9228" width="13" style="171" bestFit="1" customWidth="1"/>
    <col min="9229" max="9472" width="10.7109375" style="171"/>
    <col min="9473" max="9473" width="12.7109375" style="171" customWidth="1"/>
    <col min="9474" max="9474" width="13.7109375" style="171" bestFit="1" customWidth="1"/>
    <col min="9475" max="9475" width="16.140625" style="171" bestFit="1" customWidth="1"/>
    <col min="9476" max="9476" width="14.85546875" style="171" bestFit="1" customWidth="1"/>
    <col min="9477" max="9477" width="12.28515625" style="171" bestFit="1" customWidth="1"/>
    <col min="9478" max="9478" width="15.85546875" style="171" bestFit="1" customWidth="1"/>
    <col min="9479" max="9479" width="16.140625" style="171" bestFit="1" customWidth="1"/>
    <col min="9480" max="9480" width="13.42578125" style="171" bestFit="1" customWidth="1"/>
    <col min="9481" max="9482" width="13.28515625" style="171" bestFit="1" customWidth="1"/>
    <col min="9483" max="9483" width="16.85546875" style="171" bestFit="1" customWidth="1"/>
    <col min="9484" max="9484" width="13" style="171" bestFit="1" customWidth="1"/>
    <col min="9485" max="9728" width="10.7109375" style="171"/>
    <col min="9729" max="9729" width="12.7109375" style="171" customWidth="1"/>
    <col min="9730" max="9730" width="13.7109375" style="171" bestFit="1" customWidth="1"/>
    <col min="9731" max="9731" width="16.140625" style="171" bestFit="1" customWidth="1"/>
    <col min="9732" max="9732" width="14.85546875" style="171" bestFit="1" customWidth="1"/>
    <col min="9733" max="9733" width="12.28515625" style="171" bestFit="1" customWidth="1"/>
    <col min="9734" max="9734" width="15.85546875" style="171" bestFit="1" customWidth="1"/>
    <col min="9735" max="9735" width="16.140625" style="171" bestFit="1" customWidth="1"/>
    <col min="9736" max="9736" width="13.42578125" style="171" bestFit="1" customWidth="1"/>
    <col min="9737" max="9738" width="13.28515625" style="171" bestFit="1" customWidth="1"/>
    <col min="9739" max="9739" width="16.85546875" style="171" bestFit="1" customWidth="1"/>
    <col min="9740" max="9740" width="13" style="171" bestFit="1" customWidth="1"/>
    <col min="9741" max="9984" width="10.7109375" style="171"/>
    <col min="9985" max="9985" width="12.7109375" style="171" customWidth="1"/>
    <col min="9986" max="9986" width="13.7109375" style="171" bestFit="1" customWidth="1"/>
    <col min="9987" max="9987" width="16.140625" style="171" bestFit="1" customWidth="1"/>
    <col min="9988" max="9988" width="14.85546875" style="171" bestFit="1" customWidth="1"/>
    <col min="9989" max="9989" width="12.28515625" style="171" bestFit="1" customWidth="1"/>
    <col min="9990" max="9990" width="15.85546875" style="171" bestFit="1" customWidth="1"/>
    <col min="9991" max="9991" width="16.140625" style="171" bestFit="1" customWidth="1"/>
    <col min="9992" max="9992" width="13.42578125" style="171" bestFit="1" customWidth="1"/>
    <col min="9993" max="9994" width="13.28515625" style="171" bestFit="1" customWidth="1"/>
    <col min="9995" max="9995" width="16.85546875" style="171" bestFit="1" customWidth="1"/>
    <col min="9996" max="9996" width="13" style="171" bestFit="1" customWidth="1"/>
    <col min="9997" max="10240" width="10.7109375" style="171"/>
    <col min="10241" max="10241" width="12.7109375" style="171" customWidth="1"/>
    <col min="10242" max="10242" width="13.7109375" style="171" bestFit="1" customWidth="1"/>
    <col min="10243" max="10243" width="16.140625" style="171" bestFit="1" customWidth="1"/>
    <col min="10244" max="10244" width="14.85546875" style="171" bestFit="1" customWidth="1"/>
    <col min="10245" max="10245" width="12.28515625" style="171" bestFit="1" customWidth="1"/>
    <col min="10246" max="10246" width="15.85546875" style="171" bestFit="1" customWidth="1"/>
    <col min="10247" max="10247" width="16.140625" style="171" bestFit="1" customWidth="1"/>
    <col min="10248" max="10248" width="13.42578125" style="171" bestFit="1" customWidth="1"/>
    <col min="10249" max="10250" width="13.28515625" style="171" bestFit="1" customWidth="1"/>
    <col min="10251" max="10251" width="16.85546875" style="171" bestFit="1" customWidth="1"/>
    <col min="10252" max="10252" width="13" style="171" bestFit="1" customWidth="1"/>
    <col min="10253" max="10496" width="10.7109375" style="171"/>
    <col min="10497" max="10497" width="12.7109375" style="171" customWidth="1"/>
    <col min="10498" max="10498" width="13.7109375" style="171" bestFit="1" customWidth="1"/>
    <col min="10499" max="10499" width="16.140625" style="171" bestFit="1" customWidth="1"/>
    <col min="10500" max="10500" width="14.85546875" style="171" bestFit="1" customWidth="1"/>
    <col min="10501" max="10501" width="12.28515625" style="171" bestFit="1" customWidth="1"/>
    <col min="10502" max="10502" width="15.85546875" style="171" bestFit="1" customWidth="1"/>
    <col min="10503" max="10503" width="16.140625" style="171" bestFit="1" customWidth="1"/>
    <col min="10504" max="10504" width="13.42578125" style="171" bestFit="1" customWidth="1"/>
    <col min="10505" max="10506" width="13.28515625" style="171" bestFit="1" customWidth="1"/>
    <col min="10507" max="10507" width="16.85546875" style="171" bestFit="1" customWidth="1"/>
    <col min="10508" max="10508" width="13" style="171" bestFit="1" customWidth="1"/>
    <col min="10509" max="10752" width="10.7109375" style="171"/>
    <col min="10753" max="10753" width="12.7109375" style="171" customWidth="1"/>
    <col min="10754" max="10754" width="13.7109375" style="171" bestFit="1" customWidth="1"/>
    <col min="10755" max="10755" width="16.140625" style="171" bestFit="1" customWidth="1"/>
    <col min="10756" max="10756" width="14.85546875" style="171" bestFit="1" customWidth="1"/>
    <col min="10757" max="10757" width="12.28515625" style="171" bestFit="1" customWidth="1"/>
    <col min="10758" max="10758" width="15.85546875" style="171" bestFit="1" customWidth="1"/>
    <col min="10759" max="10759" width="16.140625" style="171" bestFit="1" customWidth="1"/>
    <col min="10760" max="10760" width="13.42578125" style="171" bestFit="1" customWidth="1"/>
    <col min="10761" max="10762" width="13.28515625" style="171" bestFit="1" customWidth="1"/>
    <col min="10763" max="10763" width="16.85546875" style="171" bestFit="1" customWidth="1"/>
    <col min="10764" max="10764" width="13" style="171" bestFit="1" customWidth="1"/>
    <col min="10765" max="11008" width="10.7109375" style="171"/>
    <col min="11009" max="11009" width="12.7109375" style="171" customWidth="1"/>
    <col min="11010" max="11010" width="13.7109375" style="171" bestFit="1" customWidth="1"/>
    <col min="11011" max="11011" width="16.140625" style="171" bestFit="1" customWidth="1"/>
    <col min="11012" max="11012" width="14.85546875" style="171" bestFit="1" customWidth="1"/>
    <col min="11013" max="11013" width="12.28515625" style="171" bestFit="1" customWidth="1"/>
    <col min="11014" max="11014" width="15.85546875" style="171" bestFit="1" customWidth="1"/>
    <col min="11015" max="11015" width="16.140625" style="171" bestFit="1" customWidth="1"/>
    <col min="11016" max="11016" width="13.42578125" style="171" bestFit="1" customWidth="1"/>
    <col min="11017" max="11018" width="13.28515625" style="171" bestFit="1" customWidth="1"/>
    <col min="11019" max="11019" width="16.85546875" style="171" bestFit="1" customWidth="1"/>
    <col min="11020" max="11020" width="13" style="171" bestFit="1" customWidth="1"/>
    <col min="11021" max="11264" width="10.7109375" style="171"/>
    <col min="11265" max="11265" width="12.7109375" style="171" customWidth="1"/>
    <col min="11266" max="11266" width="13.7109375" style="171" bestFit="1" customWidth="1"/>
    <col min="11267" max="11267" width="16.140625" style="171" bestFit="1" customWidth="1"/>
    <col min="11268" max="11268" width="14.85546875" style="171" bestFit="1" customWidth="1"/>
    <col min="11269" max="11269" width="12.28515625" style="171" bestFit="1" customWidth="1"/>
    <col min="11270" max="11270" width="15.85546875" style="171" bestFit="1" customWidth="1"/>
    <col min="11271" max="11271" width="16.140625" style="171" bestFit="1" customWidth="1"/>
    <col min="11272" max="11272" width="13.42578125" style="171" bestFit="1" customWidth="1"/>
    <col min="11273" max="11274" width="13.28515625" style="171" bestFit="1" customWidth="1"/>
    <col min="11275" max="11275" width="16.85546875" style="171" bestFit="1" customWidth="1"/>
    <col min="11276" max="11276" width="13" style="171" bestFit="1" customWidth="1"/>
    <col min="11277" max="11520" width="10.7109375" style="171"/>
    <col min="11521" max="11521" width="12.7109375" style="171" customWidth="1"/>
    <col min="11522" max="11522" width="13.7109375" style="171" bestFit="1" customWidth="1"/>
    <col min="11523" max="11523" width="16.140625" style="171" bestFit="1" customWidth="1"/>
    <col min="11524" max="11524" width="14.85546875" style="171" bestFit="1" customWidth="1"/>
    <col min="11525" max="11525" width="12.28515625" style="171" bestFit="1" customWidth="1"/>
    <col min="11526" max="11526" width="15.85546875" style="171" bestFit="1" customWidth="1"/>
    <col min="11527" max="11527" width="16.140625" style="171" bestFit="1" customWidth="1"/>
    <col min="11528" max="11528" width="13.42578125" style="171" bestFit="1" customWidth="1"/>
    <col min="11529" max="11530" width="13.28515625" style="171" bestFit="1" customWidth="1"/>
    <col min="11531" max="11531" width="16.85546875" style="171" bestFit="1" customWidth="1"/>
    <col min="11532" max="11532" width="13" style="171" bestFit="1" customWidth="1"/>
    <col min="11533" max="11776" width="10.7109375" style="171"/>
    <col min="11777" max="11777" width="12.7109375" style="171" customWidth="1"/>
    <col min="11778" max="11778" width="13.7109375" style="171" bestFit="1" customWidth="1"/>
    <col min="11779" max="11779" width="16.140625" style="171" bestFit="1" customWidth="1"/>
    <col min="11780" max="11780" width="14.85546875" style="171" bestFit="1" customWidth="1"/>
    <col min="11781" max="11781" width="12.28515625" style="171" bestFit="1" customWidth="1"/>
    <col min="11782" max="11782" width="15.85546875" style="171" bestFit="1" customWidth="1"/>
    <col min="11783" max="11783" width="16.140625" style="171" bestFit="1" customWidth="1"/>
    <col min="11784" max="11784" width="13.42578125" style="171" bestFit="1" customWidth="1"/>
    <col min="11785" max="11786" width="13.28515625" style="171" bestFit="1" customWidth="1"/>
    <col min="11787" max="11787" width="16.85546875" style="171" bestFit="1" customWidth="1"/>
    <col min="11788" max="11788" width="13" style="171" bestFit="1" customWidth="1"/>
    <col min="11789" max="12032" width="10.7109375" style="171"/>
    <col min="12033" max="12033" width="12.7109375" style="171" customWidth="1"/>
    <col min="12034" max="12034" width="13.7109375" style="171" bestFit="1" customWidth="1"/>
    <col min="12035" max="12035" width="16.140625" style="171" bestFit="1" customWidth="1"/>
    <col min="12036" max="12036" width="14.85546875" style="171" bestFit="1" customWidth="1"/>
    <col min="12037" max="12037" width="12.28515625" style="171" bestFit="1" customWidth="1"/>
    <col min="12038" max="12038" width="15.85546875" style="171" bestFit="1" customWidth="1"/>
    <col min="12039" max="12039" width="16.140625" style="171" bestFit="1" customWidth="1"/>
    <col min="12040" max="12040" width="13.42578125" style="171" bestFit="1" customWidth="1"/>
    <col min="12041" max="12042" width="13.28515625" style="171" bestFit="1" customWidth="1"/>
    <col min="12043" max="12043" width="16.85546875" style="171" bestFit="1" customWidth="1"/>
    <col min="12044" max="12044" width="13" style="171" bestFit="1" customWidth="1"/>
    <col min="12045" max="12288" width="10.7109375" style="171"/>
    <col min="12289" max="12289" width="12.7109375" style="171" customWidth="1"/>
    <col min="12290" max="12290" width="13.7109375" style="171" bestFit="1" customWidth="1"/>
    <col min="12291" max="12291" width="16.140625" style="171" bestFit="1" customWidth="1"/>
    <col min="12292" max="12292" width="14.85546875" style="171" bestFit="1" customWidth="1"/>
    <col min="12293" max="12293" width="12.28515625" style="171" bestFit="1" customWidth="1"/>
    <col min="12294" max="12294" width="15.85546875" style="171" bestFit="1" customWidth="1"/>
    <col min="12295" max="12295" width="16.140625" style="171" bestFit="1" customWidth="1"/>
    <col min="12296" max="12296" width="13.42578125" style="171" bestFit="1" customWidth="1"/>
    <col min="12297" max="12298" width="13.28515625" style="171" bestFit="1" customWidth="1"/>
    <col min="12299" max="12299" width="16.85546875" style="171" bestFit="1" customWidth="1"/>
    <col min="12300" max="12300" width="13" style="171" bestFit="1" customWidth="1"/>
    <col min="12301" max="12544" width="10.7109375" style="171"/>
    <col min="12545" max="12545" width="12.7109375" style="171" customWidth="1"/>
    <col min="12546" max="12546" width="13.7109375" style="171" bestFit="1" customWidth="1"/>
    <col min="12547" max="12547" width="16.140625" style="171" bestFit="1" customWidth="1"/>
    <col min="12548" max="12548" width="14.85546875" style="171" bestFit="1" customWidth="1"/>
    <col min="12549" max="12549" width="12.28515625" style="171" bestFit="1" customWidth="1"/>
    <col min="12550" max="12550" width="15.85546875" style="171" bestFit="1" customWidth="1"/>
    <col min="12551" max="12551" width="16.140625" style="171" bestFit="1" customWidth="1"/>
    <col min="12552" max="12552" width="13.42578125" style="171" bestFit="1" customWidth="1"/>
    <col min="12553" max="12554" width="13.28515625" style="171" bestFit="1" customWidth="1"/>
    <col min="12555" max="12555" width="16.85546875" style="171" bestFit="1" customWidth="1"/>
    <col min="12556" max="12556" width="13" style="171" bestFit="1" customWidth="1"/>
    <col min="12557" max="12800" width="10.7109375" style="171"/>
    <col min="12801" max="12801" width="12.7109375" style="171" customWidth="1"/>
    <col min="12802" max="12802" width="13.7109375" style="171" bestFit="1" customWidth="1"/>
    <col min="12803" max="12803" width="16.140625" style="171" bestFit="1" customWidth="1"/>
    <col min="12804" max="12804" width="14.85546875" style="171" bestFit="1" customWidth="1"/>
    <col min="12805" max="12805" width="12.28515625" style="171" bestFit="1" customWidth="1"/>
    <col min="12806" max="12806" width="15.85546875" style="171" bestFit="1" customWidth="1"/>
    <col min="12807" max="12807" width="16.140625" style="171" bestFit="1" customWidth="1"/>
    <col min="12808" max="12808" width="13.42578125" style="171" bestFit="1" customWidth="1"/>
    <col min="12809" max="12810" width="13.28515625" style="171" bestFit="1" customWidth="1"/>
    <col min="12811" max="12811" width="16.85546875" style="171" bestFit="1" customWidth="1"/>
    <col min="12812" max="12812" width="13" style="171" bestFit="1" customWidth="1"/>
    <col min="12813" max="13056" width="10.7109375" style="171"/>
    <col min="13057" max="13057" width="12.7109375" style="171" customWidth="1"/>
    <col min="13058" max="13058" width="13.7109375" style="171" bestFit="1" customWidth="1"/>
    <col min="13059" max="13059" width="16.140625" style="171" bestFit="1" customWidth="1"/>
    <col min="13060" max="13060" width="14.85546875" style="171" bestFit="1" customWidth="1"/>
    <col min="13061" max="13061" width="12.28515625" style="171" bestFit="1" customWidth="1"/>
    <col min="13062" max="13062" width="15.85546875" style="171" bestFit="1" customWidth="1"/>
    <col min="13063" max="13063" width="16.140625" style="171" bestFit="1" customWidth="1"/>
    <col min="13064" max="13064" width="13.42578125" style="171" bestFit="1" customWidth="1"/>
    <col min="13065" max="13066" width="13.28515625" style="171" bestFit="1" customWidth="1"/>
    <col min="13067" max="13067" width="16.85546875" style="171" bestFit="1" customWidth="1"/>
    <col min="13068" max="13068" width="13" style="171" bestFit="1" customWidth="1"/>
    <col min="13069" max="13312" width="10.7109375" style="171"/>
    <col min="13313" max="13313" width="12.7109375" style="171" customWidth="1"/>
    <col min="13314" max="13314" width="13.7109375" style="171" bestFit="1" customWidth="1"/>
    <col min="13315" max="13315" width="16.140625" style="171" bestFit="1" customWidth="1"/>
    <col min="13316" max="13316" width="14.85546875" style="171" bestFit="1" customWidth="1"/>
    <col min="13317" max="13317" width="12.28515625" style="171" bestFit="1" customWidth="1"/>
    <col min="13318" max="13318" width="15.85546875" style="171" bestFit="1" customWidth="1"/>
    <col min="13319" max="13319" width="16.140625" style="171" bestFit="1" customWidth="1"/>
    <col min="13320" max="13320" width="13.42578125" style="171" bestFit="1" customWidth="1"/>
    <col min="13321" max="13322" width="13.28515625" style="171" bestFit="1" customWidth="1"/>
    <col min="13323" max="13323" width="16.85546875" style="171" bestFit="1" customWidth="1"/>
    <col min="13324" max="13324" width="13" style="171" bestFit="1" customWidth="1"/>
    <col min="13325" max="13568" width="10.7109375" style="171"/>
    <col min="13569" max="13569" width="12.7109375" style="171" customWidth="1"/>
    <col min="13570" max="13570" width="13.7109375" style="171" bestFit="1" customWidth="1"/>
    <col min="13571" max="13571" width="16.140625" style="171" bestFit="1" customWidth="1"/>
    <col min="13572" max="13572" width="14.85546875" style="171" bestFit="1" customWidth="1"/>
    <col min="13573" max="13573" width="12.28515625" style="171" bestFit="1" customWidth="1"/>
    <col min="13574" max="13574" width="15.85546875" style="171" bestFit="1" customWidth="1"/>
    <col min="13575" max="13575" width="16.140625" style="171" bestFit="1" customWidth="1"/>
    <col min="13576" max="13576" width="13.42578125" style="171" bestFit="1" customWidth="1"/>
    <col min="13577" max="13578" width="13.28515625" style="171" bestFit="1" customWidth="1"/>
    <col min="13579" max="13579" width="16.85546875" style="171" bestFit="1" customWidth="1"/>
    <col min="13580" max="13580" width="13" style="171" bestFit="1" customWidth="1"/>
    <col min="13581" max="13824" width="10.7109375" style="171"/>
    <col min="13825" max="13825" width="12.7109375" style="171" customWidth="1"/>
    <col min="13826" max="13826" width="13.7109375" style="171" bestFit="1" customWidth="1"/>
    <col min="13827" max="13827" width="16.140625" style="171" bestFit="1" customWidth="1"/>
    <col min="13828" max="13828" width="14.85546875" style="171" bestFit="1" customWidth="1"/>
    <col min="13829" max="13829" width="12.28515625" style="171" bestFit="1" customWidth="1"/>
    <col min="13830" max="13830" width="15.85546875" style="171" bestFit="1" customWidth="1"/>
    <col min="13831" max="13831" width="16.140625" style="171" bestFit="1" customWidth="1"/>
    <col min="13832" max="13832" width="13.42578125" style="171" bestFit="1" customWidth="1"/>
    <col min="13833" max="13834" width="13.28515625" style="171" bestFit="1" customWidth="1"/>
    <col min="13835" max="13835" width="16.85546875" style="171" bestFit="1" customWidth="1"/>
    <col min="13836" max="13836" width="13" style="171" bestFit="1" customWidth="1"/>
    <col min="13837" max="14080" width="10.7109375" style="171"/>
    <col min="14081" max="14081" width="12.7109375" style="171" customWidth="1"/>
    <col min="14082" max="14082" width="13.7109375" style="171" bestFit="1" customWidth="1"/>
    <col min="14083" max="14083" width="16.140625" style="171" bestFit="1" customWidth="1"/>
    <col min="14084" max="14084" width="14.85546875" style="171" bestFit="1" customWidth="1"/>
    <col min="14085" max="14085" width="12.28515625" style="171" bestFit="1" customWidth="1"/>
    <col min="14086" max="14086" width="15.85546875" style="171" bestFit="1" customWidth="1"/>
    <col min="14087" max="14087" width="16.140625" style="171" bestFit="1" customWidth="1"/>
    <col min="14088" max="14088" width="13.42578125" style="171" bestFit="1" customWidth="1"/>
    <col min="14089" max="14090" width="13.28515625" style="171" bestFit="1" customWidth="1"/>
    <col min="14091" max="14091" width="16.85546875" style="171" bestFit="1" customWidth="1"/>
    <col min="14092" max="14092" width="13" style="171" bestFit="1" customWidth="1"/>
    <col min="14093" max="14336" width="10.7109375" style="171"/>
    <col min="14337" max="14337" width="12.7109375" style="171" customWidth="1"/>
    <col min="14338" max="14338" width="13.7109375" style="171" bestFit="1" customWidth="1"/>
    <col min="14339" max="14339" width="16.140625" style="171" bestFit="1" customWidth="1"/>
    <col min="14340" max="14340" width="14.85546875" style="171" bestFit="1" customWidth="1"/>
    <col min="14341" max="14341" width="12.28515625" style="171" bestFit="1" customWidth="1"/>
    <col min="14342" max="14342" width="15.85546875" style="171" bestFit="1" customWidth="1"/>
    <col min="14343" max="14343" width="16.140625" style="171" bestFit="1" customWidth="1"/>
    <col min="14344" max="14344" width="13.42578125" style="171" bestFit="1" customWidth="1"/>
    <col min="14345" max="14346" width="13.28515625" style="171" bestFit="1" customWidth="1"/>
    <col min="14347" max="14347" width="16.85546875" style="171" bestFit="1" customWidth="1"/>
    <col min="14348" max="14348" width="13" style="171" bestFit="1" customWidth="1"/>
    <col min="14349" max="14592" width="10.7109375" style="171"/>
    <col min="14593" max="14593" width="12.7109375" style="171" customWidth="1"/>
    <col min="14594" max="14594" width="13.7109375" style="171" bestFit="1" customWidth="1"/>
    <col min="14595" max="14595" width="16.140625" style="171" bestFit="1" customWidth="1"/>
    <col min="14596" max="14596" width="14.85546875" style="171" bestFit="1" customWidth="1"/>
    <col min="14597" max="14597" width="12.28515625" style="171" bestFit="1" customWidth="1"/>
    <col min="14598" max="14598" width="15.85546875" style="171" bestFit="1" customWidth="1"/>
    <col min="14599" max="14599" width="16.140625" style="171" bestFit="1" customWidth="1"/>
    <col min="14600" max="14600" width="13.42578125" style="171" bestFit="1" customWidth="1"/>
    <col min="14601" max="14602" width="13.28515625" style="171" bestFit="1" customWidth="1"/>
    <col min="14603" max="14603" width="16.85546875" style="171" bestFit="1" customWidth="1"/>
    <col min="14604" max="14604" width="13" style="171" bestFit="1" customWidth="1"/>
    <col min="14605" max="14848" width="10.7109375" style="171"/>
    <col min="14849" max="14849" width="12.7109375" style="171" customWidth="1"/>
    <col min="14850" max="14850" width="13.7109375" style="171" bestFit="1" customWidth="1"/>
    <col min="14851" max="14851" width="16.140625" style="171" bestFit="1" customWidth="1"/>
    <col min="14852" max="14852" width="14.85546875" style="171" bestFit="1" customWidth="1"/>
    <col min="14853" max="14853" width="12.28515625" style="171" bestFit="1" customWidth="1"/>
    <col min="14854" max="14854" width="15.85546875" style="171" bestFit="1" customWidth="1"/>
    <col min="14855" max="14855" width="16.140625" style="171" bestFit="1" customWidth="1"/>
    <col min="14856" max="14856" width="13.42578125" style="171" bestFit="1" customWidth="1"/>
    <col min="14857" max="14858" width="13.28515625" style="171" bestFit="1" customWidth="1"/>
    <col min="14859" max="14859" width="16.85546875" style="171" bestFit="1" customWidth="1"/>
    <col min="14860" max="14860" width="13" style="171" bestFit="1" customWidth="1"/>
    <col min="14861" max="15104" width="10.7109375" style="171"/>
    <col min="15105" max="15105" width="12.7109375" style="171" customWidth="1"/>
    <col min="15106" max="15106" width="13.7109375" style="171" bestFit="1" customWidth="1"/>
    <col min="15107" max="15107" width="16.140625" style="171" bestFit="1" customWidth="1"/>
    <col min="15108" max="15108" width="14.85546875" style="171" bestFit="1" customWidth="1"/>
    <col min="15109" max="15109" width="12.28515625" style="171" bestFit="1" customWidth="1"/>
    <col min="15110" max="15110" width="15.85546875" style="171" bestFit="1" customWidth="1"/>
    <col min="15111" max="15111" width="16.140625" style="171" bestFit="1" customWidth="1"/>
    <col min="15112" max="15112" width="13.42578125" style="171" bestFit="1" customWidth="1"/>
    <col min="15113" max="15114" width="13.28515625" style="171" bestFit="1" customWidth="1"/>
    <col min="15115" max="15115" width="16.85546875" style="171" bestFit="1" customWidth="1"/>
    <col min="15116" max="15116" width="13" style="171" bestFit="1" customWidth="1"/>
    <col min="15117" max="15360" width="10.7109375" style="171"/>
    <col min="15361" max="15361" width="12.7109375" style="171" customWidth="1"/>
    <col min="15362" max="15362" width="13.7109375" style="171" bestFit="1" customWidth="1"/>
    <col min="15363" max="15363" width="16.140625" style="171" bestFit="1" customWidth="1"/>
    <col min="15364" max="15364" width="14.85546875" style="171" bestFit="1" customWidth="1"/>
    <col min="15365" max="15365" width="12.28515625" style="171" bestFit="1" customWidth="1"/>
    <col min="15366" max="15366" width="15.85546875" style="171" bestFit="1" customWidth="1"/>
    <col min="15367" max="15367" width="16.140625" style="171" bestFit="1" customWidth="1"/>
    <col min="15368" max="15368" width="13.42578125" style="171" bestFit="1" customWidth="1"/>
    <col min="15369" max="15370" width="13.28515625" style="171" bestFit="1" customWidth="1"/>
    <col min="15371" max="15371" width="16.85546875" style="171" bestFit="1" customWidth="1"/>
    <col min="15372" max="15372" width="13" style="171" bestFit="1" customWidth="1"/>
    <col min="15373" max="15616" width="10.7109375" style="171"/>
    <col min="15617" max="15617" width="12.7109375" style="171" customWidth="1"/>
    <col min="15618" max="15618" width="13.7109375" style="171" bestFit="1" customWidth="1"/>
    <col min="15619" max="15619" width="16.140625" style="171" bestFit="1" customWidth="1"/>
    <col min="15620" max="15620" width="14.85546875" style="171" bestFit="1" customWidth="1"/>
    <col min="15621" max="15621" width="12.28515625" style="171" bestFit="1" customWidth="1"/>
    <col min="15622" max="15622" width="15.85546875" style="171" bestFit="1" customWidth="1"/>
    <col min="15623" max="15623" width="16.140625" style="171" bestFit="1" customWidth="1"/>
    <col min="15624" max="15624" width="13.42578125" style="171" bestFit="1" customWidth="1"/>
    <col min="15625" max="15626" width="13.28515625" style="171" bestFit="1" customWidth="1"/>
    <col min="15627" max="15627" width="16.85546875" style="171" bestFit="1" customWidth="1"/>
    <col min="15628" max="15628" width="13" style="171" bestFit="1" customWidth="1"/>
    <col min="15629" max="15872" width="10.7109375" style="171"/>
    <col min="15873" max="15873" width="12.7109375" style="171" customWidth="1"/>
    <col min="15874" max="15874" width="13.7109375" style="171" bestFit="1" customWidth="1"/>
    <col min="15875" max="15875" width="16.140625" style="171" bestFit="1" customWidth="1"/>
    <col min="15876" max="15876" width="14.85546875" style="171" bestFit="1" customWidth="1"/>
    <col min="15877" max="15877" width="12.28515625" style="171" bestFit="1" customWidth="1"/>
    <col min="15878" max="15878" width="15.85546875" style="171" bestFit="1" customWidth="1"/>
    <col min="15879" max="15879" width="16.140625" style="171" bestFit="1" customWidth="1"/>
    <col min="15880" max="15880" width="13.42578125" style="171" bestFit="1" customWidth="1"/>
    <col min="15881" max="15882" width="13.28515625" style="171" bestFit="1" customWidth="1"/>
    <col min="15883" max="15883" width="16.85546875" style="171" bestFit="1" customWidth="1"/>
    <col min="15884" max="15884" width="13" style="171" bestFit="1" customWidth="1"/>
    <col min="15885" max="16128" width="10.7109375" style="171"/>
    <col min="16129" max="16129" width="12.7109375" style="171" customWidth="1"/>
    <col min="16130" max="16130" width="13.7109375" style="171" bestFit="1" customWidth="1"/>
    <col min="16131" max="16131" width="16.140625" style="171" bestFit="1" customWidth="1"/>
    <col min="16132" max="16132" width="14.85546875" style="171" bestFit="1" customWidth="1"/>
    <col min="16133" max="16133" width="12.28515625" style="171" bestFit="1" customWidth="1"/>
    <col min="16134" max="16134" width="15.85546875" style="171" bestFit="1" customWidth="1"/>
    <col min="16135" max="16135" width="16.140625" style="171" bestFit="1" customWidth="1"/>
    <col min="16136" max="16136" width="13.42578125" style="171" bestFit="1" customWidth="1"/>
    <col min="16137" max="16138" width="13.28515625" style="171" bestFit="1" customWidth="1"/>
    <col min="16139" max="16139" width="16.85546875" style="171" bestFit="1" customWidth="1"/>
    <col min="16140" max="16140" width="13" style="171" bestFit="1" customWidth="1"/>
    <col min="16141" max="16384" width="10.7109375" style="171"/>
  </cols>
  <sheetData>
    <row r="1" spans="1:14" ht="22.15" customHeight="1" x14ac:dyDescent="0.25">
      <c r="A1" s="71" t="s">
        <v>12</v>
      </c>
      <c r="B1" s="38">
        <f>[6]Input!B1</f>
        <v>1</v>
      </c>
      <c r="C1" s="38" t="str">
        <f>[6]Input!C1</f>
        <v>2017-2018</v>
      </c>
    </row>
    <row r="2" spans="1:14" ht="15" customHeight="1" x14ac:dyDescent="0.25">
      <c r="A2" s="172"/>
      <c r="B2" s="173" t="s">
        <v>171</v>
      </c>
      <c r="C2" s="174"/>
      <c r="D2" s="173" t="s">
        <v>15</v>
      </c>
      <c r="E2" s="175"/>
      <c r="F2" s="176" t="s">
        <v>172</v>
      </c>
      <c r="L2" s="139"/>
      <c r="M2" s="139"/>
      <c r="N2" s="139"/>
    </row>
    <row r="3" spans="1:14" ht="15" customHeight="1" x14ac:dyDescent="0.25">
      <c r="A3" s="177" t="s">
        <v>17</v>
      </c>
      <c r="B3" s="178">
        <f>[6]Input!B3</f>
        <v>51220.151770625169</v>
      </c>
      <c r="C3" s="179">
        <f>C4+C5</f>
        <v>1</v>
      </c>
      <c r="D3" s="180">
        <f>[6]Input!D3</f>
        <v>2349.39</v>
      </c>
      <c r="E3" s="179">
        <f>E4+E5</f>
        <v>1</v>
      </c>
      <c r="F3" s="181" t="s">
        <v>18</v>
      </c>
      <c r="H3" s="182" t="s">
        <v>19</v>
      </c>
      <c r="I3" s="183">
        <v>0.7</v>
      </c>
      <c r="J3" s="184">
        <f>I3*B3</f>
        <v>35854.106239437613</v>
      </c>
      <c r="K3" s="185" t="s">
        <v>173</v>
      </c>
      <c r="L3" s="186">
        <f>L54+L57</f>
        <v>35854.106239437606</v>
      </c>
      <c r="M3" s="187">
        <f>L3/(L4+L3)</f>
        <v>0.7</v>
      </c>
      <c r="N3" s="139"/>
    </row>
    <row r="4" spans="1:14" ht="15" customHeight="1" x14ac:dyDescent="0.25">
      <c r="A4" s="188" t="s">
        <v>20</v>
      </c>
      <c r="B4" s="189">
        <f>[6]Input!B4</f>
        <v>43806.034477544112</v>
      </c>
      <c r="C4" s="190">
        <f>B4/B3</f>
        <v>0.85524999366883825</v>
      </c>
      <c r="D4" s="191">
        <f>[6]Input!D4</f>
        <v>2079.9899999999998</v>
      </c>
      <c r="E4" s="190">
        <f>D4/D3</f>
        <v>0.88533193722625869</v>
      </c>
      <c r="F4" s="192">
        <f>[6]Input!F4</f>
        <v>21.060694752159442</v>
      </c>
      <c r="H4" s="182" t="s">
        <v>21</v>
      </c>
      <c r="I4" s="183">
        <v>0.3</v>
      </c>
      <c r="J4" s="184">
        <f>I4*B3</f>
        <v>15366.04553118755</v>
      </c>
      <c r="K4" s="185" t="s">
        <v>173</v>
      </c>
      <c r="L4" s="186">
        <f>L55+L58</f>
        <v>15366.045531187548</v>
      </c>
      <c r="M4" s="187">
        <f>L4/(L3+L4)</f>
        <v>0.30000000000000004</v>
      </c>
      <c r="N4" s="139"/>
    </row>
    <row r="5" spans="1:14" ht="15" customHeight="1" x14ac:dyDescent="0.25">
      <c r="A5" s="193" t="s">
        <v>22</v>
      </c>
      <c r="B5" s="194">
        <f>[6]Input!B5</f>
        <v>7414.117293081059</v>
      </c>
      <c r="C5" s="195">
        <f>B5/B3</f>
        <v>0.14475000633116175</v>
      </c>
      <c r="D5" s="196">
        <f>[6]Input!D5</f>
        <v>269.39999999999998</v>
      </c>
      <c r="E5" s="195">
        <f>D5/D3</f>
        <v>0.11466806277374127</v>
      </c>
      <c r="F5" s="197">
        <f>[6]Input!F5</f>
        <v>27.520851125022492</v>
      </c>
      <c r="L5" s="139"/>
      <c r="M5" s="139"/>
      <c r="N5" s="139"/>
    </row>
    <row r="6" spans="1:14" ht="15" customHeight="1" x14ac:dyDescent="0.25">
      <c r="B6" s="198"/>
    </row>
    <row r="7" spans="1:14" ht="15" customHeight="1" x14ac:dyDescent="0.25">
      <c r="A7" s="71" t="s">
        <v>174</v>
      </c>
      <c r="B7" s="178">
        <f>[6]Input!B7</f>
        <v>55642.054105485877</v>
      </c>
      <c r="C7" s="179">
        <f>[6]Input!C7</f>
        <v>1</v>
      </c>
      <c r="D7" s="180">
        <f>[6]Input!D7</f>
        <v>605.29999999999995</v>
      </c>
      <c r="E7" s="179">
        <f>[6]Input!E7</f>
        <v>1</v>
      </c>
      <c r="F7" s="199">
        <f>[6]Input!F7</f>
        <v>91.924754841377634</v>
      </c>
      <c r="G7" s="171" t="str">
        <f>[6]Input!G7</f>
        <v>(230 kV)</v>
      </c>
    </row>
    <row r="9" spans="1:14" ht="15" customHeight="1" x14ac:dyDescent="0.25">
      <c r="A9" s="200" t="s">
        <v>175</v>
      </c>
      <c r="B9" s="201" t="s">
        <v>176</v>
      </c>
      <c r="C9" s="202" t="s">
        <v>177</v>
      </c>
      <c r="D9" s="202" t="s">
        <v>178</v>
      </c>
      <c r="E9" s="202" t="s">
        <v>179</v>
      </c>
      <c r="F9" s="202" t="s">
        <v>180</v>
      </c>
      <c r="G9" s="202" t="s">
        <v>181</v>
      </c>
      <c r="H9" s="203" t="s">
        <v>182</v>
      </c>
      <c r="I9" s="203" t="s">
        <v>183</v>
      </c>
      <c r="J9" s="203" t="s">
        <v>184</v>
      </c>
      <c r="K9" s="203" t="s">
        <v>185</v>
      </c>
      <c r="L9" s="203" t="s">
        <v>186</v>
      </c>
      <c r="M9" s="204" t="s">
        <v>187</v>
      </c>
    </row>
    <row r="10" spans="1:14" ht="15" customHeight="1" x14ac:dyDescent="0.25">
      <c r="A10" s="205"/>
      <c r="B10" s="206" t="s">
        <v>188</v>
      </c>
      <c r="C10" s="207" t="s">
        <v>189</v>
      </c>
      <c r="D10" s="207" t="s">
        <v>190</v>
      </c>
      <c r="E10" s="207" t="s">
        <v>191</v>
      </c>
      <c r="F10" s="207" t="s">
        <v>192</v>
      </c>
      <c r="G10" s="207" t="s">
        <v>193</v>
      </c>
      <c r="H10" s="207" t="s">
        <v>194</v>
      </c>
      <c r="I10" s="207" t="s">
        <v>195</v>
      </c>
      <c r="J10" s="207" t="s">
        <v>196</v>
      </c>
      <c r="K10" s="207" t="s">
        <v>197</v>
      </c>
      <c r="L10" s="207" t="s">
        <v>198</v>
      </c>
      <c r="M10" s="208" t="s">
        <v>199</v>
      </c>
    </row>
    <row r="11" spans="1:14" ht="15" customHeight="1" x14ac:dyDescent="0.25">
      <c r="A11" s="200" t="s">
        <v>200</v>
      </c>
      <c r="B11" s="201" t="s">
        <v>201</v>
      </c>
      <c r="C11" s="202" t="s">
        <v>201</v>
      </c>
      <c r="D11" s="202" t="s">
        <v>201</v>
      </c>
      <c r="E11" s="202" t="s">
        <v>201</v>
      </c>
      <c r="F11" s="202" t="s">
        <v>201</v>
      </c>
      <c r="G11" s="202" t="s">
        <v>201</v>
      </c>
      <c r="H11" s="203" t="s">
        <v>202</v>
      </c>
      <c r="I11" s="203" t="s">
        <v>202</v>
      </c>
      <c r="J11" s="203" t="s">
        <v>202</v>
      </c>
      <c r="K11" s="203" t="s">
        <v>202</v>
      </c>
      <c r="L11" s="203" t="s">
        <v>202</v>
      </c>
      <c r="M11" s="204" t="s">
        <v>201</v>
      </c>
    </row>
    <row r="12" spans="1:14" ht="15" customHeight="1" x14ac:dyDescent="0.25">
      <c r="A12" s="209">
        <f>SUM(B12:M12)</f>
        <v>8760</v>
      </c>
      <c r="B12" s="210">
        <f>24*31</f>
        <v>744</v>
      </c>
      <c r="C12" s="211">
        <f>24*31</f>
        <v>744</v>
      </c>
      <c r="D12" s="211">
        <f>24*30</f>
        <v>720</v>
      </c>
      <c r="E12" s="211">
        <f>24*31</f>
        <v>744</v>
      </c>
      <c r="F12" s="211">
        <f>24*30</f>
        <v>720</v>
      </c>
      <c r="G12" s="211">
        <f>24*31</f>
        <v>744</v>
      </c>
      <c r="H12" s="211">
        <f>24*31</f>
        <v>744</v>
      </c>
      <c r="I12" s="211">
        <f>24*28</f>
        <v>672</v>
      </c>
      <c r="J12" s="211">
        <f>24*31</f>
        <v>744</v>
      </c>
      <c r="K12" s="211">
        <f>24*30</f>
        <v>720</v>
      </c>
      <c r="L12" s="211">
        <f>24*31</f>
        <v>744</v>
      </c>
      <c r="M12" s="212">
        <f>24*30</f>
        <v>720</v>
      </c>
      <c r="N12" s="213">
        <f>SUM(B12:M12)</f>
        <v>8760</v>
      </c>
    </row>
    <row r="13" spans="1:14" ht="15" customHeight="1" x14ac:dyDescent="0.25">
      <c r="A13" s="214" t="s">
        <v>203</v>
      </c>
      <c r="B13" s="188">
        <f>[7]M01!$H$13</f>
        <v>744</v>
      </c>
      <c r="C13" s="139">
        <f>[7]M02!$H$13</f>
        <v>744</v>
      </c>
      <c r="D13" s="139">
        <f>[7]M03!$H$13</f>
        <v>720</v>
      </c>
      <c r="E13" s="139">
        <f>[7]M04!$H$13</f>
        <v>744</v>
      </c>
      <c r="F13" s="139">
        <f>[7]M05!$H$13</f>
        <v>720</v>
      </c>
      <c r="G13" s="139">
        <f>[7]M06!$H$13</f>
        <v>744</v>
      </c>
      <c r="H13" s="139">
        <f>[7]M07!$H$13</f>
        <v>744</v>
      </c>
      <c r="I13" s="139">
        <f>[7]M08!$H$13</f>
        <v>672</v>
      </c>
      <c r="J13" s="139">
        <f>[7]M09!$H$13</f>
        <v>744</v>
      </c>
      <c r="K13" s="139">
        <f>[7]M10!$H$13</f>
        <v>720</v>
      </c>
      <c r="L13" s="139">
        <f>[7]M11!$H$13</f>
        <v>744</v>
      </c>
      <c r="M13" s="215">
        <f>[7]M12!$H$13</f>
        <v>720</v>
      </c>
      <c r="N13" s="213">
        <f>SUM(B13:M13)</f>
        <v>8760</v>
      </c>
    </row>
    <row r="14" spans="1:14" ht="15" customHeight="1" x14ac:dyDescent="0.25">
      <c r="A14" s="205" t="s">
        <v>204</v>
      </c>
      <c r="B14" s="216">
        <f>[7]M01!$I$13</f>
        <v>8.493150684931508E-2</v>
      </c>
      <c r="C14" s="217">
        <f>[7]M02!$I$13</f>
        <v>8.4931506849315067E-2</v>
      </c>
      <c r="D14" s="217">
        <f>[7]M03!$I$13</f>
        <v>8.2191780821917818E-2</v>
      </c>
      <c r="E14" s="217">
        <f>[7]M04!$I$13</f>
        <v>8.493150684931508E-2</v>
      </c>
      <c r="F14" s="217">
        <f>[7]M05!$I$13</f>
        <v>8.2191780821917818E-2</v>
      </c>
      <c r="G14" s="217">
        <f>[7]M06!$I$13</f>
        <v>8.4931506849315067E-2</v>
      </c>
      <c r="H14" s="217">
        <f>[7]M07!$I$13</f>
        <v>8.4931506849315067E-2</v>
      </c>
      <c r="I14" s="217">
        <f>[7]M08!$I$13</f>
        <v>7.6712328767123306E-2</v>
      </c>
      <c r="J14" s="217">
        <f>[7]M09!$I$13</f>
        <v>8.4931506849315067E-2</v>
      </c>
      <c r="K14" s="217">
        <f>[7]M10!$I$13</f>
        <v>8.2191780821917804E-2</v>
      </c>
      <c r="L14" s="217">
        <f>[7]M11!$I$13</f>
        <v>8.493150684931508E-2</v>
      </c>
      <c r="M14" s="218">
        <f>[7]M12!$I$13</f>
        <v>8.2191780821917818E-2</v>
      </c>
      <c r="N14" s="219">
        <f>SUM(B14:M14)</f>
        <v>1</v>
      </c>
    </row>
    <row r="16" spans="1:14" ht="20.25" customHeight="1" x14ac:dyDescent="0.25">
      <c r="A16" s="220" t="s">
        <v>34</v>
      </c>
      <c r="B16" s="221">
        <v>1</v>
      </c>
      <c r="C16" s="221">
        <v>2</v>
      </c>
      <c r="D16" s="221">
        <v>3</v>
      </c>
      <c r="E16" s="221">
        <v>4</v>
      </c>
      <c r="F16" s="221">
        <v>5</v>
      </c>
      <c r="G16" s="221">
        <v>6</v>
      </c>
      <c r="H16" s="221">
        <v>7</v>
      </c>
      <c r="I16" s="221">
        <v>8</v>
      </c>
      <c r="J16" s="221">
        <v>9</v>
      </c>
      <c r="K16" s="222">
        <v>10</v>
      </c>
      <c r="L16" s="223" t="s">
        <v>3</v>
      </c>
    </row>
    <row r="17" spans="1:14" ht="25.15" customHeight="1" x14ac:dyDescent="0.25">
      <c r="A17" s="224" t="s">
        <v>205</v>
      </c>
      <c r="B17" s="225" t="s">
        <v>206</v>
      </c>
      <c r="C17" s="225" t="s">
        <v>207</v>
      </c>
      <c r="D17" s="225" t="s">
        <v>208</v>
      </c>
      <c r="E17" s="225" t="s">
        <v>209</v>
      </c>
      <c r="F17" s="225" t="s">
        <v>210</v>
      </c>
      <c r="G17" s="225" t="s">
        <v>211</v>
      </c>
      <c r="H17" s="225" t="s">
        <v>212</v>
      </c>
      <c r="I17" s="225" t="s">
        <v>213</v>
      </c>
      <c r="J17" s="225" t="s">
        <v>214</v>
      </c>
      <c r="K17" s="226" t="s">
        <v>215</v>
      </c>
      <c r="L17" s="227"/>
    </row>
    <row r="18" spans="1:14" ht="20.25" customHeight="1" x14ac:dyDescent="0.25">
      <c r="A18" s="228" t="s">
        <v>216</v>
      </c>
      <c r="L18" s="229"/>
    </row>
    <row r="19" spans="1:14" ht="15" customHeight="1" x14ac:dyDescent="0.25">
      <c r="A19" s="200" t="s">
        <v>217</v>
      </c>
      <c r="B19" s="230">
        <f>[6]Input!B11</f>
        <v>218.9</v>
      </c>
      <c r="C19" s="231">
        <f>[6]Input!C11</f>
        <v>537.79999999999995</v>
      </c>
      <c r="D19" s="231">
        <f>[6]Input!D11</f>
        <v>155.26999999999998</v>
      </c>
      <c r="E19" s="231">
        <f>[6]Input!E11</f>
        <v>326.15999999999997</v>
      </c>
      <c r="F19" s="231">
        <f>[6]Input!F11</f>
        <v>359.97</v>
      </c>
      <c r="G19" s="231">
        <f>[6]Input!G11</f>
        <v>147</v>
      </c>
      <c r="H19" s="231">
        <f>[6]Input!H11</f>
        <v>576.98</v>
      </c>
      <c r="I19" s="231">
        <f>[6]Input!I11</f>
        <v>260</v>
      </c>
      <c r="J19" s="231">
        <f>[6]Input!J11</f>
        <v>792.53</v>
      </c>
      <c r="K19" s="232">
        <f>[6]Input!K11</f>
        <v>252.17</v>
      </c>
      <c r="L19" s="233">
        <f>SUM(B19:K19)</f>
        <v>3626.7799999999997</v>
      </c>
    </row>
    <row r="20" spans="1:14" ht="15" customHeight="1" x14ac:dyDescent="0.25">
      <c r="A20" s="205" t="s">
        <v>31</v>
      </c>
      <c r="B20" s="234">
        <f>[6]Input!B12</f>
        <v>38.67</v>
      </c>
      <c r="C20" s="235">
        <f>[6]Input!C12</f>
        <v>0</v>
      </c>
      <c r="D20" s="235">
        <f>[6]Input!D12</f>
        <v>0.11</v>
      </c>
      <c r="E20" s="235">
        <f>[6]Input!E12</f>
        <v>110.14999999999999</v>
      </c>
      <c r="F20" s="235">
        <f>[6]Input!F12</f>
        <v>232.27983529537579</v>
      </c>
      <c r="G20" s="235">
        <f>[6]Input!G12</f>
        <v>165.64199929453994</v>
      </c>
      <c r="H20" s="235">
        <f>[6]Input!H12</f>
        <v>1242.5836696510787</v>
      </c>
      <c r="I20" s="235">
        <f>[6]Input!I12</f>
        <v>23.17</v>
      </c>
      <c r="J20" s="235">
        <f>[6]Input!J12</f>
        <v>113.44050338355613</v>
      </c>
      <c r="K20" s="236">
        <f>[6]Input!K12</f>
        <v>90.39</v>
      </c>
      <c r="L20" s="237">
        <f>SUM(B20:K20)</f>
        <v>2016.4360076245507</v>
      </c>
    </row>
    <row r="21" spans="1:14" ht="20.25" customHeight="1" x14ac:dyDescent="0.25">
      <c r="A21" s="228" t="s">
        <v>218</v>
      </c>
      <c r="L21" s="229"/>
    </row>
    <row r="22" spans="1:14" ht="15" customHeight="1" x14ac:dyDescent="0.25">
      <c r="A22" s="200" t="s">
        <v>219</v>
      </c>
      <c r="B22" s="230">
        <f>SUM([7]M01!B21*$B$14,[7]M02!B21*$C$14,[7]M03!B21*$D$14,[7]M04!B21*$E$14,[7]M05!B21*$F$14,[7]M06!B21*$G$14,[7]M07!B21*$H$14,[7]M08!B21*$I$14,[7]M09!B21*$J$14,[7]M10!B21*$K$14,[7]M11!B21*$L$14,[7]M12!B21*$M$14)/$N$14</f>
        <v>136.32182648401826</v>
      </c>
      <c r="C22" s="231">
        <f>SUM([7]M01!C21*$B$14,[7]M02!C21*$C$14,[7]M03!C21*$D$14,[7]M04!C21*$E$14,[7]M05!C21*$F$14,[7]M06!C21*$G$14,[7]M07!C21*$H$14,[7]M08!C21*$I$14,[7]M09!C21*$J$14,[7]M10!C21*$K$14,[7]M11!C21*$L$14,[7]M12!C21*$M$14)/$N$14</f>
        <v>172.98794520547949</v>
      </c>
      <c r="D22" s="231">
        <f>SUM([7]M01!D21*$B$14,[7]M02!D21*$C$14,[7]M03!D21*$D$14,[7]M04!D21*$E$14,[7]M05!D21*$F$14,[7]M06!D21*$G$14,[7]M07!D21*$H$14,[7]M08!D21*$I$14,[7]M09!D21*$J$14,[7]M10!D21*$K$14,[7]M11!D21*$L$14,[7]M12!D21*$M$14)/$N$14</f>
        <v>109.6906164383562</v>
      </c>
      <c r="E22" s="231">
        <f>SUM([7]M01!E21*$B$14,[7]M02!E21*$C$14,[7]M03!E21*$D$14,[7]M04!E21*$E$14,[7]M05!E21*$F$14,[7]M06!E21*$G$14,[7]M07!E21*$H$14,[7]M08!E21*$I$14,[7]M09!E21*$J$14,[7]M10!E21*$K$14,[7]M11!E21*$L$14,[7]M12!E21*$M$14)/$N$14</f>
        <v>236.0897374429224</v>
      </c>
      <c r="F22" s="231">
        <f>SUM([7]M01!F21*$B$14,[7]M02!F21*$C$14,[7]M03!F21*$D$14,[7]M04!F21*$E$14,[7]M05!F21*$F$14,[7]M06!F21*$G$14,[7]M07!F21*$H$14,[7]M08!F21*$I$14,[7]M09!F21*$J$14,[7]M10!F21*$K$14,[7]M11!F21*$L$14,[7]M12!F21*$M$14)/$N$14</f>
        <v>171.26830479452053</v>
      </c>
      <c r="G22" s="231">
        <f>SUM([7]M01!G21*$B$14,[7]M02!G21*$C$14,[7]M03!G21*$D$14,[7]M04!G21*$E$14,[7]M05!G21*$F$14,[7]M06!G21*$G$14,[7]M07!G21*$H$14,[7]M08!G21*$I$14,[7]M09!G21*$J$14,[7]M10!G21*$K$14,[7]M11!G21*$L$14,[7]M12!G21*$M$14)/$N$14</f>
        <v>1.0272945205479451</v>
      </c>
      <c r="H22" s="231">
        <f>SUM([7]M01!H21*$B$14,[7]M02!H21*$C$14,[7]M03!H21*$D$14,[7]M04!H21*$E$14,[7]M05!H21*$F$14,[7]M06!H21*$G$14,[7]M07!H21*$H$14,[7]M08!H21*$I$14,[7]M09!H21*$J$14,[7]M10!H21*$K$14,[7]M11!H21*$L$14,[7]M12!H21*$M$14)/$N$14</f>
        <v>5.5044748858447488</v>
      </c>
      <c r="I22" s="231">
        <f>SUM([7]M01!I21*$B$14,[7]M02!I21*$C$14,[7]M03!I21*$D$14,[7]M04!I21*$E$14,[7]M05!I21*$F$14,[7]M06!I21*$G$14,[7]M07!I21*$H$14,[7]M08!I21*$I$14,[7]M09!I21*$J$14,[7]M10!I21*$K$14,[7]M11!I21*$L$14,[7]M12!I21*$M$14)/$N$14</f>
        <v>120.56004566210048</v>
      </c>
      <c r="J22" s="231">
        <f>SUM([7]M01!J21*$B$14,[7]M02!J21*$C$14,[7]M03!J21*$D$14,[7]M04!J21*$E$14,[7]M05!J21*$F$14,[7]M06!J21*$G$14,[7]M07!J21*$H$14,[7]M08!J21*$I$14,[7]M09!J21*$J$14,[7]M10!J21*$K$14,[7]M11!J21*$L$14,[7]M12!J21*$M$14)/$N$14</f>
        <v>108.97510844748859</v>
      </c>
      <c r="K22" s="232">
        <f>SUM([7]M01!K21*$B$14,[7]M02!K21*$C$14,[7]M03!K21*$D$14,[7]M04!K21*$E$14,[7]M05!K21*$F$14,[7]M06!K21*$G$14,[7]M07!K21*$H$14,[7]M08!K21*$I$14,[7]M09!K21*$J$14,[7]M10!K21*$K$14,[7]M11!K21*$L$14,[7]M12!K21*$M$14)/$N$14</f>
        <v>181.19700342465757</v>
      </c>
      <c r="L22" s="233">
        <f>SUM(B22:K22)</f>
        <v>1243.6223573059362</v>
      </c>
    </row>
    <row r="23" spans="1:14" ht="15" customHeight="1" x14ac:dyDescent="0.25">
      <c r="A23" s="205" t="s">
        <v>220</v>
      </c>
      <c r="B23" s="234">
        <f>SUM([7]M01!B22*$B$14,[7]M02!B22*$C$14,[7]M03!B22*$D$14,[7]M04!B22*$E$14,[7]M05!B22*$F$14,[7]M06!B22*$G$14,[7]M07!B22*$H$14,[7]M08!B22*$I$14,[7]M09!B22*$J$14,[7]M10!B22*$K$14,[7]M11!B22*$L$14,[7]M12!B22*$M$14)/$N$14</f>
        <v>43.031272831050238</v>
      </c>
      <c r="C23" s="235">
        <f>SUM([7]M01!C22*$B$14,[7]M02!C22*$C$14,[7]M03!C22*$D$14,[7]M04!C22*$E$14,[7]M05!C22*$F$14,[7]M06!C22*$G$14,[7]M07!C22*$H$14,[7]M08!C22*$I$14,[7]M09!C22*$J$14,[7]M10!C22*$K$14,[7]M11!C22*$L$14,[7]M12!C22*$M$14)/$N$14</f>
        <v>0</v>
      </c>
      <c r="D23" s="235">
        <f>SUM([7]M01!D22*$B$14,[7]M02!D22*$C$14,[7]M03!D22*$D$14,[7]M04!D22*$E$14,[7]M05!D22*$F$14,[7]M06!D22*$G$14,[7]M07!D22*$H$14,[7]M08!D22*$I$14,[7]M09!D22*$J$14,[7]M10!D22*$K$14,[7]M11!D22*$L$14,[7]M12!D22*$M$14)/$N$14</f>
        <v>0.11688926940639272</v>
      </c>
      <c r="E23" s="235">
        <f>SUM([7]M01!E22*$B$14,[7]M02!E22*$C$14,[7]M03!E22*$D$14,[7]M04!E22*$E$14,[7]M05!E22*$F$14,[7]M06!E22*$G$14,[7]M07!E22*$H$14,[7]M08!E22*$I$14,[7]M09!E22*$J$14,[7]M10!E22*$K$14,[7]M11!E22*$L$14,[7]M12!E22*$M$14)/$N$14</f>
        <v>39.601489726027403</v>
      </c>
      <c r="F23" s="235">
        <f>SUM([7]M01!F22*$B$14,[7]M02!F22*$C$14,[7]M03!F22*$D$14,[7]M04!F22*$E$14,[7]M05!F22*$F$14,[7]M06!F22*$G$14,[7]M07!F22*$H$14,[7]M08!F22*$I$14,[7]M09!F22*$J$14,[7]M10!F22*$K$14,[7]M11!F22*$L$14,[7]M12!F22*$M$14)/$N$14</f>
        <v>167.58698630136988</v>
      </c>
      <c r="G23" s="235">
        <f>SUM([7]M01!G22*$B$14,[7]M02!G22*$C$14,[7]M03!G22*$D$14,[7]M04!G22*$E$14,[7]M05!G22*$F$14,[7]M06!G22*$G$14,[7]M07!G22*$H$14,[7]M08!G22*$I$14,[7]M09!G22*$J$14,[7]M10!G22*$K$14,[7]M11!G22*$L$14,[7]M12!G22*$M$14)/$N$14</f>
        <v>69.911626712328768</v>
      </c>
      <c r="H23" s="235">
        <f>SUM([7]M01!H22*$B$14,[7]M02!H22*$C$14,[7]M03!H22*$D$14,[7]M04!H22*$E$14,[7]M05!H22*$F$14,[7]M06!H22*$G$14,[7]M07!H22*$H$14,[7]M08!H22*$I$14,[7]M09!H22*$J$14,[7]M10!H22*$K$14,[7]M11!H22*$L$14,[7]M12!H22*$M$14)/$N$14</f>
        <v>757.5321175799088</v>
      </c>
      <c r="I23" s="235">
        <f>SUM([7]M01!I22*$B$14,[7]M02!I22*$C$14,[7]M03!I22*$D$14,[7]M04!I22*$E$14,[7]M05!I22*$F$14,[7]M06!I22*$G$14,[7]M07!I22*$H$14,[7]M08!I22*$I$14,[7]M09!I22*$J$14,[7]M10!I22*$K$14,[7]M11!I22*$L$14,[7]M12!I22*$M$14)/$N$14</f>
        <v>32.139075342465752</v>
      </c>
      <c r="J23" s="235">
        <f>SUM([7]M01!J22*$B$14,[7]M02!J22*$C$14,[7]M03!J22*$D$14,[7]M04!J22*$E$14,[7]M05!J22*$F$14,[7]M06!J22*$G$14,[7]M07!J22*$H$14,[7]M08!J22*$I$14,[7]M09!J22*$J$14,[7]M10!J22*$K$14,[7]M11!J22*$L$14,[7]M12!J22*$M$14)/$N$14</f>
        <v>120.55816780821918</v>
      </c>
      <c r="K23" s="236">
        <f>SUM([7]M01!K22*$B$14,[7]M02!K22*$C$14,[7]M03!K22*$D$14,[7]M04!K22*$E$14,[7]M05!K22*$F$14,[7]M06!K22*$G$14,[7]M07!K22*$H$14,[7]M08!K22*$I$14,[7]M09!K22*$J$14,[7]M10!K22*$K$14,[7]M11!K22*$L$14,[7]M12!K22*$M$14)/$N$14</f>
        <v>13.072020547945206</v>
      </c>
      <c r="L23" s="237">
        <f>SUM(B23:K23)</f>
        <v>1243.5496461187215</v>
      </c>
    </row>
    <row r="24" spans="1:14" ht="20.25" customHeight="1" x14ac:dyDescent="0.25">
      <c r="A24" s="228" t="s">
        <v>221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29"/>
    </row>
    <row r="25" spans="1:14" ht="15" customHeight="1" x14ac:dyDescent="0.25">
      <c r="A25" s="200" t="s">
        <v>222</v>
      </c>
      <c r="B25" s="230">
        <f>SUM([7]M01!B24,[7]M02!B24,[7]M03!B24,[7]M04!B24,[7]M05!B24,[7]M06!B24,[7]M07!B24,[7]M08!B24,[7]M09!B24,[7]M10!B24,[7]M11!B24,[7]M12!B24)</f>
        <v>1194.1791999999998</v>
      </c>
      <c r="C25" s="231">
        <f>SUM([7]M01!C24,[7]M02!C24,[7]M03!C24,[7]M04!C24,[7]M05!C24,[7]M06!C24,[7]M07!C24,[7]M08!C24,[7]M09!C24,[7]M10!C24,[7]M11!C24,[7]M12!C24)</f>
        <v>1515.3743999999999</v>
      </c>
      <c r="D25" s="231">
        <f>SUM([7]M01!D24,[7]M02!D24,[7]M03!D24,[7]M04!D24,[7]M05!D24,[7]M06!D24,[7]M07!D24,[7]M08!D24,[7]M09!D24,[7]M10!D24,[7]M11!D24,[7]M12!D24)</f>
        <v>960.88980000000015</v>
      </c>
      <c r="E25" s="231">
        <f>SUM([7]M01!E24,[7]M02!E24,[7]M03!E24,[7]M04!E24,[7]M05!E24,[7]M06!E24,[7]M07!E24,[7]M08!E24,[7]M09!E24,[7]M10!E24,[7]M11!E24,[7]M12!E24)</f>
        <v>2068.1460999999999</v>
      </c>
      <c r="F25" s="231">
        <f>SUM([7]M01!F24,[7]M02!F24,[7]M03!F24,[7]M04!F24,[7]M05!F24,[7]M06!F24,[7]M07!F24,[7]M08!F24,[7]M09!F24,[7]M10!F24,[7]M11!F24,[7]M12!F24)</f>
        <v>1500.3103500000002</v>
      </c>
      <c r="G25" s="231">
        <f>SUM([7]M01!G24,[7]M02!G24,[7]M03!G24,[7]M04!G24,[7]M05!G24,[7]M06!G24,[7]M07!G24,[7]M08!G24,[7]M09!G24,[7]M10!G24,[7]M11!G24,[7]M12!G24)</f>
        <v>8.9990999999999985</v>
      </c>
      <c r="H25" s="231">
        <f>SUM([7]M01!H24,[7]M02!H24,[7]M03!H24,[7]M04!H24,[7]M05!H24,[7]M06!H24,[7]M07!H24,[7]M08!H24,[7]M09!H24,[7]M10!H24,[7]M11!H24,[7]M12!H24)</f>
        <v>48.219199999999994</v>
      </c>
      <c r="I25" s="231">
        <f>SUM([7]M01!I24,[7]M02!I24,[7]M03!I24,[7]M04!I24,[7]M05!I24,[7]M06!I24,[7]M07!I24,[7]M08!I24,[7]M09!I24,[7]M10!I24,[7]M11!I24,[7]M12!I24)</f>
        <v>1056.106</v>
      </c>
      <c r="J25" s="231">
        <f>SUM([7]M01!J24,[7]M02!J24,[7]M03!J24,[7]M04!J24,[7]M05!J24,[7]M06!J24,[7]M07!J24,[7]M08!J24,[7]M09!J24,[7]M10!J24,[7]M11!J24,[7]M12!J24)</f>
        <v>954.62194999999997</v>
      </c>
      <c r="K25" s="232">
        <f>SUM([7]M01!K24,[7]M02!K24,[7]M03!K24,[7]M04!K24,[7]M05!K24,[7]M06!K24,[7]M07!K24,[7]M08!K24,[7]M09!K24,[7]M10!K24,[7]M11!K24,[7]M12!K24)</f>
        <v>1587.28575</v>
      </c>
      <c r="L25" s="233">
        <f>SUM(B25:K25)</f>
        <v>10894.131850000002</v>
      </c>
    </row>
    <row r="26" spans="1:14" ht="15" customHeight="1" x14ac:dyDescent="0.25">
      <c r="A26" s="205" t="s">
        <v>223</v>
      </c>
      <c r="B26" s="234">
        <f>SUM([7]M01!B25,[7]M02!B25,[7]M03!B25,[7]M04!B25,[7]M05!B25,[7]M06!B25,[7]M07!B25,[7]M08!B25,[7]M09!B25,[7]M10!B25,[7]M11!B25,[7]M12!B25)</f>
        <v>376.95394999999996</v>
      </c>
      <c r="C26" s="235">
        <f>SUM([7]M01!C25,[7]M02!C25,[7]M03!C25,[7]M04!C25,[7]M05!C25,[7]M06!C25,[7]M07!C25,[7]M08!C25,[7]M09!C25,[7]M10!C25,[7]M11!C25,[7]M12!C25)</f>
        <v>0</v>
      </c>
      <c r="D26" s="235">
        <f>SUM([7]M01!D25,[7]M02!D25,[7]M03!D25,[7]M04!D25,[7]M05!D25,[7]M06!D25,[7]M07!D25,[7]M08!D25,[7]M09!D25,[7]M10!D25,[7]M11!D25,[7]M12!D25)</f>
        <v>1.0239499999999999</v>
      </c>
      <c r="E26" s="235">
        <f>SUM([7]M01!E25,[7]M02!E25,[7]M03!E25,[7]M04!E25,[7]M05!E25,[7]M06!E25,[7]M07!E25,[7]M08!E25,[7]M09!E25,[7]M10!E25,[7]M11!E25,[7]M12!E25)</f>
        <v>346.90904999999992</v>
      </c>
      <c r="F26" s="235">
        <f>SUM([7]M01!F25,[7]M02!F25,[7]M03!F25,[7]M04!F25,[7]M05!F25,[7]M06!F25,[7]M07!F25,[7]M08!F25,[7]M09!F25,[7]M10!F25,[7]M11!F25,[7]M12!F25)</f>
        <v>1468.0619999999999</v>
      </c>
      <c r="G26" s="235">
        <f>SUM([7]M01!G25,[7]M02!G25,[7]M03!G25,[7]M04!G25,[7]M05!G25,[7]M06!G25,[7]M07!G25,[7]M08!G25,[7]M09!G25,[7]M10!G25,[7]M11!G25,[7]M12!G25)</f>
        <v>612.42585000000008</v>
      </c>
      <c r="H26" s="235">
        <f>SUM([7]M01!H25,[7]M02!H25,[7]M03!H25,[7]M04!H25,[7]M05!H25,[7]M06!H25,[7]M07!H25,[7]M08!H25,[7]M09!H25,[7]M10!H25,[7]M11!H25,[7]M12!H25)</f>
        <v>6635.9813500000009</v>
      </c>
      <c r="I26" s="235">
        <f>SUM([7]M01!I25,[7]M02!I25,[7]M03!I25,[7]M04!I25,[7]M05!I25,[7]M06!I25,[7]M07!I25,[7]M08!I25,[7]M09!I25,[7]M10!I25,[7]M11!I25,[7]M12!I25)</f>
        <v>281.53829999999994</v>
      </c>
      <c r="J26" s="235">
        <f>SUM([7]M01!J25,[7]M02!J25,[7]M03!J25,[7]M04!J25,[7]M05!J25,[7]M06!J25,[7]M07!J25,[7]M08!J25,[7]M09!J25,[7]M10!J25,[7]M11!J25,[7]M12!J25)</f>
        <v>1056.0895500000001</v>
      </c>
      <c r="K26" s="236">
        <f>SUM([7]M01!K25,[7]M02!K25,[7]M03!K25,[7]M04!K25,[7]M05!K25,[7]M06!K25,[7]M07!K25,[7]M08!K25,[7]M09!K25,[7]M10!K25,[7]M11!K25,[7]M12!K25)</f>
        <v>114.51089999999998</v>
      </c>
      <c r="L26" s="237">
        <f>SUM(B26:K26)</f>
        <v>10893.494900000002</v>
      </c>
    </row>
    <row r="27" spans="1:14" ht="9.9499999999999993" customHeight="1" x14ac:dyDescent="0.25">
      <c r="A27" s="1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40"/>
      <c r="N27" s="241"/>
    </row>
    <row r="28" spans="1:14" ht="20.25" customHeight="1" x14ac:dyDescent="0.25">
      <c r="A28" s="228" t="s">
        <v>224</v>
      </c>
      <c r="L28" s="229"/>
      <c r="N28" s="241"/>
    </row>
    <row r="29" spans="1:14" ht="15" customHeight="1" x14ac:dyDescent="0.25">
      <c r="A29" s="242" t="s">
        <v>5</v>
      </c>
      <c r="B29" s="243">
        <f>SUM([7]M01!B27*$B$14,[7]M02!B27*$C$14,[7]M03!B27*$D$14,[7]M04!B27*$E$14,[7]M05!B27*$F$14,[7]M06!B27*$G$14,[7]M07!B27*$H$14,[7]M08!B27*$I$14,[7]M09!B27*$J$14,[7]M10!B27*$K$14,[7]M11!B27*$L$14,[7]M12!B27*$M$14)/$N$14</f>
        <v>2.0866790748713502</v>
      </c>
      <c r="C29" s="244">
        <f>SUM([7]M01!C27*$B$14,[7]M02!C27*$C$14,[7]M03!C27*$D$14,[7]M04!C27*$E$14,[7]M05!C27*$F$14,[7]M06!C27*$G$14,[7]M07!C27*$H$14,[7]M08!C27*$I$14,[7]M09!C27*$J$14,[7]M10!C27*$K$14,[7]M11!C27*$L$14,[7]M12!C27*$M$14)/$N$14</f>
        <v>2.3510434087067242</v>
      </c>
      <c r="D29" s="244">
        <f>SUM([7]M01!D27*$B$14,[7]M02!D27*$C$14,[7]M03!D27*$D$14,[7]M04!D27*$E$14,[7]M05!D27*$F$14,[7]M06!D27*$G$14,[7]M07!D27*$H$14,[7]M08!D27*$I$14,[7]M09!D27*$J$14,[7]M10!D27*$K$14,[7]M11!D27*$L$14,[7]M12!D27*$M$14)/$N$14</f>
        <v>2.7518429842400485</v>
      </c>
      <c r="E29" s="244">
        <f>SUM([7]M01!E27*$B$14,[7]M02!E27*$C$14,[7]M03!E27*$D$14,[7]M04!E27*$E$14,[7]M05!E27*$F$14,[7]M06!E27*$G$14,[7]M07!E27*$H$14,[7]M08!E27*$I$14,[7]M09!E27*$J$14,[7]M10!E27*$K$14,[7]M11!E27*$L$14,[7]M12!E27*$M$14)/$N$14</f>
        <v>1.7382394819995461</v>
      </c>
      <c r="F29" s="244">
        <f>SUM([7]M01!F27*$B$14,[7]M02!F27*$C$14,[7]M03!F27*$D$14,[7]M04!F27*$E$14,[7]M05!F27*$F$14,[7]M06!F27*$G$14,[7]M07!F27*$H$14,[7]M08!F27*$I$14,[7]M09!F27*$J$14,[7]M10!F27*$K$14,[7]M11!F27*$L$14,[7]M12!F27*$M$14)/$N$14</f>
        <v>0.87597174045762127</v>
      </c>
      <c r="G29" s="244">
        <f>SUM([7]M01!G27*$B$14,[7]M02!G27*$C$14,[7]M03!G27*$D$14,[7]M04!G27*$E$14,[7]M05!G27*$F$14,[7]M06!G27*$G$14,[7]M07!G27*$H$14,[7]M08!G27*$I$14,[7]M09!G27*$J$14,[7]M10!G27*$K$14,[7]M11!G27*$L$14,[7]M12!G27*$M$14)/$N$14</f>
        <v>1.0915377537684574E-2</v>
      </c>
      <c r="H29" s="244">
        <f>SUM([7]M01!H27*$B$14,[7]M02!H27*$C$14,[7]M03!H27*$D$14,[7]M04!H27*$E$14,[7]M05!H27*$F$14,[7]M06!H27*$G$14,[7]M07!H27*$H$14,[7]M08!H27*$I$14,[7]M09!H27*$J$14,[7]M10!H27*$K$14,[7]M11!H27*$L$14,[7]M12!H27*$M$14)/$N$14</f>
        <v>2.0669434945760744E-2</v>
      </c>
      <c r="I29" s="244">
        <f>SUM([7]M01!I27*$B$14,[7]M02!I27*$C$14,[7]M03!I27*$D$14,[7]M04!I27*$E$14,[7]M05!I27*$F$14,[7]M06!I27*$G$14,[7]M07!I27*$H$14,[7]M08!I27*$I$14,[7]M09!I27*$J$14,[7]M10!I27*$K$14,[7]M11!I27*$L$14,[7]M12!I27*$M$14)/$N$14</f>
        <v>0.95969304803631594</v>
      </c>
      <c r="J29" s="244">
        <f>SUM([7]M01!J27*$B$14,[7]M02!J27*$C$14,[7]M03!J27*$D$14,[7]M04!J27*$E$14,[7]M05!J27*$F$14,[7]M06!J27*$G$14,[7]M07!J27*$H$14,[7]M08!J27*$I$14,[7]M09!J27*$J$14,[7]M10!J27*$K$14,[7]M11!J27*$L$14,[7]M12!J27*$M$14)/$N$14</f>
        <v>0.16433951011777723</v>
      </c>
      <c r="K29" s="245">
        <f>SUM([7]M01!K27*$B$14,[7]M02!K27*$C$14,[7]M03!K27*$D$14,[7]M04!K27*$E$14,[7]M05!K27*$F$14,[7]M06!K27*$G$14,[7]M07!K27*$H$14,[7]M08!K27*$I$14,[7]M09!K27*$J$14,[7]M10!K27*$K$14,[7]M11!K27*$L$14,[7]M12!K27*$M$14)/$N$14</f>
        <v>3.2099051391509383</v>
      </c>
      <c r="L29" s="229"/>
      <c r="N29" s="241"/>
    </row>
    <row r="30" spans="1:14" ht="15" customHeight="1" x14ac:dyDescent="0.25">
      <c r="A30" s="246" t="s">
        <v>225</v>
      </c>
      <c r="B30" s="247">
        <f>SUM([7]M01!B28*$B$14,[7]M02!B28*$C$14,[7]M03!B28*$D$14,[7]M04!B28*$E$14,[7]M05!B28*$F$14,[7]M06!B28*$G$14,[7]M07!B28*$H$14,[7]M08!B28*$I$14,[7]M09!B28*$J$14,[7]M10!B28*$K$14,[7]M11!B28*$L$14,[7]M12!B28*$M$14)/$N$14</f>
        <v>0</v>
      </c>
      <c r="C30" s="248">
        <f>SUM([7]M01!C28*$B$14,[7]M02!C28*$C$14,[7]M03!C28*$D$14,[7]M04!C28*$E$14,[7]M05!C28*$F$14,[7]M06!C28*$G$14,[7]M07!C28*$H$14,[7]M08!C28*$I$14,[7]M09!C28*$J$14,[7]M10!C28*$K$14,[7]M11!C28*$L$14,[7]M12!C28*$M$14)/$N$14</f>
        <v>0</v>
      </c>
      <c r="D30" s="248">
        <f>SUM([7]M01!D28*$B$14,[7]M02!D28*$C$14,[7]M03!D28*$D$14,[7]M04!D28*$E$14,[7]M05!D28*$F$14,[7]M06!D28*$G$14,[7]M07!D28*$H$14,[7]M08!D28*$I$14,[7]M09!D28*$J$14,[7]M10!D28*$K$14,[7]M11!D28*$L$14,[7]M12!D28*$M$14)/$N$14</f>
        <v>0</v>
      </c>
      <c r="E30" s="248">
        <f>SUM([7]M01!E28*$B$14,[7]M02!E28*$C$14,[7]M03!E28*$D$14,[7]M04!E28*$E$14,[7]M05!E28*$F$14,[7]M06!E28*$G$14,[7]M07!E28*$H$14,[7]M08!E28*$I$14,[7]M09!E28*$J$14,[7]M10!E28*$K$14,[7]M11!E28*$L$14,[7]M12!E28*$M$14)/$N$14</f>
        <v>0.21706699902871174</v>
      </c>
      <c r="F30" s="248">
        <f>SUM([7]M01!F28*$B$14,[7]M02!F28*$C$14,[7]M03!F28*$D$14,[7]M04!F28*$E$14,[7]M05!F28*$F$14,[7]M06!F28*$G$14,[7]M07!F28*$H$14,[7]M08!F28*$I$14,[7]M09!F28*$J$14,[7]M10!F28*$K$14,[7]M11!F28*$L$14,[7]M12!F28*$M$14)/$N$14</f>
        <v>0.67399060964734148</v>
      </c>
      <c r="G30" s="248">
        <f>SUM([7]M01!G28*$B$14,[7]M02!G28*$C$14,[7]M03!G28*$D$14,[7]M04!G28*$E$14,[7]M05!G28*$F$14,[7]M06!G28*$G$14,[7]M07!G28*$H$14,[7]M08!G28*$I$14,[7]M09!G28*$J$14,[7]M10!G28*$K$14,[7]M11!G28*$L$14,[7]M12!G28*$M$14)/$N$14</f>
        <v>0.92050731199791991</v>
      </c>
      <c r="H30" s="248">
        <f>SUM([7]M01!H28*$B$14,[7]M02!H28*$C$14,[7]M03!H28*$D$14,[7]M04!H28*$E$14,[7]M05!H28*$F$14,[7]M06!H28*$G$14,[7]M07!H28*$H$14,[7]M08!H28*$I$14,[7]M09!H28*$J$14,[7]M10!H28*$K$14,[7]M11!H28*$L$14,[7]M12!H28*$M$14)/$N$14</f>
        <v>0.93875727615396076</v>
      </c>
      <c r="I30" s="248">
        <f>SUM([7]M01!I28*$B$14,[7]M02!I28*$C$14,[7]M03!I28*$D$14,[7]M04!I28*$E$14,[7]M05!I28*$F$14,[7]M06!I28*$G$14,[7]M07!I28*$H$14,[7]M08!I28*$I$14,[7]M09!I28*$J$14,[7]M10!I28*$K$14,[7]M11!I28*$L$14,[7]M12!I28*$M$14)/$N$14</f>
        <v>0.65537982985259113</v>
      </c>
      <c r="J30" s="248">
        <f>SUM([7]M01!J28*$B$14,[7]M02!J28*$C$14,[7]M03!J28*$D$14,[7]M04!J28*$E$14,[7]M05!J28*$F$14,[7]M06!J28*$G$14,[7]M07!J28*$H$14,[7]M08!J28*$I$14,[7]M09!J28*$J$14,[7]M10!J28*$K$14,[7]M11!J28*$L$14,[7]M12!J28*$M$14)/$N$14</f>
        <v>0.27691393264036773</v>
      </c>
      <c r="K30" s="249">
        <f>SUM([7]M01!K28*$B$14,[7]M02!K28*$C$14,[7]M03!K28*$D$14,[7]M04!K28*$E$14,[7]M05!K28*$F$14,[7]M06!K28*$G$14,[7]M07!K28*$H$14,[7]M08!K28*$I$14,[7]M09!K28*$J$14,[7]M10!K28*$K$14,[7]M11!K28*$L$14,[7]M12!K28*$M$14)/$N$14</f>
        <v>3.9133143623761635E-2</v>
      </c>
      <c r="L30" s="229"/>
      <c r="N30" s="241"/>
    </row>
    <row r="31" spans="1:14" ht="20.25" customHeight="1" x14ac:dyDescent="0.25">
      <c r="A31" s="228" t="s">
        <v>226</v>
      </c>
      <c r="L31" s="229"/>
      <c r="N31" s="241"/>
    </row>
    <row r="32" spans="1:14" ht="15" customHeight="1" x14ac:dyDescent="0.25">
      <c r="A32" s="250" t="s">
        <v>227</v>
      </c>
      <c r="B32" s="251">
        <f>SUM([7]M01!B30,[7]M02!B30,[7]M03!B30,[7]M04!B30,[7]M05!B30,[7]M06!B30,[7]M07!B30,[7]M08!B30,[7]M09!B30,[7]M10!B30,[7]M11!B30,[7]M12!B30)</f>
        <v>5.1900923152014302</v>
      </c>
      <c r="L32" s="229"/>
      <c r="N32" s="241"/>
    </row>
    <row r="33" spans="1:14" ht="15" customHeight="1" x14ac:dyDescent="0.25">
      <c r="A33" s="252" t="s">
        <v>228</v>
      </c>
      <c r="B33" s="253">
        <f>SUM([7]M01!B31,[7]M02!B31,[7]M03!B31,[7]M04!B31,[7]M05!B31,[7]M06!B31,[7]M07!B31,[7]M08!B31,[7]M09!B31,[7]M10!B31,[7]M11!B31,[7]M12!B31)</f>
        <v>3.5755136632888931</v>
      </c>
      <c r="L33" s="229"/>
      <c r="N33" s="241"/>
    </row>
    <row r="34" spans="1:14" ht="20.25" hidden="1" customHeight="1" x14ac:dyDescent="0.25">
      <c r="A34" s="228" t="s">
        <v>229</v>
      </c>
      <c r="L34" s="229"/>
      <c r="N34" s="241"/>
    </row>
    <row r="35" spans="1:14" ht="15" hidden="1" customHeight="1" x14ac:dyDescent="0.25">
      <c r="A35" s="250" t="s">
        <v>227</v>
      </c>
      <c r="B35" s="251" t="e">
        <f>SUM([7]M01!#REF!,[7]M02!#REF!,[7]M03!#REF!,[7]M04!#REF!,[7]M05!#REF!,[7]M06!#REF!,[7]M07!#REF!,[7]M08!#REF!,[7]M09!#REF!,[7]M10!#REF!,[7]M11!#REF!,[7]M12!#REF!)</f>
        <v>#REF!</v>
      </c>
      <c r="L35" s="229"/>
      <c r="N35" s="241"/>
    </row>
    <row r="36" spans="1:14" ht="15" hidden="1" customHeight="1" x14ac:dyDescent="0.25">
      <c r="A36" s="252" t="s">
        <v>228</v>
      </c>
      <c r="B36" s="253" t="e">
        <f>SUM([7]M01!#REF!,[7]M02!#REF!,[7]M03!#REF!,[7]M04!#REF!,[7]M05!#REF!,[7]M06!#REF!,[7]M07!#REF!,[7]M08!#REF!,[7]M09!#REF!,[7]M10!#REF!,[7]M11!#REF!,[7]M12!#REF!)</f>
        <v>#REF!</v>
      </c>
      <c r="L36" s="229"/>
      <c r="N36" s="241"/>
    </row>
    <row r="37" spans="1:14" ht="20.25" customHeight="1" x14ac:dyDescent="0.25">
      <c r="A37" s="228" t="s">
        <v>230</v>
      </c>
      <c r="L37" s="229"/>
      <c r="N37" s="241"/>
    </row>
    <row r="38" spans="1:14" ht="15" customHeight="1" x14ac:dyDescent="0.25">
      <c r="A38" s="254" t="s">
        <v>225</v>
      </c>
      <c r="B38" s="255">
        <f>SUM([7]M01!B33*$B$14,[7]M02!B33*$C$14,[7]M03!B33*$D$14,[7]M04!B33*$E$14,[7]M05!B33*$F$14,[7]M06!B33*$G$14,[7]M07!B33*$H$14,[7]M08!B33*$I$14,[7]M09!B33*$J$14,[7]M10!B33*$K$14,[7]M11!B33*$L$14,[7]M12!B33*$M$14)/$N$14</f>
        <v>0</v>
      </c>
      <c r="C38" s="256">
        <f>SUM([7]M01!C33*$B$14,[7]M02!C33*$C$14,[7]M03!C33*$D$14,[7]M04!C33*$E$14,[7]M05!C33*$F$14,[7]M06!C33*$G$14,[7]M07!C33*$H$14,[7]M08!C33*$I$14,[7]M09!C33*$J$14,[7]M10!C33*$K$14,[7]M11!C33*$L$14,[7]M12!C33*$M$14)/$N$14</f>
        <v>0</v>
      </c>
      <c r="D38" s="256">
        <f>SUM([7]M01!D33*$B$14,[7]M02!D33*$C$14,[7]M03!D33*$D$14,[7]M04!D33*$E$14,[7]M05!D33*$F$14,[7]M06!D33*$G$14,[7]M07!D33*$H$14,[7]M08!D33*$I$14,[7]M09!D33*$J$14,[7]M10!D33*$K$14,[7]M11!D33*$L$14,[7]M12!D33*$M$14)/$N$14</f>
        <v>0</v>
      </c>
      <c r="E38" s="256">
        <f>SUM([7]M01!E33*$B$14,[7]M02!E33*$C$14,[7]M03!E33*$D$14,[7]M04!E33*$E$14,[7]M05!E33*$F$14,[7]M06!E33*$G$14,[7]M07!E33*$H$14,[7]M08!E33*$I$14,[7]M09!E33*$J$14,[7]M10!E33*$K$14,[7]M11!E33*$L$14,[7]M12!E33*$M$14)/$N$14</f>
        <v>0</v>
      </c>
      <c r="F38" s="256">
        <f>SUM([7]M01!F33*$B$14,[7]M02!F33*$C$14,[7]M03!F33*$D$14,[7]M04!F33*$E$14,[7]M05!F33*$F$14,[7]M06!F33*$G$14,[7]M07!F33*$H$14,[7]M08!F33*$I$14,[7]M09!F33*$J$14,[7]M10!F33*$K$14,[7]M11!F33*$L$14,[7]M12!F33*$M$14)/$N$14</f>
        <v>0.81863477923022288</v>
      </c>
      <c r="G38" s="256">
        <f>SUM([7]M01!G33*$B$14,[7]M02!G33*$C$14,[7]M03!G33*$D$14,[7]M04!G33*$E$14,[7]M05!G33*$F$14,[7]M06!G33*$G$14,[7]M07!G33*$H$14,[7]M08!G33*$I$14,[7]M09!G33*$J$14,[7]M10!G33*$K$14,[7]M11!G33*$L$14,[7]M12!G33*$M$14)/$N$14</f>
        <v>3.009456129286801</v>
      </c>
      <c r="H38" s="256">
        <f>SUM([7]M01!H33*$B$14,[7]M02!H33*$C$14,[7]M03!H33*$D$14,[7]M04!H33*$E$14,[7]M05!H33*$F$14,[7]M06!H33*$G$14,[7]M07!H33*$H$14,[7]M08!H33*$I$14,[7]M09!H33*$J$14,[7]M10!H33*$K$14,[7]M11!H33*$L$14,[7]M12!H33*$M$14)/$N$14</f>
        <v>2.2283321501379092</v>
      </c>
      <c r="I38" s="256">
        <f>SUM([7]M01!I33*$B$14,[7]M02!I33*$C$14,[7]M03!I33*$D$14,[7]M04!I33*$E$14,[7]M05!I33*$F$14,[7]M06!I33*$G$14,[7]M07!I33*$H$14,[7]M08!I33*$I$14,[7]M09!I33*$J$14,[7]M10!I33*$K$14,[7]M11!I33*$L$14,[7]M12!I33*$M$14)/$N$14</f>
        <v>0.20884016351564857</v>
      </c>
      <c r="J38" s="256">
        <f>SUM([7]M01!J33*$B$14,[7]M02!J33*$C$14,[7]M03!J33*$D$14,[7]M04!J33*$E$14,[7]M05!J33*$F$14,[7]M06!J33*$G$14,[7]M07!J33*$H$14,[7]M08!J33*$I$14,[7]M09!J33*$J$14,[7]M10!J33*$K$14,[7]M11!J33*$L$14,[7]M12!J33*$M$14)/$N$14</f>
        <v>0.3571792593715068</v>
      </c>
      <c r="K38" s="257">
        <f>SUM([7]M01!K33*$B$14,[7]M02!K33*$C$14,[7]M03!K33*$D$14,[7]M04!K33*$E$14,[7]M05!K33*$F$14,[7]M06!K33*$G$14,[7]M07!K33*$H$14,[7]M08!K33*$I$14,[7]M09!K33*$J$14,[7]M10!K33*$K$14,[7]M11!K33*$L$14,[7]M12!K33*$M$14)/$N$14</f>
        <v>0</v>
      </c>
      <c r="L38" s="229"/>
      <c r="N38" s="241"/>
    </row>
    <row r="39" spans="1:14" ht="20.25" customHeight="1" x14ac:dyDescent="0.25">
      <c r="A39" s="228" t="s">
        <v>231</v>
      </c>
      <c r="L39" s="229"/>
      <c r="N39" s="241"/>
    </row>
    <row r="40" spans="1:14" ht="15" customHeight="1" x14ac:dyDescent="0.25">
      <c r="A40" s="252" t="s">
        <v>228</v>
      </c>
      <c r="B40" s="253">
        <f>SUM([7]M01!I34,[7]M02!I34,[7]M03!I34,[7]M04!I34,[7]M05!I34,[7]M06!I34,[7]M07!I34,[7]M08!I34,[7]M09!I34,[7]M10!I34,[7]M11!I34,[7]M12!I34)</f>
        <v>18.759102405059949</v>
      </c>
      <c r="L40" s="229"/>
      <c r="N40" s="241"/>
    </row>
    <row r="41" spans="1:14" ht="9.9499999999999993" customHeight="1" x14ac:dyDescent="0.25">
      <c r="L41" s="229"/>
      <c r="N41" s="241"/>
    </row>
    <row r="42" spans="1:14" ht="9.9499999999999993" customHeight="1" thickBot="1" x14ac:dyDescent="0.3">
      <c r="L42" s="258"/>
      <c r="N42" s="241"/>
    </row>
    <row r="43" spans="1:14" ht="20.25" customHeight="1" thickTop="1" x14ac:dyDescent="0.25">
      <c r="A43" s="259" t="s">
        <v>232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  <c r="L43" s="262"/>
      <c r="N43" s="241"/>
    </row>
    <row r="44" spans="1:14" ht="15" customHeight="1" x14ac:dyDescent="0.25">
      <c r="A44" s="263" t="s">
        <v>5</v>
      </c>
      <c r="B44" s="264">
        <f>IFERROR(B54/B25,0)</f>
        <v>1.9620027129800592</v>
      </c>
      <c r="C44" s="265">
        <f t="shared" ref="C44:K44" si="0">IFERROR(C54/C25,0)</f>
        <v>2.1880640587391293</v>
      </c>
      <c r="D44" s="265">
        <f t="shared" si="0"/>
        <v>2.606859743098322</v>
      </c>
      <c r="E44" s="265">
        <f t="shared" si="0"/>
        <v>1.6575289865227383</v>
      </c>
      <c r="F44" s="265">
        <f t="shared" si="0"/>
        <v>0.93202652217137272</v>
      </c>
      <c r="G44" s="265">
        <f t="shared" si="0"/>
        <v>0.17213088610282071</v>
      </c>
      <c r="H44" s="265">
        <f t="shared" si="0"/>
        <v>5.2878449351372731E-2</v>
      </c>
      <c r="I44" s="265">
        <f t="shared" si="0"/>
        <v>0.90187022800484773</v>
      </c>
      <c r="J44" s="265">
        <f t="shared" si="0"/>
        <v>0.16553594594350227</v>
      </c>
      <c r="K44" s="266">
        <f t="shared" si="0"/>
        <v>3.1038479706869735</v>
      </c>
      <c r="L44" s="262"/>
      <c r="N44" s="241"/>
    </row>
    <row r="45" spans="1:14" ht="15" customHeight="1" x14ac:dyDescent="0.25">
      <c r="A45" s="267" t="s">
        <v>225</v>
      </c>
      <c r="B45" s="268">
        <f t="shared" ref="B45:K45" si="1">IFERROR(B55/B26,0)</f>
        <v>0</v>
      </c>
      <c r="C45" s="268">
        <f t="shared" si="1"/>
        <v>0</v>
      </c>
      <c r="D45" s="268">
        <f t="shared" si="1"/>
        <v>0</v>
      </c>
      <c r="E45" s="268">
        <f t="shared" si="1"/>
        <v>0.22389059121254395</v>
      </c>
      <c r="F45" s="268">
        <f t="shared" si="1"/>
        <v>0.66510506842082584</v>
      </c>
      <c r="G45" s="268">
        <f t="shared" si="1"/>
        <v>0.90852717950984341</v>
      </c>
      <c r="H45" s="268">
        <f t="shared" si="1"/>
        <v>0.91844638215631125</v>
      </c>
      <c r="I45" s="268">
        <f t="shared" si="1"/>
        <v>0.59492993563548979</v>
      </c>
      <c r="J45" s="268">
        <f t="shared" si="1"/>
        <v>0.26427992447817727</v>
      </c>
      <c r="K45" s="269">
        <f t="shared" si="1"/>
        <v>3.8148885241253414E-2</v>
      </c>
      <c r="L45" s="262"/>
      <c r="N45" s="241"/>
    </row>
    <row r="46" spans="1:14" ht="20.25" customHeight="1" x14ac:dyDescent="0.2">
      <c r="A46" s="270" t="s">
        <v>233</v>
      </c>
      <c r="B46" s="271"/>
      <c r="C46" s="271"/>
      <c r="D46" s="271"/>
      <c r="E46" s="271"/>
      <c r="F46" s="271"/>
      <c r="G46" s="271"/>
      <c r="H46" s="271"/>
      <c r="I46" s="272"/>
      <c r="J46" s="272"/>
      <c r="K46" s="273"/>
      <c r="L46" s="262"/>
      <c r="N46" s="274"/>
    </row>
    <row r="47" spans="1:14" ht="15" customHeight="1" x14ac:dyDescent="0.25">
      <c r="A47" s="275" t="s">
        <v>227</v>
      </c>
      <c r="B47" s="276">
        <f>B32</f>
        <v>5.1900923152014302</v>
      </c>
      <c r="C47" s="277"/>
      <c r="D47" s="277"/>
      <c r="E47" s="272"/>
      <c r="F47" s="272"/>
      <c r="G47" s="272"/>
      <c r="H47" s="271"/>
      <c r="I47" s="272"/>
      <c r="J47" s="272"/>
      <c r="K47" s="273"/>
      <c r="L47" s="262"/>
      <c r="N47" s="278"/>
    </row>
    <row r="48" spans="1:14" ht="15" customHeight="1" x14ac:dyDescent="0.25">
      <c r="A48" s="279" t="s">
        <v>228</v>
      </c>
      <c r="B48" s="280">
        <f>B33+B40</f>
        <v>22.334616068348843</v>
      </c>
      <c r="C48" s="277"/>
      <c r="D48" s="277"/>
      <c r="E48" s="272"/>
      <c r="F48" s="272"/>
      <c r="G48" s="272"/>
      <c r="H48" s="271"/>
      <c r="I48" s="272"/>
      <c r="J48" s="272"/>
      <c r="K48" s="273"/>
      <c r="L48" s="262"/>
      <c r="N48" s="278"/>
    </row>
    <row r="49" spans="1:14" ht="9.9499999999999993" customHeight="1" thickBot="1" x14ac:dyDescent="0.3">
      <c r="A49" s="281"/>
      <c r="B49" s="282"/>
      <c r="C49" s="283"/>
      <c r="D49" s="283"/>
      <c r="E49" s="283"/>
      <c r="F49" s="283"/>
      <c r="G49" s="283"/>
      <c r="H49" s="283"/>
      <c r="I49" s="283"/>
      <c r="J49" s="283"/>
      <c r="K49" s="284"/>
      <c r="L49" s="262"/>
      <c r="N49" s="241"/>
    </row>
    <row r="50" spans="1:14" ht="9.9499999999999993" customHeight="1" thickTop="1" x14ac:dyDescent="0.25">
      <c r="B50" s="285"/>
      <c r="L50" s="258"/>
      <c r="N50" s="241"/>
    </row>
    <row r="51" spans="1:14" ht="20.25" customHeight="1" x14ac:dyDescent="0.25">
      <c r="A51" s="286" t="s">
        <v>234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>
        <f>ROUND(SUM(L54:L55,L57:L58),3)</f>
        <v>51220.152000000002</v>
      </c>
      <c r="M51" s="288">
        <f>ROUND(B3,3)</f>
        <v>51220.152000000002</v>
      </c>
      <c r="N51" s="241"/>
    </row>
    <row r="52" spans="1:14" ht="20.25" customHeight="1" x14ac:dyDescent="0.25">
      <c r="A52" s="289" t="s">
        <v>235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90"/>
      <c r="M52" s="291">
        <f>M53+M56</f>
        <v>0.9999999955217852</v>
      </c>
      <c r="N52" s="241"/>
    </row>
    <row r="53" spans="1:14" ht="20.25" customHeight="1" x14ac:dyDescent="0.25">
      <c r="A53" s="292" t="s">
        <v>29</v>
      </c>
      <c r="B53" s="293">
        <v>1</v>
      </c>
      <c r="C53" s="294">
        <v>2</v>
      </c>
      <c r="D53" s="294">
        <v>3</v>
      </c>
      <c r="E53" s="294">
        <v>4</v>
      </c>
      <c r="F53" s="294">
        <v>5</v>
      </c>
      <c r="G53" s="294">
        <v>6</v>
      </c>
      <c r="H53" s="294">
        <v>7</v>
      </c>
      <c r="I53" s="294">
        <v>8</v>
      </c>
      <c r="J53" s="294">
        <v>9</v>
      </c>
      <c r="K53" s="295">
        <v>10</v>
      </c>
      <c r="L53" s="296">
        <f>L54+L55</f>
        <v>27187.503449260865</v>
      </c>
      <c r="M53" s="291">
        <f>L53/$M$51</f>
        <v>0.53079700835836774</v>
      </c>
      <c r="N53" s="297"/>
    </row>
    <row r="54" spans="1:14" ht="15" customHeight="1" x14ac:dyDescent="0.25">
      <c r="A54" s="298" t="s">
        <v>5</v>
      </c>
      <c r="B54" s="299">
        <f>SUM([7]M01!B38,[7]M02!B38,[7]M03!B38,[7]M04!B38,[7]M05!B38,[7]M06!B38,[7]M07!B38,[7]M08!B38,[7]M09!B38,[7]M10!B38,[7]M11!B38,[7]M12!B38)</f>
        <v>2342.9828301843563</v>
      </c>
      <c r="C54" s="300">
        <f>SUM([7]M01!C38,[7]M02!C38,[7]M03!C38,[7]M04!C38,[7]M05!C38,[7]M06!C38,[7]M07!C38,[7]M08!C38,[7]M09!C38,[7]M10!C38,[7]M11!C38,[7]M12!C38)</f>
        <v>3315.736260173373</v>
      </c>
      <c r="D54" s="300">
        <f>SUM([7]M01!D38,[7]M02!D38,[7]M03!D38,[7]M04!D38,[7]M05!D38,[7]M06!D38,[7]M07!D38,[7]M08!D38,[7]M09!D38,[7]M10!D38,[7]M11!D38,[7]M12!D38)</f>
        <v>2504.9049371737983</v>
      </c>
      <c r="E54" s="300">
        <f>SUM([7]M01!E38,[7]M02!E38,[7]M03!E38,[7]M04!E38,[7]M05!E38,[7]M06!E38,[7]M07!E38,[7]M08!E38,[7]M09!E38,[7]M10!E38,[7]M11!E38,[7]M12!E38)</f>
        <v>3428.0121091139536</v>
      </c>
      <c r="F54" s="300">
        <f>SUM([7]M01!F38,[7]M02!F38,[7]M03!F38,[7]M04!F38,[7]M05!F38,[7]M06!F38,[7]M07!F38,[7]M08!F38,[7]M09!F38,[7]M10!F38,[7]M11!F38,[7]M12!F38)</f>
        <v>1398.3290376882151</v>
      </c>
      <c r="G54" s="300">
        <f>SUM([7]M01!G38,[7]M02!G38,[7]M03!G38,[7]M04!G38,[7]M05!G38,[7]M06!G38,[7]M07!G38,[7]M08!G38,[7]M09!G38,[7]M10!G38,[7]M11!G38,[7]M12!G38)</f>
        <v>1.5490230571278936</v>
      </c>
      <c r="H54" s="300">
        <f>SUM([7]M01!H38,[7]M02!H38,[7]M03!H38,[7]M04!H38,[7]M05!H38,[7]M06!H38,[7]M07!H38,[7]M08!H38,[7]M09!H38,[7]M10!H38,[7]M11!H38,[7]M12!H38)</f>
        <v>2.5497565249637115</v>
      </c>
      <c r="I54" s="300">
        <f>SUM([7]M01!I38,[7]M02!I38,[7]M03!I38,[7]M04!I38,[7]M05!I38,[7]M06!I38,[7]M07!I38,[7]M08!I38,[7]M09!I38,[7]M10!I38,[7]M11!I38,[7]M12!I38)</f>
        <v>952.47055901728777</v>
      </c>
      <c r="J54" s="300">
        <f>SUM([7]M01!J38,[7]M02!J38,[7]M03!J38,[7]M04!J38,[7]M05!J38,[7]M06!J38,[7]M07!J38,[7]M08!J38,[7]M09!J38,[7]M10!J38,[7]M11!J38,[7]M12!J38)</f>
        <v>158.02424751168073</v>
      </c>
      <c r="K54" s="301">
        <f>SUM([7]M01!K38,[7]M02!K38,[7]M03!K38,[7]M04!K38,[7]M05!K38,[7]M06!K38,[7]M07!K38,[7]M08!K38,[7]M09!K38,[7]M10!K38,[7]M11!K38,[7]M12!K38)</f>
        <v>4926.693654037851</v>
      </c>
      <c r="L54" s="302">
        <f>SUM(B54:K54)</f>
        <v>19031.252414482606</v>
      </c>
      <c r="M54" s="303">
        <f>L54/(L55+L54)</f>
        <v>0.70000000000000007</v>
      </c>
      <c r="N54" s="304"/>
    </row>
    <row r="55" spans="1:14" ht="15" customHeight="1" x14ac:dyDescent="0.25">
      <c r="A55" s="305" t="s">
        <v>225</v>
      </c>
      <c r="B55" s="306">
        <f>SUM([7]M01!B39,[7]M02!B39,[7]M03!B39,[7]M04!B39,[7]M05!B39,[7]M06!B39,[7]M07!B39,[7]M08!B39,[7]M09!B39,[7]M10!B39,[7]M11!B39,[7]M12!B39)</f>
        <v>0</v>
      </c>
      <c r="C55" s="307">
        <f>SUM([7]M01!C39,[7]M02!C39,[7]M03!C39,[7]M04!C39,[7]M05!C39,[7]M06!C39,[7]M07!C39,[7]M08!C39,[7]M09!C39,[7]M10!C39,[7]M11!C39,[7]M12!C39)</f>
        <v>0</v>
      </c>
      <c r="D55" s="307">
        <f>SUM([7]M01!D39,[7]M02!D39,[7]M03!D39,[7]M04!D39,[7]M05!D39,[7]M06!D39,[7]M07!D39,[7]M08!D39,[7]M09!D39,[7]M10!D39,[7]M11!D39,[7]M12!D39)</f>
        <v>0</v>
      </c>
      <c r="E55" s="307">
        <f>SUM([7]M01!E39,[7]M02!E39,[7]M03!E39,[7]M04!E39,[7]M05!E39,[7]M06!E39,[7]M07!E39,[7]M08!E39,[7]M09!E39,[7]M10!E39,[7]M11!E39,[7]M12!E39)</f>
        <v>77.669672301481953</v>
      </c>
      <c r="F55" s="307">
        <f>SUM([7]M01!F39,[7]M02!F39,[7]M03!F39,[7]M04!F39,[7]M05!F39,[7]M06!F39,[7]M07!F39,[7]M08!F39,[7]M09!F39,[7]M10!F39,[7]M11!F39,[7]M12!F39)</f>
        <v>976.41547695601434</v>
      </c>
      <c r="G55" s="307">
        <f>SUM([7]M01!G39,[7]M02!G39,[7]M03!G39,[7]M04!G39,[7]M05!G39,[7]M06!G39,[7]M07!G39,[7]M08!G39,[7]M09!G39,[7]M10!G39,[7]M11!G39,[7]M12!G39)</f>
        <v>556.4055301594185</v>
      </c>
      <c r="H55" s="307">
        <f>SUM([7]M01!H39,[7]M02!H39,[7]M03!H39,[7]M04!H39,[7]M05!H39,[7]M06!H39,[7]M07!H39,[7]M08!H39,[7]M09!H39,[7]M10!H39,[7]M11!H39,[7]M12!H39)</f>
        <v>6094.7930629642551</v>
      </c>
      <c r="I55" s="307">
        <f>SUM([7]M01!I39,[7]M02!I39,[7]M03!I39,[7]M04!I39,[7]M05!I39,[7]M06!I39,[7]M07!I39,[7]M08!I39,[7]M09!I39,[7]M10!I39,[7]M11!I39,[7]M12!I39)</f>
        <v>167.49556269792518</v>
      </c>
      <c r="J55" s="307">
        <f>SUM([7]M01!J39,[7]M02!J39,[7]M03!J39,[7]M04!J39,[7]M05!J39,[7]M06!J39,[7]M07!J39,[7]M08!J39,[7]M09!J39,[7]M10!J39,[7]M11!J39,[7]M12!J39)</f>
        <v>279.10326651619226</v>
      </c>
      <c r="K55" s="308">
        <f>SUM([7]M01!K39,[7]M02!K39,[7]M03!K39,[7]M04!K39,[7]M05!K39,[7]M06!K39,[7]M07!K39,[7]M08!K39,[7]M09!K39,[7]M10!K39,[7]M11!K39,[7]M12!K39)</f>
        <v>4.3684631829726444</v>
      </c>
      <c r="L55" s="309">
        <f>SUM(B55:K55)</f>
        <v>8156.25103477826</v>
      </c>
      <c r="M55" s="310">
        <f>L55/(L54+L55)</f>
        <v>0.30000000000000004</v>
      </c>
      <c r="N55" s="182"/>
    </row>
    <row r="56" spans="1:14" ht="20.25" customHeight="1" x14ac:dyDescent="0.25">
      <c r="A56" s="289" t="s">
        <v>236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96">
        <f>L57+L58</f>
        <v>24032.648321364293</v>
      </c>
      <c r="M56" s="291">
        <f>L56/$M$51</f>
        <v>0.46920298716341746</v>
      </c>
      <c r="N56" s="297"/>
    </row>
    <row r="57" spans="1:14" ht="15" customHeight="1" x14ac:dyDescent="0.25">
      <c r="A57" s="298" t="s">
        <v>5</v>
      </c>
      <c r="B57" s="299">
        <f>SUM([7]M01!B41,[7]M02!B41,[7]M03!B41,[7]M04!B41,[7]M05!B41,[7]M06!B41,[7]M07!B41,[7]M08!B41,[7]M09!B41,[7]M10!B41,[7]M11!B41,[7]M12!B41)</f>
        <v>1053.0697307543703</v>
      </c>
      <c r="C57" s="300">
        <f>SUM([7]M01!C41,[7]M02!C41,[7]M03!C41,[7]M04!C41,[7]M05!C41,[7]M06!C41,[7]M07!C41,[7]M08!C41,[7]M09!C41,[7]M10!C41,[7]M11!C41,[7]M12!C41)</f>
        <v>2791.231647115329</v>
      </c>
      <c r="D57" s="300">
        <f>SUM([7]M01!D41,[7]M02!D41,[7]M03!D41,[7]M04!D41,[7]M05!D41,[7]M06!D41,[7]M07!D41,[7]M08!D41,[7]M09!D41,[7]M10!D41,[7]M11!D41,[7]M12!D41)</f>
        <v>805.86563378132587</v>
      </c>
      <c r="E57" s="300">
        <f>SUM([7]M01!E41,[7]M02!E41,[7]M03!E41,[7]M04!E41,[7]M05!E41,[7]M06!E41,[7]M07!E41,[7]M08!E41,[7]M09!E41,[7]M10!E41,[7]M11!E41,[7]M12!E41)</f>
        <v>1559.3113351791178</v>
      </c>
      <c r="F57" s="300">
        <f>SUM([7]M01!F41,[7]M02!F41,[7]M03!F41,[7]M04!F41,[7]M05!F41,[7]M06!F41,[7]M07!F41,[7]M08!F41,[7]M09!F41,[7]M10!F41,[7]M11!F41,[7]M12!F41)</f>
        <v>84.339000122023251</v>
      </c>
      <c r="G57" s="300">
        <f>SUM([7]M01!G41,[7]M02!G41,[7]M03!G41,[7]M04!G41,[7]M05!G41,[7]M06!G41,[7]M07!G41,[7]M08!G41,[7]M09!G41,[7]M10!G41,[7]M11!G41,[7]M12!G41)</f>
        <v>762.94357033461051</v>
      </c>
      <c r="H57" s="300">
        <f>SUM([7]M01!H41,[7]M02!H41,[7]M03!H41,[7]M04!H41,[7]M05!H41,[7]M06!H41,[7]M07!H41,[7]M08!H41,[7]M09!H41,[7]M10!H41,[7]M11!H41,[7]M12!H41)</f>
        <v>2994.5794640249214</v>
      </c>
      <c r="I57" s="300">
        <f>SUM([7]M01!I41,[7]M02!I41,[7]M03!I41,[7]M04!I41,[7]M05!I41,[7]M06!I41,[7]M07!I41,[7]M08!I41,[7]M09!I41,[7]M10!I41,[7]M11!I41,[7]M12!I41)</f>
        <v>1349.424001952372</v>
      </c>
      <c r="J57" s="300">
        <f>SUM([7]M01!J41,[7]M02!J41,[7]M03!J41,[7]M04!J41,[7]M05!J41,[7]M06!J41,[7]M07!J41,[7]M08!J41,[7]M09!J41,[7]M10!J41,[7]M11!J41,[7]M12!J41)</f>
        <v>4113.3038625665895</v>
      </c>
      <c r="K57" s="301">
        <f>SUM([7]M01!K41,[7]M02!K41,[7]M03!K41,[7]M04!K41,[7]M05!K41,[7]M06!K41,[7]M07!K41,[7]M08!K41,[7]M09!K41,[7]M10!K41,[7]M11!K41,[7]M12!K41)</f>
        <v>1308.7855791243444</v>
      </c>
      <c r="L57" s="302">
        <f>SUM(B57:K57)</f>
        <v>16822.853824955004</v>
      </c>
      <c r="M57" s="303">
        <f>L57/(L58+L57)</f>
        <v>0.7</v>
      </c>
      <c r="N57" s="304"/>
    </row>
    <row r="58" spans="1:14" ht="15" customHeight="1" x14ac:dyDescent="0.25">
      <c r="A58" s="305" t="s">
        <v>225</v>
      </c>
      <c r="B58" s="306">
        <f>SUM([7]M01!B42,[7]M02!B42,[7]M03!B42,[7]M04!B42,[7]M05!B42,[7]M06!B42,[7]M07!B42,[7]M08!B42,[7]M09!B42,[7]M10!B42,[7]M11!B42,[7]M12!B42)</f>
        <v>138.26511335938153</v>
      </c>
      <c r="C58" s="307">
        <f>SUM([7]M01!C42,[7]M02!C42,[7]M03!C42,[7]M04!C42,[7]M05!C42,[7]M06!C42,[7]M07!C42,[7]M08!C42,[7]M09!C42,[7]M10!C42,[7]M11!C42,[7]M12!C42)</f>
        <v>0</v>
      </c>
      <c r="D58" s="307">
        <f>SUM([7]M01!D42,[7]M02!D42,[7]M03!D42,[7]M04!D42,[7]M05!D42,[7]M06!D42,[7]M07!D42,[7]M08!D42,[7]M09!D42,[7]M10!D42,[7]M11!D42,[7]M12!D42)</f>
        <v>0.39330650296177827</v>
      </c>
      <c r="E58" s="307">
        <f>SUM([7]M01!E42,[7]M02!E42,[7]M03!E42,[7]M04!E42,[7]M05!E42,[7]M06!E42,[7]M07!E42,[7]M08!E42,[7]M09!E42,[7]M10!E42,[7]M11!E42,[7]M12!E42)</f>
        <v>393.84283001127164</v>
      </c>
      <c r="F58" s="307">
        <f>SUM([7]M01!F42,[7]M02!F42,[7]M03!F42,[7]M04!F42,[7]M05!F42,[7]M06!F42,[7]M07!F42,[7]M08!F42,[7]M09!F42,[7]M10!F42,[7]M11!F42,[7]M12!F42)</f>
        <v>830.51972480511006</v>
      </c>
      <c r="G58" s="307">
        <f>SUM([7]M01!G42,[7]M02!G42,[7]M03!G42,[7]M04!G42,[7]M05!G42,[7]M06!G42,[7]M07!G42,[7]M08!G42,[7]M09!G42,[7]M10!G42,[7]M11!G42,[7]M12!G42)</f>
        <v>592.25523169211681</v>
      </c>
      <c r="H58" s="307">
        <f>SUM([7]M01!H42,[7]M02!H42,[7]M03!H42,[7]M04!H42,[7]M05!H42,[7]M06!H42,[7]M07!H42,[7]M08!H42,[7]M09!H42,[7]M10!H42,[7]M11!H42,[7]M12!H42)</f>
        <v>4442.8748886170852</v>
      </c>
      <c r="I58" s="307">
        <f>SUM([7]M01!I42,[7]M02!I42,[7]M03!I42,[7]M04!I42,[7]M05!I42,[7]M06!I42,[7]M07!I42,[7]M08!I42,[7]M09!I42,[7]M10!I42,[7]M11!I42,[7]M12!I42)</f>
        <v>82.844651578403685</v>
      </c>
      <c r="J58" s="307">
        <f>SUM([7]M01!J42,[7]M02!J42,[7]M03!J42,[7]M04!J42,[7]M05!J42,[7]M06!J42,[7]M07!J42,[7]M08!J42,[7]M09!J42,[7]M10!J42,[7]M11!J42,[7]M12!J42)</f>
        <v>405.60806981827494</v>
      </c>
      <c r="K58" s="308">
        <f>SUM([7]M01!K42,[7]M02!K42,[7]M03!K42,[7]M04!K42,[7]M05!K42,[7]M06!K42,[7]M07!K42,[7]M08!K42,[7]M09!K42,[7]M10!K42,[7]M11!K42,[7]M12!K42)</f>
        <v>323.1906800246831</v>
      </c>
      <c r="L58" s="309">
        <f>SUM(B58:K58)</f>
        <v>7209.7944964092885</v>
      </c>
      <c r="M58" s="310">
        <f>L58/(L57+L58)</f>
        <v>0.30000000000000004</v>
      </c>
      <c r="N58" s="241"/>
    </row>
    <row r="59" spans="1:14" ht="20.25" customHeight="1" x14ac:dyDescent="0.25">
      <c r="A59" s="289" t="s">
        <v>237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96">
        <f>L60+L61</f>
        <v>55642.054105485891</v>
      </c>
      <c r="M59" s="291">
        <f>IFERROR(L59/B7,0)</f>
        <v>1.0000000000000002</v>
      </c>
      <c r="N59" s="241"/>
    </row>
    <row r="60" spans="1:14" ht="15" customHeight="1" x14ac:dyDescent="0.25">
      <c r="A60" s="298" t="s">
        <v>238</v>
      </c>
      <c r="B60" s="299">
        <f>SUM([7]M01!B44,[7]M02!B44,[7]M03!B44,[7]M04!B44,[7]M05!B44,[7]M06!B44,[7]M07!B44,[7]M08!B44,[7]M09!B44,[7]M10!B44,[7]M11!B44,[7]M12!B44)</f>
        <v>0</v>
      </c>
      <c r="C60" s="300">
        <f>SUM([7]M01!C44,[7]M02!C44,[7]M03!C44,[7]M04!C44,[7]M05!C44,[7]M06!C44,[7]M07!C44,[7]M08!C44,[7]M09!C44,[7]M10!C44,[7]M11!C44,[7]M12!C44)</f>
        <v>0</v>
      </c>
      <c r="D60" s="300">
        <f>SUM([7]M01!D44,[7]M02!D44,[7]M03!D44,[7]M04!D44,[7]M05!D44,[7]M06!D44,[7]M07!D44,[7]M08!D44,[7]M09!D44,[7]M10!D44,[7]M11!D44,[7]M12!D44)</f>
        <v>0</v>
      </c>
      <c r="E60" s="300">
        <f>SUM([7]M01!E44,[7]M02!E44,[7]M03!E44,[7]M04!E44,[7]M05!E44,[7]M06!E44,[7]M07!E44,[7]M08!E44,[7]M09!E44,[7]M10!E44,[7]M11!E44,[7]M12!E44)</f>
        <v>0</v>
      </c>
      <c r="F60" s="300">
        <f>SUM([7]M01!F44,[7]M02!F44,[7]M03!F44,[7]M04!F44,[7]M05!F44,[7]M06!F44,[7]M07!F44,[7]M08!F44,[7]M09!F44,[7]M10!F44,[7]M11!F44,[7]M12!F44)</f>
        <v>1185.3637952610213</v>
      </c>
      <c r="G60" s="300">
        <f>SUM([7]M01!G44,[7]M02!G44,[7]M03!G44,[7]M04!G44,[7]M05!G44,[7]M06!G44,[7]M07!G44,[7]M08!G44,[7]M09!G44,[7]M10!G44,[7]M11!G44,[7]M12!G44)</f>
        <v>1818.3123528205588</v>
      </c>
      <c r="H60" s="300">
        <f>SUM([7]M01!H44,[7]M02!H44,[7]M03!H44,[7]M04!H44,[7]M05!H44,[7]M06!H44,[7]M07!H44,[7]M08!H44,[7]M09!H44,[7]M10!H44,[7]M11!H44,[7]M12!H44)</f>
        <v>14390.097980056202</v>
      </c>
      <c r="I60" s="300">
        <f>SUM([7]M01!I44,[7]M02!I44,[7]M03!I44,[7]M04!I44,[7]M05!I44,[7]M06!I44,[7]M07!I44,[7]M08!I44,[7]M09!I44,[7]M10!I44,[7]M11!I44,[7]M12!I44)</f>
        <v>47.159799445163095</v>
      </c>
      <c r="J60" s="300">
        <f>SUM([7]M01!J44,[7]M02!J44,[7]M03!J44,[7]M04!J44,[7]M05!J44,[7]M06!J44,[7]M07!J44,[7]M08!J44,[7]M09!J44,[7]M10!J44,[7]M11!J44,[7]M12!J44)</f>
        <v>374.59061762374603</v>
      </c>
      <c r="K60" s="301">
        <f>SUM([7]M01!K44,[7]M02!K44,[7]M03!K44,[7]M04!K44,[7]M05!K44,[7]M06!K44,[7]M07!K44,[7]M08!K44,[7]M09!K44,[7]M10!K44,[7]M11!K44,[7]M12!K44)</f>
        <v>0</v>
      </c>
      <c r="L60" s="302">
        <f>SUM(B60:K60)</f>
        <v>17815.524545206692</v>
      </c>
      <c r="M60" s="303">
        <f>L60/(L61+L60)</f>
        <v>0.32018092846522384</v>
      </c>
      <c r="N60" s="241"/>
    </row>
    <row r="61" spans="1:14" ht="15" customHeight="1" x14ac:dyDescent="0.25">
      <c r="A61" s="305" t="s">
        <v>239</v>
      </c>
      <c r="B61" s="306">
        <f>SUM([7]M01!B45,[7]M02!B45,[7]M03!B45,[7]M04!B45,[7]M05!B45,[7]M06!B45,[7]M07!B45,[7]M08!B45,[7]M09!B45,[7]M10!B45,[7]M11!B45,[7]M12!B45)</f>
        <v>725.41449000366822</v>
      </c>
      <c r="C61" s="307">
        <f>SUM([7]M01!C45,[7]M02!C45,[7]M03!C45,[7]M04!C45,[7]M05!C45,[7]M06!C45,[7]M07!C45,[7]M08!C45,[7]M09!C45,[7]M10!C45,[7]M11!C45,[7]M12!C45)</f>
        <v>0</v>
      </c>
      <c r="D61" s="307">
        <f>SUM([7]M01!D45,[7]M02!D45,[7]M03!D45,[7]M04!D45,[7]M05!D45,[7]M06!D45,[7]M07!D45,[7]M08!D45,[7]M09!D45,[7]M10!D45,[7]M11!D45,[7]M12!D45)</f>
        <v>2.063501264556594</v>
      </c>
      <c r="E61" s="307">
        <f>SUM([7]M01!E45,[7]M02!E45,[7]M03!E45,[7]M04!E45,[7]M05!E45,[7]M06!E45,[7]M07!E45,[7]M08!E45,[7]M09!E45,[7]M10!E45,[7]M11!E45,[7]M12!E45)</f>
        <v>2066.3151299173528</v>
      </c>
      <c r="F61" s="307">
        <f>SUM([7]M01!F45,[7]M02!F45,[7]M03!F45,[7]M04!F45,[7]M05!F45,[7]M06!F45,[7]M07!F45,[7]M08!F45,[7]M09!F45,[7]M10!F45,[7]M11!F45,[7]M12!F45)</f>
        <v>4357.3612169364133</v>
      </c>
      <c r="G61" s="307">
        <f>SUM([7]M01!G45,[7]M02!G45,[7]M03!G45,[7]M04!G45,[7]M05!G45,[7]M06!G45,[7]M07!G45,[7]M08!G45,[7]M09!G45,[7]M10!G45,[7]M11!G45,[7]M12!G45)</f>
        <v>3107.2952273451419</v>
      </c>
      <c r="H61" s="307">
        <f>SUM([7]M01!H45,[7]M02!H45,[7]M03!H45,[7]M04!H45,[7]M05!H45,[7]M06!H45,[7]M07!H45,[7]M08!H45,[7]M09!H45,[7]M10!H45,[7]M11!H45,[7]M12!H45)</f>
        <v>23309.754305839768</v>
      </c>
      <c r="I61" s="307">
        <f>SUM([7]M01!I45,[7]M02!I45,[7]M03!I45,[7]M04!I45,[7]M05!I45,[7]M06!I45,[7]M07!I45,[7]M08!I45,[7]M09!I45,[7]M10!I45,[7]M11!I45,[7]M12!I45)</f>
        <v>434.64840272523895</v>
      </c>
      <c r="J61" s="307">
        <f>SUM([7]M01!J45,[7]M02!J45,[7]M03!J45,[7]M04!J45,[7]M05!J45,[7]M06!J45,[7]M07!J45,[7]M08!J45,[7]M09!J45,[7]M10!J45,[7]M11!J45,[7]M12!J45)</f>
        <v>2128.042019853679</v>
      </c>
      <c r="K61" s="308">
        <f>SUM([7]M01!K45,[7]M02!K45,[7]M03!K45,[7]M04!K45,[7]M05!K45,[7]M06!K45,[7]M07!K45,[7]M08!K45,[7]M09!K45,[7]M10!K45,[7]M11!K45,[7]M12!K45)</f>
        <v>1695.6352663933687</v>
      </c>
      <c r="L61" s="309">
        <f>SUM(B61:K61)</f>
        <v>37826.529560279196</v>
      </c>
      <c r="M61" s="310">
        <f>L61/(L60+L61)</f>
        <v>0.67981907153477605</v>
      </c>
      <c r="N61" s="241"/>
    </row>
    <row r="62" spans="1:14" ht="20.25" hidden="1" customHeight="1" x14ac:dyDescent="0.25">
      <c r="A62" s="289" t="s">
        <v>240</v>
      </c>
      <c r="B62" s="311"/>
      <c r="C62" s="311"/>
      <c r="D62" s="311"/>
      <c r="E62" s="311"/>
      <c r="F62" s="311"/>
      <c r="G62" s="312">
        <f>SUM([7]M01!G46,[7]M02!G46,[7]M03!G46,[7]M04!G46,[7]M05!G46,[7]M06!G46,[7]M07!G46,[7]M08!G46,[7]M09!G46,[7]M10!G46,[7]M11!G46,[7]M12!G46)</f>
        <v>0</v>
      </c>
      <c r="H62" s="313">
        <f>G62/L51</f>
        <v>0</v>
      </c>
      <c r="I62" s="311"/>
      <c r="J62" s="311"/>
      <c r="K62" s="311"/>
      <c r="L62" s="288"/>
      <c r="N62" s="241"/>
    </row>
    <row r="63" spans="1:14" ht="15" customHeight="1" x14ac:dyDescent="0.2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288"/>
      <c r="N63" s="241"/>
    </row>
    <row r="64" spans="1:14" ht="20.25" customHeight="1" x14ac:dyDescent="0.25">
      <c r="A64" s="314" t="s">
        <v>241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296">
        <f>L65+L66</f>
        <v>106862.20587611104</v>
      </c>
      <c r="M64" s="316">
        <f>L64/(B3+B7)</f>
        <v>0.99999999999999989</v>
      </c>
      <c r="N64" s="317"/>
    </row>
    <row r="65" spans="1:14" ht="15" customHeight="1" x14ac:dyDescent="0.25">
      <c r="A65" s="318" t="s">
        <v>5</v>
      </c>
      <c r="B65" s="319">
        <f>B54+B57</f>
        <v>3396.0525609387269</v>
      </c>
      <c r="C65" s="320">
        <f t="shared" ref="C65:K65" si="2">C54+C57</f>
        <v>6106.967907288702</v>
      </c>
      <c r="D65" s="320">
        <f t="shared" si="2"/>
        <v>3310.7705709551242</v>
      </c>
      <c r="E65" s="320">
        <f t="shared" si="2"/>
        <v>4987.3234442930716</v>
      </c>
      <c r="F65" s="320">
        <f t="shared" si="2"/>
        <v>1482.6680378102383</v>
      </c>
      <c r="G65" s="320">
        <f t="shared" si="2"/>
        <v>764.49259339173841</v>
      </c>
      <c r="H65" s="320">
        <f t="shared" si="2"/>
        <v>2997.1292205498853</v>
      </c>
      <c r="I65" s="320">
        <f t="shared" si="2"/>
        <v>2301.8945609696598</v>
      </c>
      <c r="J65" s="320">
        <f t="shared" si="2"/>
        <v>4271.3281100782706</v>
      </c>
      <c r="K65" s="321">
        <f t="shared" si="2"/>
        <v>6235.4792331621957</v>
      </c>
      <c r="L65" s="302">
        <f>SUM(B65:K65)</f>
        <v>35854.10623943762</v>
      </c>
      <c r="M65" s="303">
        <f>L65/(L66+L65)</f>
        <v>0.3355171825762655</v>
      </c>
      <c r="N65" s="317"/>
    </row>
    <row r="66" spans="1:14" ht="15" customHeight="1" x14ac:dyDescent="0.25">
      <c r="A66" s="322" t="s">
        <v>225</v>
      </c>
      <c r="B66" s="323">
        <f>B55+B58+B60+B61</f>
        <v>863.67960336304975</v>
      </c>
      <c r="C66" s="324">
        <f t="shared" ref="C66:K66" si="3">C55+C58+C60+C61</f>
        <v>0</v>
      </c>
      <c r="D66" s="324">
        <f t="shared" si="3"/>
        <v>2.4568077675183724</v>
      </c>
      <c r="E66" s="324">
        <f t="shared" si="3"/>
        <v>2537.8276322301062</v>
      </c>
      <c r="F66" s="324">
        <f t="shared" si="3"/>
        <v>7349.6602139585593</v>
      </c>
      <c r="G66" s="324">
        <f t="shared" si="3"/>
        <v>6074.2683420172361</v>
      </c>
      <c r="H66" s="324">
        <f t="shared" si="3"/>
        <v>48237.520237477307</v>
      </c>
      <c r="I66" s="324">
        <f t="shared" si="3"/>
        <v>732.14841644673095</v>
      </c>
      <c r="J66" s="324">
        <f t="shared" si="3"/>
        <v>3187.3439738118923</v>
      </c>
      <c r="K66" s="325">
        <f t="shared" si="3"/>
        <v>2023.1944096010245</v>
      </c>
      <c r="L66" s="309">
        <f>SUM(B66:K66)</f>
        <v>71008.099636673418</v>
      </c>
      <c r="M66" s="310">
        <f>L66/(L65+L66)</f>
        <v>0.6644828174237345</v>
      </c>
      <c r="N66" s="317"/>
    </row>
    <row r="67" spans="1:14" ht="15" customHeight="1" x14ac:dyDescent="0.25">
      <c r="B67" s="313">
        <f>B65/$L$64</f>
        <v>3.1779734781779492E-2</v>
      </c>
      <c r="C67" s="313">
        <f t="shared" ref="C67:K67" si="4">C65/$L$64</f>
        <v>5.7148061442496477E-2</v>
      </c>
      <c r="D67" s="313">
        <f t="shared" si="4"/>
        <v>3.0981679105458595E-2</v>
      </c>
      <c r="E67" s="313">
        <f t="shared" si="4"/>
        <v>4.6670601672541216E-2</v>
      </c>
      <c r="F67" s="313">
        <f t="shared" si="4"/>
        <v>1.3874578253879069E-2</v>
      </c>
      <c r="G67" s="313">
        <f t="shared" si="4"/>
        <v>7.1540034863031036E-3</v>
      </c>
      <c r="H67" s="313">
        <f t="shared" si="4"/>
        <v>2.8046671842284057E-2</v>
      </c>
      <c r="I67" s="313">
        <f t="shared" si="4"/>
        <v>2.1540773392216175E-2</v>
      </c>
      <c r="J67" s="313">
        <f t="shared" si="4"/>
        <v>3.9970428039171918E-2</v>
      </c>
      <c r="K67" s="313">
        <f t="shared" si="4"/>
        <v>5.8350650560135331E-2</v>
      </c>
      <c r="N67" s="241"/>
    </row>
    <row r="68" spans="1:14" ht="15" customHeight="1" x14ac:dyDescent="0.25">
      <c r="B68" s="313">
        <f t="shared" ref="B68:K68" si="5">B66/$L$64</f>
        <v>8.0821801897327725E-3</v>
      </c>
      <c r="C68" s="313">
        <f t="shared" si="5"/>
        <v>0</v>
      </c>
      <c r="D68" s="313">
        <f t="shared" si="5"/>
        <v>2.2990427227065033E-5</v>
      </c>
      <c r="E68" s="313">
        <f t="shared" si="5"/>
        <v>2.374859859408382E-2</v>
      </c>
      <c r="F68" s="313">
        <f t="shared" si="5"/>
        <v>6.8776983908410694E-2</v>
      </c>
      <c r="G68" s="313">
        <f t="shared" si="5"/>
        <v>5.6842063966556527E-2</v>
      </c>
      <c r="H68" s="313">
        <f t="shared" si="5"/>
        <v>0.45139925609808851</v>
      </c>
      <c r="I68" s="313">
        <f t="shared" si="5"/>
        <v>6.851331679373485E-3</v>
      </c>
      <c r="J68" s="313">
        <f t="shared" si="5"/>
        <v>2.9826672093097983E-2</v>
      </c>
      <c r="K68" s="313">
        <f t="shared" si="5"/>
        <v>1.8932740467163686E-2</v>
      </c>
      <c r="N68" s="241"/>
    </row>
    <row r="69" spans="1:14" ht="15" customHeight="1" x14ac:dyDescent="0.2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7"/>
      <c r="M69" s="328"/>
    </row>
    <row r="70" spans="1:14" ht="15" customHeight="1" x14ac:dyDescent="0.25">
      <c r="B70" s="326"/>
      <c r="C70" s="326"/>
      <c r="D70" s="326"/>
      <c r="E70" s="326"/>
      <c r="F70" s="326"/>
      <c r="G70" s="326"/>
      <c r="H70" s="326"/>
      <c r="I70" s="326"/>
      <c r="J70" s="326"/>
      <c r="K70" s="326"/>
    </row>
    <row r="71" spans="1:14" ht="15" customHeight="1" x14ac:dyDescent="0.25"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7"/>
    </row>
    <row r="72" spans="1:14" ht="15" customHeight="1" x14ac:dyDescent="0.25"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7"/>
    </row>
  </sheetData>
  <sheetProtection algorithmName="SHA-512" hashValue="pQE9h4jxZPM0MJDIQVMU4qYQXaExwcwAuUOsUZxNGosyohzDz2tJoH4S7MVVP8lClbJ3DkvFfWHkWcIuSUZVDg==" saltValue="+keZqPgS4AcjS4fqvbEqkg==" spinCount="100000" sheet="1" objects="1" scenarios="1"/>
  <conditionalFormatting sqref="B19:L20 B38:K38">
    <cfRule type="cellIs" dxfId="71" priority="18" operator="equal">
      <formula>0</formula>
    </cfRule>
  </conditionalFormatting>
  <conditionalFormatting sqref="B25:K27">
    <cfRule type="cellIs" dxfId="70" priority="17" operator="equal">
      <formula>0</formula>
    </cfRule>
  </conditionalFormatting>
  <conditionalFormatting sqref="B29:K30">
    <cfRule type="cellIs" dxfId="69" priority="16" operator="equal">
      <formula>0</formula>
    </cfRule>
  </conditionalFormatting>
  <conditionalFormatting sqref="B54:K55">
    <cfRule type="cellIs" dxfId="68" priority="15" operator="equal">
      <formula>0</formula>
    </cfRule>
  </conditionalFormatting>
  <conditionalFormatting sqref="L25:L27">
    <cfRule type="cellIs" dxfId="67" priority="14" operator="equal">
      <formula>0</formula>
    </cfRule>
  </conditionalFormatting>
  <conditionalFormatting sqref="B57:K58">
    <cfRule type="cellIs" dxfId="66" priority="13" operator="equal">
      <formula>0</formula>
    </cfRule>
  </conditionalFormatting>
  <conditionalFormatting sqref="B60:K61">
    <cfRule type="cellIs" dxfId="65" priority="12" operator="equal">
      <formula>0</formula>
    </cfRule>
  </conditionalFormatting>
  <conditionalFormatting sqref="B22:L23">
    <cfRule type="cellIs" dxfId="64" priority="11" operator="equal">
      <formula>0</formula>
    </cfRule>
  </conditionalFormatting>
  <conditionalFormatting sqref="N12:N13">
    <cfRule type="cellIs" dxfId="63" priority="10" stopIfTrue="1" operator="notEqual">
      <formula>8760</formula>
    </cfRule>
  </conditionalFormatting>
  <conditionalFormatting sqref="N14">
    <cfRule type="cellIs" dxfId="62" priority="9" stopIfTrue="1" operator="notEqual">
      <formula>1</formula>
    </cfRule>
  </conditionalFormatting>
  <conditionalFormatting sqref="L54:L55">
    <cfRule type="cellIs" dxfId="61" priority="7" operator="equal">
      <formula>0</formula>
    </cfRule>
  </conditionalFormatting>
  <conditionalFormatting sqref="M51">
    <cfRule type="cellIs" dxfId="60" priority="8" stopIfTrue="1" operator="notEqual">
      <formula>$L$51</formula>
    </cfRule>
  </conditionalFormatting>
  <conditionalFormatting sqref="L57:L58">
    <cfRule type="cellIs" dxfId="59" priority="6" operator="equal">
      <formula>0</formula>
    </cfRule>
  </conditionalFormatting>
  <conditionalFormatting sqref="L60:L61">
    <cfRule type="cellIs" dxfId="58" priority="5" operator="equal">
      <formula>0</formula>
    </cfRule>
  </conditionalFormatting>
  <conditionalFormatting sqref="B65:K66">
    <cfRule type="cellIs" dxfId="57" priority="4" operator="equal">
      <formula>0</formula>
    </cfRule>
  </conditionalFormatting>
  <conditionalFormatting sqref="L65:L66">
    <cfRule type="cellIs" dxfId="56" priority="3" operator="equal">
      <formula>0</formula>
    </cfRule>
  </conditionalFormatting>
  <conditionalFormatting sqref="L51">
    <cfRule type="cellIs" dxfId="55" priority="2" stopIfTrue="1" operator="notEqual">
      <formula>$M$51</formula>
    </cfRule>
  </conditionalFormatting>
  <conditionalFormatting sqref="B44:K45">
    <cfRule type="cellIs" dxfId="54" priority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opLeftCell="A55" zoomScaleNormal="100" workbookViewId="0">
      <selection sqref="A1:XFD1048576"/>
    </sheetView>
  </sheetViews>
  <sheetFormatPr baseColWidth="10" defaultColWidth="10.7109375" defaultRowHeight="15" customHeight="1" x14ac:dyDescent="0.25"/>
  <cols>
    <col min="1" max="1" width="12.7109375" style="171" customWidth="1"/>
    <col min="2" max="2" width="13.7109375" style="171" bestFit="1" customWidth="1"/>
    <col min="3" max="3" width="16.140625" style="171" bestFit="1" customWidth="1"/>
    <col min="4" max="4" width="14.85546875" style="171" bestFit="1" customWidth="1"/>
    <col min="5" max="5" width="12.28515625" style="171" bestFit="1" customWidth="1"/>
    <col min="6" max="6" width="15.85546875" style="171" bestFit="1" customWidth="1"/>
    <col min="7" max="7" width="16.140625" style="171" bestFit="1" customWidth="1"/>
    <col min="8" max="8" width="13.42578125" style="171" bestFit="1" customWidth="1"/>
    <col min="9" max="10" width="13.28515625" style="171" bestFit="1" customWidth="1"/>
    <col min="11" max="11" width="16.85546875" style="171" bestFit="1" customWidth="1"/>
    <col min="12" max="12" width="13" style="171" bestFit="1" customWidth="1"/>
    <col min="13" max="13" width="11.28515625" style="171" bestFit="1" customWidth="1"/>
    <col min="14" max="14" width="8.28515625" style="171" bestFit="1" customWidth="1"/>
    <col min="15" max="256" width="10.7109375" style="171"/>
    <col min="257" max="257" width="12.7109375" style="171" customWidth="1"/>
    <col min="258" max="258" width="13.7109375" style="171" bestFit="1" customWidth="1"/>
    <col min="259" max="259" width="16.140625" style="171" bestFit="1" customWidth="1"/>
    <col min="260" max="260" width="14.85546875" style="171" bestFit="1" customWidth="1"/>
    <col min="261" max="261" width="12.28515625" style="171" bestFit="1" customWidth="1"/>
    <col min="262" max="262" width="15.85546875" style="171" bestFit="1" customWidth="1"/>
    <col min="263" max="263" width="16.140625" style="171" bestFit="1" customWidth="1"/>
    <col min="264" max="264" width="13.42578125" style="171" bestFit="1" customWidth="1"/>
    <col min="265" max="266" width="13.28515625" style="171" bestFit="1" customWidth="1"/>
    <col min="267" max="267" width="16.85546875" style="171" bestFit="1" customWidth="1"/>
    <col min="268" max="268" width="13" style="171" bestFit="1" customWidth="1"/>
    <col min="269" max="269" width="11.28515625" style="171" bestFit="1" customWidth="1"/>
    <col min="270" max="270" width="8.28515625" style="171" bestFit="1" customWidth="1"/>
    <col min="271" max="512" width="10.7109375" style="171"/>
    <col min="513" max="513" width="12.7109375" style="171" customWidth="1"/>
    <col min="514" max="514" width="13.7109375" style="171" bestFit="1" customWidth="1"/>
    <col min="515" max="515" width="16.140625" style="171" bestFit="1" customWidth="1"/>
    <col min="516" max="516" width="14.85546875" style="171" bestFit="1" customWidth="1"/>
    <col min="517" max="517" width="12.28515625" style="171" bestFit="1" customWidth="1"/>
    <col min="518" max="518" width="15.85546875" style="171" bestFit="1" customWidth="1"/>
    <col min="519" max="519" width="16.140625" style="171" bestFit="1" customWidth="1"/>
    <col min="520" max="520" width="13.42578125" style="171" bestFit="1" customWidth="1"/>
    <col min="521" max="522" width="13.28515625" style="171" bestFit="1" customWidth="1"/>
    <col min="523" max="523" width="16.85546875" style="171" bestFit="1" customWidth="1"/>
    <col min="524" max="524" width="13" style="171" bestFit="1" customWidth="1"/>
    <col min="525" max="525" width="11.28515625" style="171" bestFit="1" customWidth="1"/>
    <col min="526" max="526" width="8.28515625" style="171" bestFit="1" customWidth="1"/>
    <col min="527" max="768" width="10.7109375" style="171"/>
    <col min="769" max="769" width="12.7109375" style="171" customWidth="1"/>
    <col min="770" max="770" width="13.7109375" style="171" bestFit="1" customWidth="1"/>
    <col min="771" max="771" width="16.140625" style="171" bestFit="1" customWidth="1"/>
    <col min="772" max="772" width="14.85546875" style="171" bestFit="1" customWidth="1"/>
    <col min="773" max="773" width="12.28515625" style="171" bestFit="1" customWidth="1"/>
    <col min="774" max="774" width="15.85546875" style="171" bestFit="1" customWidth="1"/>
    <col min="775" max="775" width="16.140625" style="171" bestFit="1" customWidth="1"/>
    <col min="776" max="776" width="13.42578125" style="171" bestFit="1" customWidth="1"/>
    <col min="777" max="778" width="13.28515625" style="171" bestFit="1" customWidth="1"/>
    <col min="779" max="779" width="16.85546875" style="171" bestFit="1" customWidth="1"/>
    <col min="780" max="780" width="13" style="171" bestFit="1" customWidth="1"/>
    <col min="781" max="781" width="11.28515625" style="171" bestFit="1" customWidth="1"/>
    <col min="782" max="782" width="8.28515625" style="171" bestFit="1" customWidth="1"/>
    <col min="783" max="1024" width="10.7109375" style="171"/>
    <col min="1025" max="1025" width="12.7109375" style="171" customWidth="1"/>
    <col min="1026" max="1026" width="13.7109375" style="171" bestFit="1" customWidth="1"/>
    <col min="1027" max="1027" width="16.140625" style="171" bestFit="1" customWidth="1"/>
    <col min="1028" max="1028" width="14.85546875" style="171" bestFit="1" customWidth="1"/>
    <col min="1029" max="1029" width="12.28515625" style="171" bestFit="1" customWidth="1"/>
    <col min="1030" max="1030" width="15.85546875" style="171" bestFit="1" customWidth="1"/>
    <col min="1031" max="1031" width="16.140625" style="171" bestFit="1" customWidth="1"/>
    <col min="1032" max="1032" width="13.42578125" style="171" bestFit="1" customWidth="1"/>
    <col min="1033" max="1034" width="13.28515625" style="171" bestFit="1" customWidth="1"/>
    <col min="1035" max="1035" width="16.85546875" style="171" bestFit="1" customWidth="1"/>
    <col min="1036" max="1036" width="13" style="171" bestFit="1" customWidth="1"/>
    <col min="1037" max="1037" width="11.28515625" style="171" bestFit="1" customWidth="1"/>
    <col min="1038" max="1038" width="8.28515625" style="171" bestFit="1" customWidth="1"/>
    <col min="1039" max="1280" width="10.7109375" style="171"/>
    <col min="1281" max="1281" width="12.7109375" style="171" customWidth="1"/>
    <col min="1282" max="1282" width="13.7109375" style="171" bestFit="1" customWidth="1"/>
    <col min="1283" max="1283" width="16.140625" style="171" bestFit="1" customWidth="1"/>
    <col min="1284" max="1284" width="14.85546875" style="171" bestFit="1" customWidth="1"/>
    <col min="1285" max="1285" width="12.28515625" style="171" bestFit="1" customWidth="1"/>
    <col min="1286" max="1286" width="15.85546875" style="171" bestFit="1" customWidth="1"/>
    <col min="1287" max="1287" width="16.140625" style="171" bestFit="1" customWidth="1"/>
    <col min="1288" max="1288" width="13.42578125" style="171" bestFit="1" customWidth="1"/>
    <col min="1289" max="1290" width="13.28515625" style="171" bestFit="1" customWidth="1"/>
    <col min="1291" max="1291" width="16.85546875" style="171" bestFit="1" customWidth="1"/>
    <col min="1292" max="1292" width="13" style="171" bestFit="1" customWidth="1"/>
    <col min="1293" max="1293" width="11.28515625" style="171" bestFit="1" customWidth="1"/>
    <col min="1294" max="1294" width="8.28515625" style="171" bestFit="1" customWidth="1"/>
    <col min="1295" max="1536" width="10.7109375" style="171"/>
    <col min="1537" max="1537" width="12.7109375" style="171" customWidth="1"/>
    <col min="1538" max="1538" width="13.7109375" style="171" bestFit="1" customWidth="1"/>
    <col min="1539" max="1539" width="16.140625" style="171" bestFit="1" customWidth="1"/>
    <col min="1540" max="1540" width="14.85546875" style="171" bestFit="1" customWidth="1"/>
    <col min="1541" max="1541" width="12.28515625" style="171" bestFit="1" customWidth="1"/>
    <col min="1542" max="1542" width="15.85546875" style="171" bestFit="1" customWidth="1"/>
    <col min="1543" max="1543" width="16.140625" style="171" bestFit="1" customWidth="1"/>
    <col min="1544" max="1544" width="13.42578125" style="171" bestFit="1" customWidth="1"/>
    <col min="1545" max="1546" width="13.28515625" style="171" bestFit="1" customWidth="1"/>
    <col min="1547" max="1547" width="16.85546875" style="171" bestFit="1" customWidth="1"/>
    <col min="1548" max="1548" width="13" style="171" bestFit="1" customWidth="1"/>
    <col min="1549" max="1549" width="11.28515625" style="171" bestFit="1" customWidth="1"/>
    <col min="1550" max="1550" width="8.28515625" style="171" bestFit="1" customWidth="1"/>
    <col min="1551" max="1792" width="10.7109375" style="171"/>
    <col min="1793" max="1793" width="12.7109375" style="171" customWidth="1"/>
    <col min="1794" max="1794" width="13.7109375" style="171" bestFit="1" customWidth="1"/>
    <col min="1795" max="1795" width="16.140625" style="171" bestFit="1" customWidth="1"/>
    <col min="1796" max="1796" width="14.85546875" style="171" bestFit="1" customWidth="1"/>
    <col min="1797" max="1797" width="12.28515625" style="171" bestFit="1" customWidth="1"/>
    <col min="1798" max="1798" width="15.85546875" style="171" bestFit="1" customWidth="1"/>
    <col min="1799" max="1799" width="16.140625" style="171" bestFit="1" customWidth="1"/>
    <col min="1800" max="1800" width="13.42578125" style="171" bestFit="1" customWidth="1"/>
    <col min="1801" max="1802" width="13.28515625" style="171" bestFit="1" customWidth="1"/>
    <col min="1803" max="1803" width="16.85546875" style="171" bestFit="1" customWidth="1"/>
    <col min="1804" max="1804" width="13" style="171" bestFit="1" customWidth="1"/>
    <col min="1805" max="1805" width="11.28515625" style="171" bestFit="1" customWidth="1"/>
    <col min="1806" max="1806" width="8.28515625" style="171" bestFit="1" customWidth="1"/>
    <col min="1807" max="2048" width="10.7109375" style="171"/>
    <col min="2049" max="2049" width="12.7109375" style="171" customWidth="1"/>
    <col min="2050" max="2050" width="13.7109375" style="171" bestFit="1" customWidth="1"/>
    <col min="2051" max="2051" width="16.140625" style="171" bestFit="1" customWidth="1"/>
    <col min="2052" max="2052" width="14.85546875" style="171" bestFit="1" customWidth="1"/>
    <col min="2053" max="2053" width="12.28515625" style="171" bestFit="1" customWidth="1"/>
    <col min="2054" max="2054" width="15.85546875" style="171" bestFit="1" customWidth="1"/>
    <col min="2055" max="2055" width="16.140625" style="171" bestFit="1" customWidth="1"/>
    <col min="2056" max="2056" width="13.42578125" style="171" bestFit="1" customWidth="1"/>
    <col min="2057" max="2058" width="13.28515625" style="171" bestFit="1" customWidth="1"/>
    <col min="2059" max="2059" width="16.85546875" style="171" bestFit="1" customWidth="1"/>
    <col min="2060" max="2060" width="13" style="171" bestFit="1" customWidth="1"/>
    <col min="2061" max="2061" width="11.28515625" style="171" bestFit="1" customWidth="1"/>
    <col min="2062" max="2062" width="8.28515625" style="171" bestFit="1" customWidth="1"/>
    <col min="2063" max="2304" width="10.7109375" style="171"/>
    <col min="2305" max="2305" width="12.7109375" style="171" customWidth="1"/>
    <col min="2306" max="2306" width="13.7109375" style="171" bestFit="1" customWidth="1"/>
    <col min="2307" max="2307" width="16.140625" style="171" bestFit="1" customWidth="1"/>
    <col min="2308" max="2308" width="14.85546875" style="171" bestFit="1" customWidth="1"/>
    <col min="2309" max="2309" width="12.28515625" style="171" bestFit="1" customWidth="1"/>
    <col min="2310" max="2310" width="15.85546875" style="171" bestFit="1" customWidth="1"/>
    <col min="2311" max="2311" width="16.140625" style="171" bestFit="1" customWidth="1"/>
    <col min="2312" max="2312" width="13.42578125" style="171" bestFit="1" customWidth="1"/>
    <col min="2313" max="2314" width="13.28515625" style="171" bestFit="1" customWidth="1"/>
    <col min="2315" max="2315" width="16.85546875" style="171" bestFit="1" customWidth="1"/>
    <col min="2316" max="2316" width="13" style="171" bestFit="1" customWidth="1"/>
    <col min="2317" max="2317" width="11.28515625" style="171" bestFit="1" customWidth="1"/>
    <col min="2318" max="2318" width="8.28515625" style="171" bestFit="1" customWidth="1"/>
    <col min="2319" max="2560" width="10.7109375" style="171"/>
    <col min="2561" max="2561" width="12.7109375" style="171" customWidth="1"/>
    <col min="2562" max="2562" width="13.7109375" style="171" bestFit="1" customWidth="1"/>
    <col min="2563" max="2563" width="16.140625" style="171" bestFit="1" customWidth="1"/>
    <col min="2564" max="2564" width="14.85546875" style="171" bestFit="1" customWidth="1"/>
    <col min="2565" max="2565" width="12.28515625" style="171" bestFit="1" customWidth="1"/>
    <col min="2566" max="2566" width="15.85546875" style="171" bestFit="1" customWidth="1"/>
    <col min="2567" max="2567" width="16.140625" style="171" bestFit="1" customWidth="1"/>
    <col min="2568" max="2568" width="13.42578125" style="171" bestFit="1" customWidth="1"/>
    <col min="2569" max="2570" width="13.28515625" style="171" bestFit="1" customWidth="1"/>
    <col min="2571" max="2571" width="16.85546875" style="171" bestFit="1" customWidth="1"/>
    <col min="2572" max="2572" width="13" style="171" bestFit="1" customWidth="1"/>
    <col min="2573" max="2573" width="11.28515625" style="171" bestFit="1" customWidth="1"/>
    <col min="2574" max="2574" width="8.28515625" style="171" bestFit="1" customWidth="1"/>
    <col min="2575" max="2816" width="10.7109375" style="171"/>
    <col min="2817" max="2817" width="12.7109375" style="171" customWidth="1"/>
    <col min="2818" max="2818" width="13.7109375" style="171" bestFit="1" customWidth="1"/>
    <col min="2819" max="2819" width="16.140625" style="171" bestFit="1" customWidth="1"/>
    <col min="2820" max="2820" width="14.85546875" style="171" bestFit="1" customWidth="1"/>
    <col min="2821" max="2821" width="12.28515625" style="171" bestFit="1" customWidth="1"/>
    <col min="2822" max="2822" width="15.85546875" style="171" bestFit="1" customWidth="1"/>
    <col min="2823" max="2823" width="16.140625" style="171" bestFit="1" customWidth="1"/>
    <col min="2824" max="2824" width="13.42578125" style="171" bestFit="1" customWidth="1"/>
    <col min="2825" max="2826" width="13.28515625" style="171" bestFit="1" customWidth="1"/>
    <col min="2827" max="2827" width="16.85546875" style="171" bestFit="1" customWidth="1"/>
    <col min="2828" max="2828" width="13" style="171" bestFit="1" customWidth="1"/>
    <col min="2829" max="2829" width="11.28515625" style="171" bestFit="1" customWidth="1"/>
    <col min="2830" max="2830" width="8.28515625" style="171" bestFit="1" customWidth="1"/>
    <col min="2831" max="3072" width="10.7109375" style="171"/>
    <col min="3073" max="3073" width="12.7109375" style="171" customWidth="1"/>
    <col min="3074" max="3074" width="13.7109375" style="171" bestFit="1" customWidth="1"/>
    <col min="3075" max="3075" width="16.140625" style="171" bestFit="1" customWidth="1"/>
    <col min="3076" max="3076" width="14.85546875" style="171" bestFit="1" customWidth="1"/>
    <col min="3077" max="3077" width="12.28515625" style="171" bestFit="1" customWidth="1"/>
    <col min="3078" max="3078" width="15.85546875" style="171" bestFit="1" customWidth="1"/>
    <col min="3079" max="3079" width="16.140625" style="171" bestFit="1" customWidth="1"/>
    <col min="3080" max="3080" width="13.42578125" style="171" bestFit="1" customWidth="1"/>
    <col min="3081" max="3082" width="13.28515625" style="171" bestFit="1" customWidth="1"/>
    <col min="3083" max="3083" width="16.85546875" style="171" bestFit="1" customWidth="1"/>
    <col min="3084" max="3084" width="13" style="171" bestFit="1" customWidth="1"/>
    <col min="3085" max="3085" width="11.28515625" style="171" bestFit="1" customWidth="1"/>
    <col min="3086" max="3086" width="8.28515625" style="171" bestFit="1" customWidth="1"/>
    <col min="3087" max="3328" width="10.7109375" style="171"/>
    <col min="3329" max="3329" width="12.7109375" style="171" customWidth="1"/>
    <col min="3330" max="3330" width="13.7109375" style="171" bestFit="1" customWidth="1"/>
    <col min="3331" max="3331" width="16.140625" style="171" bestFit="1" customWidth="1"/>
    <col min="3332" max="3332" width="14.85546875" style="171" bestFit="1" customWidth="1"/>
    <col min="3333" max="3333" width="12.28515625" style="171" bestFit="1" customWidth="1"/>
    <col min="3334" max="3334" width="15.85546875" style="171" bestFit="1" customWidth="1"/>
    <col min="3335" max="3335" width="16.140625" style="171" bestFit="1" customWidth="1"/>
    <col min="3336" max="3336" width="13.42578125" style="171" bestFit="1" customWidth="1"/>
    <col min="3337" max="3338" width="13.28515625" style="171" bestFit="1" customWidth="1"/>
    <col min="3339" max="3339" width="16.85546875" style="171" bestFit="1" customWidth="1"/>
    <col min="3340" max="3340" width="13" style="171" bestFit="1" customWidth="1"/>
    <col min="3341" max="3341" width="11.28515625" style="171" bestFit="1" customWidth="1"/>
    <col min="3342" max="3342" width="8.28515625" style="171" bestFit="1" customWidth="1"/>
    <col min="3343" max="3584" width="10.7109375" style="171"/>
    <col min="3585" max="3585" width="12.7109375" style="171" customWidth="1"/>
    <col min="3586" max="3586" width="13.7109375" style="171" bestFit="1" customWidth="1"/>
    <col min="3587" max="3587" width="16.140625" style="171" bestFit="1" customWidth="1"/>
    <col min="3588" max="3588" width="14.85546875" style="171" bestFit="1" customWidth="1"/>
    <col min="3589" max="3589" width="12.28515625" style="171" bestFit="1" customWidth="1"/>
    <col min="3590" max="3590" width="15.85546875" style="171" bestFit="1" customWidth="1"/>
    <col min="3591" max="3591" width="16.140625" style="171" bestFit="1" customWidth="1"/>
    <col min="3592" max="3592" width="13.42578125" style="171" bestFit="1" customWidth="1"/>
    <col min="3593" max="3594" width="13.28515625" style="171" bestFit="1" customWidth="1"/>
    <col min="3595" max="3595" width="16.85546875" style="171" bestFit="1" customWidth="1"/>
    <col min="3596" max="3596" width="13" style="171" bestFit="1" customWidth="1"/>
    <col min="3597" max="3597" width="11.28515625" style="171" bestFit="1" customWidth="1"/>
    <col min="3598" max="3598" width="8.28515625" style="171" bestFit="1" customWidth="1"/>
    <col min="3599" max="3840" width="10.7109375" style="171"/>
    <col min="3841" max="3841" width="12.7109375" style="171" customWidth="1"/>
    <col min="3842" max="3842" width="13.7109375" style="171" bestFit="1" customWidth="1"/>
    <col min="3843" max="3843" width="16.140625" style="171" bestFit="1" customWidth="1"/>
    <col min="3844" max="3844" width="14.85546875" style="171" bestFit="1" customWidth="1"/>
    <col min="3845" max="3845" width="12.28515625" style="171" bestFit="1" customWidth="1"/>
    <col min="3846" max="3846" width="15.85546875" style="171" bestFit="1" customWidth="1"/>
    <col min="3847" max="3847" width="16.140625" style="171" bestFit="1" customWidth="1"/>
    <col min="3848" max="3848" width="13.42578125" style="171" bestFit="1" customWidth="1"/>
    <col min="3849" max="3850" width="13.28515625" style="171" bestFit="1" customWidth="1"/>
    <col min="3851" max="3851" width="16.85546875" style="171" bestFit="1" customWidth="1"/>
    <col min="3852" max="3852" width="13" style="171" bestFit="1" customWidth="1"/>
    <col min="3853" max="3853" width="11.28515625" style="171" bestFit="1" customWidth="1"/>
    <col min="3854" max="3854" width="8.28515625" style="171" bestFit="1" customWidth="1"/>
    <col min="3855" max="4096" width="10.7109375" style="171"/>
    <col min="4097" max="4097" width="12.7109375" style="171" customWidth="1"/>
    <col min="4098" max="4098" width="13.7109375" style="171" bestFit="1" customWidth="1"/>
    <col min="4099" max="4099" width="16.140625" style="171" bestFit="1" customWidth="1"/>
    <col min="4100" max="4100" width="14.85546875" style="171" bestFit="1" customWidth="1"/>
    <col min="4101" max="4101" width="12.28515625" style="171" bestFit="1" customWidth="1"/>
    <col min="4102" max="4102" width="15.85546875" style="171" bestFit="1" customWidth="1"/>
    <col min="4103" max="4103" width="16.140625" style="171" bestFit="1" customWidth="1"/>
    <col min="4104" max="4104" width="13.42578125" style="171" bestFit="1" customWidth="1"/>
    <col min="4105" max="4106" width="13.28515625" style="171" bestFit="1" customWidth="1"/>
    <col min="4107" max="4107" width="16.85546875" style="171" bestFit="1" customWidth="1"/>
    <col min="4108" max="4108" width="13" style="171" bestFit="1" customWidth="1"/>
    <col min="4109" max="4109" width="11.28515625" style="171" bestFit="1" customWidth="1"/>
    <col min="4110" max="4110" width="8.28515625" style="171" bestFit="1" customWidth="1"/>
    <col min="4111" max="4352" width="10.7109375" style="171"/>
    <col min="4353" max="4353" width="12.7109375" style="171" customWidth="1"/>
    <col min="4354" max="4354" width="13.7109375" style="171" bestFit="1" customWidth="1"/>
    <col min="4355" max="4355" width="16.140625" style="171" bestFit="1" customWidth="1"/>
    <col min="4356" max="4356" width="14.85546875" style="171" bestFit="1" customWidth="1"/>
    <col min="4357" max="4357" width="12.28515625" style="171" bestFit="1" customWidth="1"/>
    <col min="4358" max="4358" width="15.85546875" style="171" bestFit="1" customWidth="1"/>
    <col min="4359" max="4359" width="16.140625" style="171" bestFit="1" customWidth="1"/>
    <col min="4360" max="4360" width="13.42578125" style="171" bestFit="1" customWidth="1"/>
    <col min="4361" max="4362" width="13.28515625" style="171" bestFit="1" customWidth="1"/>
    <col min="4363" max="4363" width="16.85546875" style="171" bestFit="1" customWidth="1"/>
    <col min="4364" max="4364" width="13" style="171" bestFit="1" customWidth="1"/>
    <col min="4365" max="4365" width="11.28515625" style="171" bestFit="1" customWidth="1"/>
    <col min="4366" max="4366" width="8.28515625" style="171" bestFit="1" customWidth="1"/>
    <col min="4367" max="4608" width="10.7109375" style="171"/>
    <col min="4609" max="4609" width="12.7109375" style="171" customWidth="1"/>
    <col min="4610" max="4610" width="13.7109375" style="171" bestFit="1" customWidth="1"/>
    <col min="4611" max="4611" width="16.140625" style="171" bestFit="1" customWidth="1"/>
    <col min="4612" max="4612" width="14.85546875" style="171" bestFit="1" customWidth="1"/>
    <col min="4613" max="4613" width="12.28515625" style="171" bestFit="1" customWidth="1"/>
    <col min="4614" max="4614" width="15.85546875" style="171" bestFit="1" customWidth="1"/>
    <col min="4615" max="4615" width="16.140625" style="171" bestFit="1" customWidth="1"/>
    <col min="4616" max="4616" width="13.42578125" style="171" bestFit="1" customWidth="1"/>
    <col min="4617" max="4618" width="13.28515625" style="171" bestFit="1" customWidth="1"/>
    <col min="4619" max="4619" width="16.85546875" style="171" bestFit="1" customWidth="1"/>
    <col min="4620" max="4620" width="13" style="171" bestFit="1" customWidth="1"/>
    <col min="4621" max="4621" width="11.28515625" style="171" bestFit="1" customWidth="1"/>
    <col min="4622" max="4622" width="8.28515625" style="171" bestFit="1" customWidth="1"/>
    <col min="4623" max="4864" width="10.7109375" style="171"/>
    <col min="4865" max="4865" width="12.7109375" style="171" customWidth="1"/>
    <col min="4866" max="4866" width="13.7109375" style="171" bestFit="1" customWidth="1"/>
    <col min="4867" max="4867" width="16.140625" style="171" bestFit="1" customWidth="1"/>
    <col min="4868" max="4868" width="14.85546875" style="171" bestFit="1" customWidth="1"/>
    <col min="4869" max="4869" width="12.28515625" style="171" bestFit="1" customWidth="1"/>
    <col min="4870" max="4870" width="15.85546875" style="171" bestFit="1" customWidth="1"/>
    <col min="4871" max="4871" width="16.140625" style="171" bestFit="1" customWidth="1"/>
    <col min="4872" max="4872" width="13.42578125" style="171" bestFit="1" customWidth="1"/>
    <col min="4873" max="4874" width="13.28515625" style="171" bestFit="1" customWidth="1"/>
    <col min="4875" max="4875" width="16.85546875" style="171" bestFit="1" customWidth="1"/>
    <col min="4876" max="4876" width="13" style="171" bestFit="1" customWidth="1"/>
    <col min="4877" max="4877" width="11.28515625" style="171" bestFit="1" customWidth="1"/>
    <col min="4878" max="4878" width="8.28515625" style="171" bestFit="1" customWidth="1"/>
    <col min="4879" max="5120" width="10.7109375" style="171"/>
    <col min="5121" max="5121" width="12.7109375" style="171" customWidth="1"/>
    <col min="5122" max="5122" width="13.7109375" style="171" bestFit="1" customWidth="1"/>
    <col min="5123" max="5123" width="16.140625" style="171" bestFit="1" customWidth="1"/>
    <col min="5124" max="5124" width="14.85546875" style="171" bestFit="1" customWidth="1"/>
    <col min="5125" max="5125" width="12.28515625" style="171" bestFit="1" customWidth="1"/>
    <col min="5126" max="5126" width="15.85546875" style="171" bestFit="1" customWidth="1"/>
    <col min="5127" max="5127" width="16.140625" style="171" bestFit="1" customWidth="1"/>
    <col min="5128" max="5128" width="13.42578125" style="171" bestFit="1" customWidth="1"/>
    <col min="5129" max="5130" width="13.28515625" style="171" bestFit="1" customWidth="1"/>
    <col min="5131" max="5131" width="16.85546875" style="171" bestFit="1" customWidth="1"/>
    <col min="5132" max="5132" width="13" style="171" bestFit="1" customWidth="1"/>
    <col min="5133" max="5133" width="11.28515625" style="171" bestFit="1" customWidth="1"/>
    <col min="5134" max="5134" width="8.28515625" style="171" bestFit="1" customWidth="1"/>
    <col min="5135" max="5376" width="10.7109375" style="171"/>
    <col min="5377" max="5377" width="12.7109375" style="171" customWidth="1"/>
    <col min="5378" max="5378" width="13.7109375" style="171" bestFit="1" customWidth="1"/>
    <col min="5379" max="5379" width="16.140625" style="171" bestFit="1" customWidth="1"/>
    <col min="5380" max="5380" width="14.85546875" style="171" bestFit="1" customWidth="1"/>
    <col min="5381" max="5381" width="12.28515625" style="171" bestFit="1" customWidth="1"/>
    <col min="5382" max="5382" width="15.85546875" style="171" bestFit="1" customWidth="1"/>
    <col min="5383" max="5383" width="16.140625" style="171" bestFit="1" customWidth="1"/>
    <col min="5384" max="5384" width="13.42578125" style="171" bestFit="1" customWidth="1"/>
    <col min="5385" max="5386" width="13.28515625" style="171" bestFit="1" customWidth="1"/>
    <col min="5387" max="5387" width="16.85546875" style="171" bestFit="1" customWidth="1"/>
    <col min="5388" max="5388" width="13" style="171" bestFit="1" customWidth="1"/>
    <col min="5389" max="5389" width="11.28515625" style="171" bestFit="1" customWidth="1"/>
    <col min="5390" max="5390" width="8.28515625" style="171" bestFit="1" customWidth="1"/>
    <col min="5391" max="5632" width="10.7109375" style="171"/>
    <col min="5633" max="5633" width="12.7109375" style="171" customWidth="1"/>
    <col min="5634" max="5634" width="13.7109375" style="171" bestFit="1" customWidth="1"/>
    <col min="5635" max="5635" width="16.140625" style="171" bestFit="1" customWidth="1"/>
    <col min="5636" max="5636" width="14.85546875" style="171" bestFit="1" customWidth="1"/>
    <col min="5637" max="5637" width="12.28515625" style="171" bestFit="1" customWidth="1"/>
    <col min="5638" max="5638" width="15.85546875" style="171" bestFit="1" customWidth="1"/>
    <col min="5639" max="5639" width="16.140625" style="171" bestFit="1" customWidth="1"/>
    <col min="5640" max="5640" width="13.42578125" style="171" bestFit="1" customWidth="1"/>
    <col min="5641" max="5642" width="13.28515625" style="171" bestFit="1" customWidth="1"/>
    <col min="5643" max="5643" width="16.85546875" style="171" bestFit="1" customWidth="1"/>
    <col min="5644" max="5644" width="13" style="171" bestFit="1" customWidth="1"/>
    <col min="5645" max="5645" width="11.28515625" style="171" bestFit="1" customWidth="1"/>
    <col min="5646" max="5646" width="8.28515625" style="171" bestFit="1" customWidth="1"/>
    <col min="5647" max="5888" width="10.7109375" style="171"/>
    <col min="5889" max="5889" width="12.7109375" style="171" customWidth="1"/>
    <col min="5890" max="5890" width="13.7109375" style="171" bestFit="1" customWidth="1"/>
    <col min="5891" max="5891" width="16.140625" style="171" bestFit="1" customWidth="1"/>
    <col min="5892" max="5892" width="14.85546875" style="171" bestFit="1" customWidth="1"/>
    <col min="5893" max="5893" width="12.28515625" style="171" bestFit="1" customWidth="1"/>
    <col min="5894" max="5894" width="15.85546875" style="171" bestFit="1" customWidth="1"/>
    <col min="5895" max="5895" width="16.140625" style="171" bestFit="1" customWidth="1"/>
    <col min="5896" max="5896" width="13.42578125" style="171" bestFit="1" customWidth="1"/>
    <col min="5897" max="5898" width="13.28515625" style="171" bestFit="1" customWidth="1"/>
    <col min="5899" max="5899" width="16.85546875" style="171" bestFit="1" customWidth="1"/>
    <col min="5900" max="5900" width="13" style="171" bestFit="1" customWidth="1"/>
    <col min="5901" max="5901" width="11.28515625" style="171" bestFit="1" customWidth="1"/>
    <col min="5902" max="5902" width="8.28515625" style="171" bestFit="1" customWidth="1"/>
    <col min="5903" max="6144" width="10.7109375" style="171"/>
    <col min="6145" max="6145" width="12.7109375" style="171" customWidth="1"/>
    <col min="6146" max="6146" width="13.7109375" style="171" bestFit="1" customWidth="1"/>
    <col min="6147" max="6147" width="16.140625" style="171" bestFit="1" customWidth="1"/>
    <col min="6148" max="6148" width="14.85546875" style="171" bestFit="1" customWidth="1"/>
    <col min="6149" max="6149" width="12.28515625" style="171" bestFit="1" customWidth="1"/>
    <col min="6150" max="6150" width="15.85546875" style="171" bestFit="1" customWidth="1"/>
    <col min="6151" max="6151" width="16.140625" style="171" bestFit="1" customWidth="1"/>
    <col min="6152" max="6152" width="13.42578125" style="171" bestFit="1" customWidth="1"/>
    <col min="6153" max="6154" width="13.28515625" style="171" bestFit="1" customWidth="1"/>
    <col min="6155" max="6155" width="16.85546875" style="171" bestFit="1" customWidth="1"/>
    <col min="6156" max="6156" width="13" style="171" bestFit="1" customWidth="1"/>
    <col min="6157" max="6157" width="11.28515625" style="171" bestFit="1" customWidth="1"/>
    <col min="6158" max="6158" width="8.28515625" style="171" bestFit="1" customWidth="1"/>
    <col min="6159" max="6400" width="10.7109375" style="171"/>
    <col min="6401" max="6401" width="12.7109375" style="171" customWidth="1"/>
    <col min="6402" max="6402" width="13.7109375" style="171" bestFit="1" customWidth="1"/>
    <col min="6403" max="6403" width="16.140625" style="171" bestFit="1" customWidth="1"/>
    <col min="6404" max="6404" width="14.85546875" style="171" bestFit="1" customWidth="1"/>
    <col min="6405" max="6405" width="12.28515625" style="171" bestFit="1" customWidth="1"/>
    <col min="6406" max="6406" width="15.85546875" style="171" bestFit="1" customWidth="1"/>
    <col min="6407" max="6407" width="16.140625" style="171" bestFit="1" customWidth="1"/>
    <col min="6408" max="6408" width="13.42578125" style="171" bestFit="1" customWidth="1"/>
    <col min="6409" max="6410" width="13.28515625" style="171" bestFit="1" customWidth="1"/>
    <col min="6411" max="6411" width="16.85546875" style="171" bestFit="1" customWidth="1"/>
    <col min="6412" max="6412" width="13" style="171" bestFit="1" customWidth="1"/>
    <col min="6413" max="6413" width="11.28515625" style="171" bestFit="1" customWidth="1"/>
    <col min="6414" max="6414" width="8.28515625" style="171" bestFit="1" customWidth="1"/>
    <col min="6415" max="6656" width="10.7109375" style="171"/>
    <col min="6657" max="6657" width="12.7109375" style="171" customWidth="1"/>
    <col min="6658" max="6658" width="13.7109375" style="171" bestFit="1" customWidth="1"/>
    <col min="6659" max="6659" width="16.140625" style="171" bestFit="1" customWidth="1"/>
    <col min="6660" max="6660" width="14.85546875" style="171" bestFit="1" customWidth="1"/>
    <col min="6661" max="6661" width="12.28515625" style="171" bestFit="1" customWidth="1"/>
    <col min="6662" max="6662" width="15.85546875" style="171" bestFit="1" customWidth="1"/>
    <col min="6663" max="6663" width="16.140625" style="171" bestFit="1" customWidth="1"/>
    <col min="6664" max="6664" width="13.42578125" style="171" bestFit="1" customWidth="1"/>
    <col min="6665" max="6666" width="13.28515625" style="171" bestFit="1" customWidth="1"/>
    <col min="6667" max="6667" width="16.85546875" style="171" bestFit="1" customWidth="1"/>
    <col min="6668" max="6668" width="13" style="171" bestFit="1" customWidth="1"/>
    <col min="6669" max="6669" width="11.28515625" style="171" bestFit="1" customWidth="1"/>
    <col min="6670" max="6670" width="8.28515625" style="171" bestFit="1" customWidth="1"/>
    <col min="6671" max="6912" width="10.7109375" style="171"/>
    <col min="6913" max="6913" width="12.7109375" style="171" customWidth="1"/>
    <col min="6914" max="6914" width="13.7109375" style="171" bestFit="1" customWidth="1"/>
    <col min="6915" max="6915" width="16.140625" style="171" bestFit="1" customWidth="1"/>
    <col min="6916" max="6916" width="14.85546875" style="171" bestFit="1" customWidth="1"/>
    <col min="6917" max="6917" width="12.28515625" style="171" bestFit="1" customWidth="1"/>
    <col min="6918" max="6918" width="15.85546875" style="171" bestFit="1" customWidth="1"/>
    <col min="6919" max="6919" width="16.140625" style="171" bestFit="1" customWidth="1"/>
    <col min="6920" max="6920" width="13.42578125" style="171" bestFit="1" customWidth="1"/>
    <col min="6921" max="6922" width="13.28515625" style="171" bestFit="1" customWidth="1"/>
    <col min="6923" max="6923" width="16.85546875" style="171" bestFit="1" customWidth="1"/>
    <col min="6924" max="6924" width="13" style="171" bestFit="1" customWidth="1"/>
    <col min="6925" max="6925" width="11.28515625" style="171" bestFit="1" customWidth="1"/>
    <col min="6926" max="6926" width="8.28515625" style="171" bestFit="1" customWidth="1"/>
    <col min="6927" max="7168" width="10.7109375" style="171"/>
    <col min="7169" max="7169" width="12.7109375" style="171" customWidth="1"/>
    <col min="7170" max="7170" width="13.7109375" style="171" bestFit="1" customWidth="1"/>
    <col min="7171" max="7171" width="16.140625" style="171" bestFit="1" customWidth="1"/>
    <col min="7172" max="7172" width="14.85546875" style="171" bestFit="1" customWidth="1"/>
    <col min="7173" max="7173" width="12.28515625" style="171" bestFit="1" customWidth="1"/>
    <col min="7174" max="7174" width="15.85546875" style="171" bestFit="1" customWidth="1"/>
    <col min="7175" max="7175" width="16.140625" style="171" bestFit="1" customWidth="1"/>
    <col min="7176" max="7176" width="13.42578125" style="171" bestFit="1" customWidth="1"/>
    <col min="7177" max="7178" width="13.28515625" style="171" bestFit="1" customWidth="1"/>
    <col min="7179" max="7179" width="16.85546875" style="171" bestFit="1" customWidth="1"/>
    <col min="7180" max="7180" width="13" style="171" bestFit="1" customWidth="1"/>
    <col min="7181" max="7181" width="11.28515625" style="171" bestFit="1" customWidth="1"/>
    <col min="7182" max="7182" width="8.28515625" style="171" bestFit="1" customWidth="1"/>
    <col min="7183" max="7424" width="10.7109375" style="171"/>
    <col min="7425" max="7425" width="12.7109375" style="171" customWidth="1"/>
    <col min="7426" max="7426" width="13.7109375" style="171" bestFit="1" customWidth="1"/>
    <col min="7427" max="7427" width="16.140625" style="171" bestFit="1" customWidth="1"/>
    <col min="7428" max="7428" width="14.85546875" style="171" bestFit="1" customWidth="1"/>
    <col min="7429" max="7429" width="12.28515625" style="171" bestFit="1" customWidth="1"/>
    <col min="7430" max="7430" width="15.85546875" style="171" bestFit="1" customWidth="1"/>
    <col min="7431" max="7431" width="16.140625" style="171" bestFit="1" customWidth="1"/>
    <col min="7432" max="7432" width="13.42578125" style="171" bestFit="1" customWidth="1"/>
    <col min="7433" max="7434" width="13.28515625" style="171" bestFit="1" customWidth="1"/>
    <col min="7435" max="7435" width="16.85546875" style="171" bestFit="1" customWidth="1"/>
    <col min="7436" max="7436" width="13" style="171" bestFit="1" customWidth="1"/>
    <col min="7437" max="7437" width="11.28515625" style="171" bestFit="1" customWidth="1"/>
    <col min="7438" max="7438" width="8.28515625" style="171" bestFit="1" customWidth="1"/>
    <col min="7439" max="7680" width="10.7109375" style="171"/>
    <col min="7681" max="7681" width="12.7109375" style="171" customWidth="1"/>
    <col min="7682" max="7682" width="13.7109375" style="171" bestFit="1" customWidth="1"/>
    <col min="7683" max="7683" width="16.140625" style="171" bestFit="1" customWidth="1"/>
    <col min="7684" max="7684" width="14.85546875" style="171" bestFit="1" customWidth="1"/>
    <col min="7685" max="7685" width="12.28515625" style="171" bestFit="1" customWidth="1"/>
    <col min="7686" max="7686" width="15.85546875" style="171" bestFit="1" customWidth="1"/>
    <col min="7687" max="7687" width="16.140625" style="171" bestFit="1" customWidth="1"/>
    <col min="7688" max="7688" width="13.42578125" style="171" bestFit="1" customWidth="1"/>
    <col min="7689" max="7690" width="13.28515625" style="171" bestFit="1" customWidth="1"/>
    <col min="7691" max="7691" width="16.85546875" style="171" bestFit="1" customWidth="1"/>
    <col min="7692" max="7692" width="13" style="171" bestFit="1" customWidth="1"/>
    <col min="7693" max="7693" width="11.28515625" style="171" bestFit="1" customWidth="1"/>
    <col min="7694" max="7694" width="8.28515625" style="171" bestFit="1" customWidth="1"/>
    <col min="7695" max="7936" width="10.7109375" style="171"/>
    <col min="7937" max="7937" width="12.7109375" style="171" customWidth="1"/>
    <col min="7938" max="7938" width="13.7109375" style="171" bestFit="1" customWidth="1"/>
    <col min="7939" max="7939" width="16.140625" style="171" bestFit="1" customWidth="1"/>
    <col min="7940" max="7940" width="14.85546875" style="171" bestFit="1" customWidth="1"/>
    <col min="7941" max="7941" width="12.28515625" style="171" bestFit="1" customWidth="1"/>
    <col min="7942" max="7942" width="15.85546875" style="171" bestFit="1" customWidth="1"/>
    <col min="7943" max="7943" width="16.140625" style="171" bestFit="1" customWidth="1"/>
    <col min="7944" max="7944" width="13.42578125" style="171" bestFit="1" customWidth="1"/>
    <col min="7945" max="7946" width="13.28515625" style="171" bestFit="1" customWidth="1"/>
    <col min="7947" max="7947" width="16.85546875" style="171" bestFit="1" customWidth="1"/>
    <col min="7948" max="7948" width="13" style="171" bestFit="1" customWidth="1"/>
    <col min="7949" max="7949" width="11.28515625" style="171" bestFit="1" customWidth="1"/>
    <col min="7950" max="7950" width="8.28515625" style="171" bestFit="1" customWidth="1"/>
    <col min="7951" max="8192" width="10.7109375" style="171"/>
    <col min="8193" max="8193" width="12.7109375" style="171" customWidth="1"/>
    <col min="8194" max="8194" width="13.7109375" style="171" bestFit="1" customWidth="1"/>
    <col min="8195" max="8195" width="16.140625" style="171" bestFit="1" customWidth="1"/>
    <col min="8196" max="8196" width="14.85546875" style="171" bestFit="1" customWidth="1"/>
    <col min="8197" max="8197" width="12.28515625" style="171" bestFit="1" customWidth="1"/>
    <col min="8198" max="8198" width="15.85546875" style="171" bestFit="1" customWidth="1"/>
    <col min="8199" max="8199" width="16.140625" style="171" bestFit="1" customWidth="1"/>
    <col min="8200" max="8200" width="13.42578125" style="171" bestFit="1" customWidth="1"/>
    <col min="8201" max="8202" width="13.28515625" style="171" bestFit="1" customWidth="1"/>
    <col min="8203" max="8203" width="16.85546875" style="171" bestFit="1" customWidth="1"/>
    <col min="8204" max="8204" width="13" style="171" bestFit="1" customWidth="1"/>
    <col min="8205" max="8205" width="11.28515625" style="171" bestFit="1" customWidth="1"/>
    <col min="8206" max="8206" width="8.28515625" style="171" bestFit="1" customWidth="1"/>
    <col min="8207" max="8448" width="10.7109375" style="171"/>
    <col min="8449" max="8449" width="12.7109375" style="171" customWidth="1"/>
    <col min="8450" max="8450" width="13.7109375" style="171" bestFit="1" customWidth="1"/>
    <col min="8451" max="8451" width="16.140625" style="171" bestFit="1" customWidth="1"/>
    <col min="8452" max="8452" width="14.85546875" style="171" bestFit="1" customWidth="1"/>
    <col min="8453" max="8453" width="12.28515625" style="171" bestFit="1" customWidth="1"/>
    <col min="8454" max="8454" width="15.85546875" style="171" bestFit="1" customWidth="1"/>
    <col min="8455" max="8455" width="16.140625" style="171" bestFit="1" customWidth="1"/>
    <col min="8456" max="8456" width="13.42578125" style="171" bestFit="1" customWidth="1"/>
    <col min="8457" max="8458" width="13.28515625" style="171" bestFit="1" customWidth="1"/>
    <col min="8459" max="8459" width="16.85546875" style="171" bestFit="1" customWidth="1"/>
    <col min="8460" max="8460" width="13" style="171" bestFit="1" customWidth="1"/>
    <col min="8461" max="8461" width="11.28515625" style="171" bestFit="1" customWidth="1"/>
    <col min="8462" max="8462" width="8.28515625" style="171" bestFit="1" customWidth="1"/>
    <col min="8463" max="8704" width="10.7109375" style="171"/>
    <col min="8705" max="8705" width="12.7109375" style="171" customWidth="1"/>
    <col min="8706" max="8706" width="13.7109375" style="171" bestFit="1" customWidth="1"/>
    <col min="8707" max="8707" width="16.140625" style="171" bestFit="1" customWidth="1"/>
    <col min="8708" max="8708" width="14.85546875" style="171" bestFit="1" customWidth="1"/>
    <col min="8709" max="8709" width="12.28515625" style="171" bestFit="1" customWidth="1"/>
    <col min="8710" max="8710" width="15.85546875" style="171" bestFit="1" customWidth="1"/>
    <col min="8711" max="8711" width="16.140625" style="171" bestFit="1" customWidth="1"/>
    <col min="8712" max="8712" width="13.42578125" style="171" bestFit="1" customWidth="1"/>
    <col min="8713" max="8714" width="13.28515625" style="171" bestFit="1" customWidth="1"/>
    <col min="8715" max="8715" width="16.85546875" style="171" bestFit="1" customWidth="1"/>
    <col min="8716" max="8716" width="13" style="171" bestFit="1" customWidth="1"/>
    <col min="8717" max="8717" width="11.28515625" style="171" bestFit="1" customWidth="1"/>
    <col min="8718" max="8718" width="8.28515625" style="171" bestFit="1" customWidth="1"/>
    <col min="8719" max="8960" width="10.7109375" style="171"/>
    <col min="8961" max="8961" width="12.7109375" style="171" customWidth="1"/>
    <col min="8962" max="8962" width="13.7109375" style="171" bestFit="1" customWidth="1"/>
    <col min="8963" max="8963" width="16.140625" style="171" bestFit="1" customWidth="1"/>
    <col min="8964" max="8964" width="14.85546875" style="171" bestFit="1" customWidth="1"/>
    <col min="8965" max="8965" width="12.28515625" style="171" bestFit="1" customWidth="1"/>
    <col min="8966" max="8966" width="15.85546875" style="171" bestFit="1" customWidth="1"/>
    <col min="8967" max="8967" width="16.140625" style="171" bestFit="1" customWidth="1"/>
    <col min="8968" max="8968" width="13.42578125" style="171" bestFit="1" customWidth="1"/>
    <col min="8969" max="8970" width="13.28515625" style="171" bestFit="1" customWidth="1"/>
    <col min="8971" max="8971" width="16.85546875" style="171" bestFit="1" customWidth="1"/>
    <col min="8972" max="8972" width="13" style="171" bestFit="1" customWidth="1"/>
    <col min="8973" max="8973" width="11.28515625" style="171" bestFit="1" customWidth="1"/>
    <col min="8974" max="8974" width="8.28515625" style="171" bestFit="1" customWidth="1"/>
    <col min="8975" max="9216" width="10.7109375" style="171"/>
    <col min="9217" max="9217" width="12.7109375" style="171" customWidth="1"/>
    <col min="9218" max="9218" width="13.7109375" style="171" bestFit="1" customWidth="1"/>
    <col min="9219" max="9219" width="16.140625" style="171" bestFit="1" customWidth="1"/>
    <col min="9220" max="9220" width="14.85546875" style="171" bestFit="1" customWidth="1"/>
    <col min="9221" max="9221" width="12.28515625" style="171" bestFit="1" customWidth="1"/>
    <col min="9222" max="9222" width="15.85546875" style="171" bestFit="1" customWidth="1"/>
    <col min="9223" max="9223" width="16.140625" style="171" bestFit="1" customWidth="1"/>
    <col min="9224" max="9224" width="13.42578125" style="171" bestFit="1" customWidth="1"/>
    <col min="9225" max="9226" width="13.28515625" style="171" bestFit="1" customWidth="1"/>
    <col min="9227" max="9227" width="16.85546875" style="171" bestFit="1" customWidth="1"/>
    <col min="9228" max="9228" width="13" style="171" bestFit="1" customWidth="1"/>
    <col min="9229" max="9229" width="11.28515625" style="171" bestFit="1" customWidth="1"/>
    <col min="9230" max="9230" width="8.28515625" style="171" bestFit="1" customWidth="1"/>
    <col min="9231" max="9472" width="10.7109375" style="171"/>
    <col min="9473" max="9473" width="12.7109375" style="171" customWidth="1"/>
    <col min="9474" max="9474" width="13.7109375" style="171" bestFit="1" customWidth="1"/>
    <col min="9475" max="9475" width="16.140625" style="171" bestFit="1" customWidth="1"/>
    <col min="9476" max="9476" width="14.85546875" style="171" bestFit="1" customWidth="1"/>
    <col min="9477" max="9477" width="12.28515625" style="171" bestFit="1" customWidth="1"/>
    <col min="9478" max="9478" width="15.85546875" style="171" bestFit="1" customWidth="1"/>
    <col min="9479" max="9479" width="16.140625" style="171" bestFit="1" customWidth="1"/>
    <col min="9480" max="9480" width="13.42578125" style="171" bestFit="1" customWidth="1"/>
    <col min="9481" max="9482" width="13.28515625" style="171" bestFit="1" customWidth="1"/>
    <col min="9483" max="9483" width="16.85546875" style="171" bestFit="1" customWidth="1"/>
    <col min="9484" max="9484" width="13" style="171" bestFit="1" customWidth="1"/>
    <col min="9485" max="9485" width="11.28515625" style="171" bestFit="1" customWidth="1"/>
    <col min="9486" max="9486" width="8.28515625" style="171" bestFit="1" customWidth="1"/>
    <col min="9487" max="9728" width="10.7109375" style="171"/>
    <col min="9729" max="9729" width="12.7109375" style="171" customWidth="1"/>
    <col min="9730" max="9730" width="13.7109375" style="171" bestFit="1" customWidth="1"/>
    <col min="9731" max="9731" width="16.140625" style="171" bestFit="1" customWidth="1"/>
    <col min="9732" max="9732" width="14.85546875" style="171" bestFit="1" customWidth="1"/>
    <col min="9733" max="9733" width="12.28515625" style="171" bestFit="1" customWidth="1"/>
    <col min="9734" max="9734" width="15.85546875" style="171" bestFit="1" customWidth="1"/>
    <col min="9735" max="9735" width="16.140625" style="171" bestFit="1" customWidth="1"/>
    <col min="9736" max="9736" width="13.42578125" style="171" bestFit="1" customWidth="1"/>
    <col min="9737" max="9738" width="13.28515625" style="171" bestFit="1" customWidth="1"/>
    <col min="9739" max="9739" width="16.85546875" style="171" bestFit="1" customWidth="1"/>
    <col min="9740" max="9740" width="13" style="171" bestFit="1" customWidth="1"/>
    <col min="9741" max="9741" width="11.28515625" style="171" bestFit="1" customWidth="1"/>
    <col min="9742" max="9742" width="8.28515625" style="171" bestFit="1" customWidth="1"/>
    <col min="9743" max="9984" width="10.7109375" style="171"/>
    <col min="9985" max="9985" width="12.7109375" style="171" customWidth="1"/>
    <col min="9986" max="9986" width="13.7109375" style="171" bestFit="1" customWidth="1"/>
    <col min="9987" max="9987" width="16.140625" style="171" bestFit="1" customWidth="1"/>
    <col min="9988" max="9988" width="14.85546875" style="171" bestFit="1" customWidth="1"/>
    <col min="9989" max="9989" width="12.28515625" style="171" bestFit="1" customWidth="1"/>
    <col min="9990" max="9990" width="15.85546875" style="171" bestFit="1" customWidth="1"/>
    <col min="9991" max="9991" width="16.140625" style="171" bestFit="1" customWidth="1"/>
    <col min="9992" max="9992" width="13.42578125" style="171" bestFit="1" customWidth="1"/>
    <col min="9993" max="9994" width="13.28515625" style="171" bestFit="1" customWidth="1"/>
    <col min="9995" max="9995" width="16.85546875" style="171" bestFit="1" customWidth="1"/>
    <col min="9996" max="9996" width="13" style="171" bestFit="1" customWidth="1"/>
    <col min="9997" max="9997" width="11.28515625" style="171" bestFit="1" customWidth="1"/>
    <col min="9998" max="9998" width="8.28515625" style="171" bestFit="1" customWidth="1"/>
    <col min="9999" max="10240" width="10.7109375" style="171"/>
    <col min="10241" max="10241" width="12.7109375" style="171" customWidth="1"/>
    <col min="10242" max="10242" width="13.7109375" style="171" bestFit="1" customWidth="1"/>
    <col min="10243" max="10243" width="16.140625" style="171" bestFit="1" customWidth="1"/>
    <col min="10244" max="10244" width="14.85546875" style="171" bestFit="1" customWidth="1"/>
    <col min="10245" max="10245" width="12.28515625" style="171" bestFit="1" customWidth="1"/>
    <col min="10246" max="10246" width="15.85546875" style="171" bestFit="1" customWidth="1"/>
    <col min="10247" max="10247" width="16.140625" style="171" bestFit="1" customWidth="1"/>
    <col min="10248" max="10248" width="13.42578125" style="171" bestFit="1" customWidth="1"/>
    <col min="10249" max="10250" width="13.28515625" style="171" bestFit="1" customWidth="1"/>
    <col min="10251" max="10251" width="16.85546875" style="171" bestFit="1" customWidth="1"/>
    <col min="10252" max="10252" width="13" style="171" bestFit="1" customWidth="1"/>
    <col min="10253" max="10253" width="11.28515625" style="171" bestFit="1" customWidth="1"/>
    <col min="10254" max="10254" width="8.28515625" style="171" bestFit="1" customWidth="1"/>
    <col min="10255" max="10496" width="10.7109375" style="171"/>
    <col min="10497" max="10497" width="12.7109375" style="171" customWidth="1"/>
    <col min="10498" max="10498" width="13.7109375" style="171" bestFit="1" customWidth="1"/>
    <col min="10499" max="10499" width="16.140625" style="171" bestFit="1" customWidth="1"/>
    <col min="10500" max="10500" width="14.85546875" style="171" bestFit="1" customWidth="1"/>
    <col min="10501" max="10501" width="12.28515625" style="171" bestFit="1" customWidth="1"/>
    <col min="10502" max="10502" width="15.85546875" style="171" bestFit="1" customWidth="1"/>
    <col min="10503" max="10503" width="16.140625" style="171" bestFit="1" customWidth="1"/>
    <col min="10504" max="10504" width="13.42578125" style="171" bestFit="1" customWidth="1"/>
    <col min="10505" max="10506" width="13.28515625" style="171" bestFit="1" customWidth="1"/>
    <col min="10507" max="10507" width="16.85546875" style="171" bestFit="1" customWidth="1"/>
    <col min="10508" max="10508" width="13" style="171" bestFit="1" customWidth="1"/>
    <col min="10509" max="10509" width="11.28515625" style="171" bestFit="1" customWidth="1"/>
    <col min="10510" max="10510" width="8.28515625" style="171" bestFit="1" customWidth="1"/>
    <col min="10511" max="10752" width="10.7109375" style="171"/>
    <col min="10753" max="10753" width="12.7109375" style="171" customWidth="1"/>
    <col min="10754" max="10754" width="13.7109375" style="171" bestFit="1" customWidth="1"/>
    <col min="10755" max="10755" width="16.140625" style="171" bestFit="1" customWidth="1"/>
    <col min="10756" max="10756" width="14.85546875" style="171" bestFit="1" customWidth="1"/>
    <col min="10757" max="10757" width="12.28515625" style="171" bestFit="1" customWidth="1"/>
    <col min="10758" max="10758" width="15.85546875" style="171" bestFit="1" customWidth="1"/>
    <col min="10759" max="10759" width="16.140625" style="171" bestFit="1" customWidth="1"/>
    <col min="10760" max="10760" width="13.42578125" style="171" bestFit="1" customWidth="1"/>
    <col min="10761" max="10762" width="13.28515625" style="171" bestFit="1" customWidth="1"/>
    <col min="10763" max="10763" width="16.85546875" style="171" bestFit="1" customWidth="1"/>
    <col min="10764" max="10764" width="13" style="171" bestFit="1" customWidth="1"/>
    <col min="10765" max="10765" width="11.28515625" style="171" bestFit="1" customWidth="1"/>
    <col min="10766" max="10766" width="8.28515625" style="171" bestFit="1" customWidth="1"/>
    <col min="10767" max="11008" width="10.7109375" style="171"/>
    <col min="11009" max="11009" width="12.7109375" style="171" customWidth="1"/>
    <col min="11010" max="11010" width="13.7109375" style="171" bestFit="1" customWidth="1"/>
    <col min="11011" max="11011" width="16.140625" style="171" bestFit="1" customWidth="1"/>
    <col min="11012" max="11012" width="14.85546875" style="171" bestFit="1" customWidth="1"/>
    <col min="11013" max="11013" width="12.28515625" style="171" bestFit="1" customWidth="1"/>
    <col min="11014" max="11014" width="15.85546875" style="171" bestFit="1" customWidth="1"/>
    <col min="11015" max="11015" width="16.140625" style="171" bestFit="1" customWidth="1"/>
    <col min="11016" max="11016" width="13.42578125" style="171" bestFit="1" customWidth="1"/>
    <col min="11017" max="11018" width="13.28515625" style="171" bestFit="1" customWidth="1"/>
    <col min="11019" max="11019" width="16.85546875" style="171" bestFit="1" customWidth="1"/>
    <col min="11020" max="11020" width="13" style="171" bestFit="1" customWidth="1"/>
    <col min="11021" max="11021" width="11.28515625" style="171" bestFit="1" customWidth="1"/>
    <col min="11022" max="11022" width="8.28515625" style="171" bestFit="1" customWidth="1"/>
    <col min="11023" max="11264" width="10.7109375" style="171"/>
    <col min="11265" max="11265" width="12.7109375" style="171" customWidth="1"/>
    <col min="11266" max="11266" width="13.7109375" style="171" bestFit="1" customWidth="1"/>
    <col min="11267" max="11267" width="16.140625" style="171" bestFit="1" customWidth="1"/>
    <col min="11268" max="11268" width="14.85546875" style="171" bestFit="1" customWidth="1"/>
    <col min="11269" max="11269" width="12.28515625" style="171" bestFit="1" customWidth="1"/>
    <col min="11270" max="11270" width="15.85546875" style="171" bestFit="1" customWidth="1"/>
    <col min="11271" max="11271" width="16.140625" style="171" bestFit="1" customWidth="1"/>
    <col min="11272" max="11272" width="13.42578125" style="171" bestFit="1" customWidth="1"/>
    <col min="11273" max="11274" width="13.28515625" style="171" bestFit="1" customWidth="1"/>
    <col min="11275" max="11275" width="16.85546875" style="171" bestFit="1" customWidth="1"/>
    <col min="11276" max="11276" width="13" style="171" bestFit="1" customWidth="1"/>
    <col min="11277" max="11277" width="11.28515625" style="171" bestFit="1" customWidth="1"/>
    <col min="11278" max="11278" width="8.28515625" style="171" bestFit="1" customWidth="1"/>
    <col min="11279" max="11520" width="10.7109375" style="171"/>
    <col min="11521" max="11521" width="12.7109375" style="171" customWidth="1"/>
    <col min="11522" max="11522" width="13.7109375" style="171" bestFit="1" customWidth="1"/>
    <col min="11523" max="11523" width="16.140625" style="171" bestFit="1" customWidth="1"/>
    <col min="11524" max="11524" width="14.85546875" style="171" bestFit="1" customWidth="1"/>
    <col min="11525" max="11525" width="12.28515625" style="171" bestFit="1" customWidth="1"/>
    <col min="11526" max="11526" width="15.85546875" style="171" bestFit="1" customWidth="1"/>
    <col min="11527" max="11527" width="16.140625" style="171" bestFit="1" customWidth="1"/>
    <col min="11528" max="11528" width="13.42578125" style="171" bestFit="1" customWidth="1"/>
    <col min="11529" max="11530" width="13.28515625" style="171" bestFit="1" customWidth="1"/>
    <col min="11531" max="11531" width="16.85546875" style="171" bestFit="1" customWidth="1"/>
    <col min="11532" max="11532" width="13" style="171" bestFit="1" customWidth="1"/>
    <col min="11533" max="11533" width="11.28515625" style="171" bestFit="1" customWidth="1"/>
    <col min="11534" max="11534" width="8.28515625" style="171" bestFit="1" customWidth="1"/>
    <col min="11535" max="11776" width="10.7109375" style="171"/>
    <col min="11777" max="11777" width="12.7109375" style="171" customWidth="1"/>
    <col min="11778" max="11778" width="13.7109375" style="171" bestFit="1" customWidth="1"/>
    <col min="11779" max="11779" width="16.140625" style="171" bestFit="1" customWidth="1"/>
    <col min="11780" max="11780" width="14.85546875" style="171" bestFit="1" customWidth="1"/>
    <col min="11781" max="11781" width="12.28515625" style="171" bestFit="1" customWidth="1"/>
    <col min="11782" max="11782" width="15.85546875" style="171" bestFit="1" customWidth="1"/>
    <col min="11783" max="11783" width="16.140625" style="171" bestFit="1" customWidth="1"/>
    <col min="11784" max="11784" width="13.42578125" style="171" bestFit="1" customWidth="1"/>
    <col min="11785" max="11786" width="13.28515625" style="171" bestFit="1" customWidth="1"/>
    <col min="11787" max="11787" width="16.85546875" style="171" bestFit="1" customWidth="1"/>
    <col min="11788" max="11788" width="13" style="171" bestFit="1" customWidth="1"/>
    <col min="11789" max="11789" width="11.28515625" style="171" bestFit="1" customWidth="1"/>
    <col min="11790" max="11790" width="8.28515625" style="171" bestFit="1" customWidth="1"/>
    <col min="11791" max="12032" width="10.7109375" style="171"/>
    <col min="12033" max="12033" width="12.7109375" style="171" customWidth="1"/>
    <col min="12034" max="12034" width="13.7109375" style="171" bestFit="1" customWidth="1"/>
    <col min="12035" max="12035" width="16.140625" style="171" bestFit="1" customWidth="1"/>
    <col min="12036" max="12036" width="14.85546875" style="171" bestFit="1" customWidth="1"/>
    <col min="12037" max="12037" width="12.28515625" style="171" bestFit="1" customWidth="1"/>
    <col min="12038" max="12038" width="15.85546875" style="171" bestFit="1" customWidth="1"/>
    <col min="12039" max="12039" width="16.140625" style="171" bestFit="1" customWidth="1"/>
    <col min="12040" max="12040" width="13.42578125" style="171" bestFit="1" customWidth="1"/>
    <col min="12041" max="12042" width="13.28515625" style="171" bestFit="1" customWidth="1"/>
    <col min="12043" max="12043" width="16.85546875" style="171" bestFit="1" customWidth="1"/>
    <col min="12044" max="12044" width="13" style="171" bestFit="1" customWidth="1"/>
    <col min="12045" max="12045" width="11.28515625" style="171" bestFit="1" customWidth="1"/>
    <col min="12046" max="12046" width="8.28515625" style="171" bestFit="1" customWidth="1"/>
    <col min="12047" max="12288" width="10.7109375" style="171"/>
    <col min="12289" max="12289" width="12.7109375" style="171" customWidth="1"/>
    <col min="12290" max="12290" width="13.7109375" style="171" bestFit="1" customWidth="1"/>
    <col min="12291" max="12291" width="16.140625" style="171" bestFit="1" customWidth="1"/>
    <col min="12292" max="12292" width="14.85546875" style="171" bestFit="1" customWidth="1"/>
    <col min="12293" max="12293" width="12.28515625" style="171" bestFit="1" customWidth="1"/>
    <col min="12294" max="12294" width="15.85546875" style="171" bestFit="1" customWidth="1"/>
    <col min="12295" max="12295" width="16.140625" style="171" bestFit="1" customWidth="1"/>
    <col min="12296" max="12296" width="13.42578125" style="171" bestFit="1" customWidth="1"/>
    <col min="12297" max="12298" width="13.28515625" style="171" bestFit="1" customWidth="1"/>
    <col min="12299" max="12299" width="16.85546875" style="171" bestFit="1" customWidth="1"/>
    <col min="12300" max="12300" width="13" style="171" bestFit="1" customWidth="1"/>
    <col min="12301" max="12301" width="11.28515625" style="171" bestFit="1" customWidth="1"/>
    <col min="12302" max="12302" width="8.28515625" style="171" bestFit="1" customWidth="1"/>
    <col min="12303" max="12544" width="10.7109375" style="171"/>
    <col min="12545" max="12545" width="12.7109375" style="171" customWidth="1"/>
    <col min="12546" max="12546" width="13.7109375" style="171" bestFit="1" customWidth="1"/>
    <col min="12547" max="12547" width="16.140625" style="171" bestFit="1" customWidth="1"/>
    <col min="12548" max="12548" width="14.85546875" style="171" bestFit="1" customWidth="1"/>
    <col min="12549" max="12549" width="12.28515625" style="171" bestFit="1" customWidth="1"/>
    <col min="12550" max="12550" width="15.85546875" style="171" bestFit="1" customWidth="1"/>
    <col min="12551" max="12551" width="16.140625" style="171" bestFit="1" customWidth="1"/>
    <col min="12552" max="12552" width="13.42578125" style="171" bestFit="1" customWidth="1"/>
    <col min="12553" max="12554" width="13.28515625" style="171" bestFit="1" customWidth="1"/>
    <col min="12555" max="12555" width="16.85546875" style="171" bestFit="1" customWidth="1"/>
    <col min="12556" max="12556" width="13" style="171" bestFit="1" customWidth="1"/>
    <col min="12557" max="12557" width="11.28515625" style="171" bestFit="1" customWidth="1"/>
    <col min="12558" max="12558" width="8.28515625" style="171" bestFit="1" customWidth="1"/>
    <col min="12559" max="12800" width="10.7109375" style="171"/>
    <col min="12801" max="12801" width="12.7109375" style="171" customWidth="1"/>
    <col min="12802" max="12802" width="13.7109375" style="171" bestFit="1" customWidth="1"/>
    <col min="12803" max="12803" width="16.140625" style="171" bestFit="1" customWidth="1"/>
    <col min="12804" max="12804" width="14.85546875" style="171" bestFit="1" customWidth="1"/>
    <col min="12805" max="12805" width="12.28515625" style="171" bestFit="1" customWidth="1"/>
    <col min="12806" max="12806" width="15.85546875" style="171" bestFit="1" customWidth="1"/>
    <col min="12807" max="12807" width="16.140625" style="171" bestFit="1" customWidth="1"/>
    <col min="12808" max="12808" width="13.42578125" style="171" bestFit="1" customWidth="1"/>
    <col min="12809" max="12810" width="13.28515625" style="171" bestFit="1" customWidth="1"/>
    <col min="12811" max="12811" width="16.85546875" style="171" bestFit="1" customWidth="1"/>
    <col min="12812" max="12812" width="13" style="171" bestFit="1" customWidth="1"/>
    <col min="12813" max="12813" width="11.28515625" style="171" bestFit="1" customWidth="1"/>
    <col min="12814" max="12814" width="8.28515625" style="171" bestFit="1" customWidth="1"/>
    <col min="12815" max="13056" width="10.7109375" style="171"/>
    <col min="13057" max="13057" width="12.7109375" style="171" customWidth="1"/>
    <col min="13058" max="13058" width="13.7109375" style="171" bestFit="1" customWidth="1"/>
    <col min="13059" max="13059" width="16.140625" style="171" bestFit="1" customWidth="1"/>
    <col min="13060" max="13060" width="14.85546875" style="171" bestFit="1" customWidth="1"/>
    <col min="13061" max="13061" width="12.28515625" style="171" bestFit="1" customWidth="1"/>
    <col min="13062" max="13062" width="15.85546875" style="171" bestFit="1" customWidth="1"/>
    <col min="13063" max="13063" width="16.140625" style="171" bestFit="1" customWidth="1"/>
    <col min="13064" max="13064" width="13.42578125" style="171" bestFit="1" customWidth="1"/>
    <col min="13065" max="13066" width="13.28515625" style="171" bestFit="1" customWidth="1"/>
    <col min="13067" max="13067" width="16.85546875" style="171" bestFit="1" customWidth="1"/>
    <col min="13068" max="13068" width="13" style="171" bestFit="1" customWidth="1"/>
    <col min="13069" max="13069" width="11.28515625" style="171" bestFit="1" customWidth="1"/>
    <col min="13070" max="13070" width="8.28515625" style="171" bestFit="1" customWidth="1"/>
    <col min="13071" max="13312" width="10.7109375" style="171"/>
    <col min="13313" max="13313" width="12.7109375" style="171" customWidth="1"/>
    <col min="13314" max="13314" width="13.7109375" style="171" bestFit="1" customWidth="1"/>
    <col min="13315" max="13315" width="16.140625" style="171" bestFit="1" customWidth="1"/>
    <col min="13316" max="13316" width="14.85546875" style="171" bestFit="1" customWidth="1"/>
    <col min="13317" max="13317" width="12.28515625" style="171" bestFit="1" customWidth="1"/>
    <col min="13318" max="13318" width="15.85546875" style="171" bestFit="1" customWidth="1"/>
    <col min="13319" max="13319" width="16.140625" style="171" bestFit="1" customWidth="1"/>
    <col min="13320" max="13320" width="13.42578125" style="171" bestFit="1" customWidth="1"/>
    <col min="13321" max="13322" width="13.28515625" style="171" bestFit="1" customWidth="1"/>
    <col min="13323" max="13323" width="16.85546875" style="171" bestFit="1" customWidth="1"/>
    <col min="13324" max="13324" width="13" style="171" bestFit="1" customWidth="1"/>
    <col min="13325" max="13325" width="11.28515625" style="171" bestFit="1" customWidth="1"/>
    <col min="13326" max="13326" width="8.28515625" style="171" bestFit="1" customWidth="1"/>
    <col min="13327" max="13568" width="10.7109375" style="171"/>
    <col min="13569" max="13569" width="12.7109375" style="171" customWidth="1"/>
    <col min="13570" max="13570" width="13.7109375" style="171" bestFit="1" customWidth="1"/>
    <col min="13571" max="13571" width="16.140625" style="171" bestFit="1" customWidth="1"/>
    <col min="13572" max="13572" width="14.85546875" style="171" bestFit="1" customWidth="1"/>
    <col min="13573" max="13573" width="12.28515625" style="171" bestFit="1" customWidth="1"/>
    <col min="13574" max="13574" width="15.85546875" style="171" bestFit="1" customWidth="1"/>
    <col min="13575" max="13575" width="16.140625" style="171" bestFit="1" customWidth="1"/>
    <col min="13576" max="13576" width="13.42578125" style="171" bestFit="1" customWidth="1"/>
    <col min="13577" max="13578" width="13.28515625" style="171" bestFit="1" customWidth="1"/>
    <col min="13579" max="13579" width="16.85546875" style="171" bestFit="1" customWidth="1"/>
    <col min="13580" max="13580" width="13" style="171" bestFit="1" customWidth="1"/>
    <col min="13581" max="13581" width="11.28515625" style="171" bestFit="1" customWidth="1"/>
    <col min="13582" max="13582" width="8.28515625" style="171" bestFit="1" customWidth="1"/>
    <col min="13583" max="13824" width="10.7109375" style="171"/>
    <col min="13825" max="13825" width="12.7109375" style="171" customWidth="1"/>
    <col min="13826" max="13826" width="13.7109375" style="171" bestFit="1" customWidth="1"/>
    <col min="13827" max="13827" width="16.140625" style="171" bestFit="1" customWidth="1"/>
    <col min="13828" max="13828" width="14.85546875" style="171" bestFit="1" customWidth="1"/>
    <col min="13829" max="13829" width="12.28515625" style="171" bestFit="1" customWidth="1"/>
    <col min="13830" max="13830" width="15.85546875" style="171" bestFit="1" customWidth="1"/>
    <col min="13831" max="13831" width="16.140625" style="171" bestFit="1" customWidth="1"/>
    <col min="13832" max="13832" width="13.42578125" style="171" bestFit="1" customWidth="1"/>
    <col min="13833" max="13834" width="13.28515625" style="171" bestFit="1" customWidth="1"/>
    <col min="13835" max="13835" width="16.85546875" style="171" bestFit="1" customWidth="1"/>
    <col min="13836" max="13836" width="13" style="171" bestFit="1" customWidth="1"/>
    <col min="13837" max="13837" width="11.28515625" style="171" bestFit="1" customWidth="1"/>
    <col min="13838" max="13838" width="8.28515625" style="171" bestFit="1" customWidth="1"/>
    <col min="13839" max="14080" width="10.7109375" style="171"/>
    <col min="14081" max="14081" width="12.7109375" style="171" customWidth="1"/>
    <col min="14082" max="14082" width="13.7109375" style="171" bestFit="1" customWidth="1"/>
    <col min="14083" max="14083" width="16.140625" style="171" bestFit="1" customWidth="1"/>
    <col min="14084" max="14084" width="14.85546875" style="171" bestFit="1" customWidth="1"/>
    <col min="14085" max="14085" width="12.28515625" style="171" bestFit="1" customWidth="1"/>
    <col min="14086" max="14086" width="15.85546875" style="171" bestFit="1" customWidth="1"/>
    <col min="14087" max="14087" width="16.140625" style="171" bestFit="1" customWidth="1"/>
    <col min="14088" max="14088" width="13.42578125" style="171" bestFit="1" customWidth="1"/>
    <col min="14089" max="14090" width="13.28515625" style="171" bestFit="1" customWidth="1"/>
    <col min="14091" max="14091" width="16.85546875" style="171" bestFit="1" customWidth="1"/>
    <col min="14092" max="14092" width="13" style="171" bestFit="1" customWidth="1"/>
    <col min="14093" max="14093" width="11.28515625" style="171" bestFit="1" customWidth="1"/>
    <col min="14094" max="14094" width="8.28515625" style="171" bestFit="1" customWidth="1"/>
    <col min="14095" max="14336" width="10.7109375" style="171"/>
    <col min="14337" max="14337" width="12.7109375" style="171" customWidth="1"/>
    <col min="14338" max="14338" width="13.7109375" style="171" bestFit="1" customWidth="1"/>
    <col min="14339" max="14339" width="16.140625" style="171" bestFit="1" customWidth="1"/>
    <col min="14340" max="14340" width="14.85546875" style="171" bestFit="1" customWidth="1"/>
    <col min="14341" max="14341" width="12.28515625" style="171" bestFit="1" customWidth="1"/>
    <col min="14342" max="14342" width="15.85546875" style="171" bestFit="1" customWidth="1"/>
    <col min="14343" max="14343" width="16.140625" style="171" bestFit="1" customWidth="1"/>
    <col min="14344" max="14344" width="13.42578125" style="171" bestFit="1" customWidth="1"/>
    <col min="14345" max="14346" width="13.28515625" style="171" bestFit="1" customWidth="1"/>
    <col min="14347" max="14347" width="16.85546875" style="171" bestFit="1" customWidth="1"/>
    <col min="14348" max="14348" width="13" style="171" bestFit="1" customWidth="1"/>
    <col min="14349" max="14349" width="11.28515625" style="171" bestFit="1" customWidth="1"/>
    <col min="14350" max="14350" width="8.28515625" style="171" bestFit="1" customWidth="1"/>
    <col min="14351" max="14592" width="10.7109375" style="171"/>
    <col min="14593" max="14593" width="12.7109375" style="171" customWidth="1"/>
    <col min="14594" max="14594" width="13.7109375" style="171" bestFit="1" customWidth="1"/>
    <col min="14595" max="14595" width="16.140625" style="171" bestFit="1" customWidth="1"/>
    <col min="14596" max="14596" width="14.85546875" style="171" bestFit="1" customWidth="1"/>
    <col min="14597" max="14597" width="12.28515625" style="171" bestFit="1" customWidth="1"/>
    <col min="14598" max="14598" width="15.85546875" style="171" bestFit="1" customWidth="1"/>
    <col min="14599" max="14599" width="16.140625" style="171" bestFit="1" customWidth="1"/>
    <col min="14600" max="14600" width="13.42578125" style="171" bestFit="1" customWidth="1"/>
    <col min="14601" max="14602" width="13.28515625" style="171" bestFit="1" customWidth="1"/>
    <col min="14603" max="14603" width="16.85546875" style="171" bestFit="1" customWidth="1"/>
    <col min="14604" max="14604" width="13" style="171" bestFit="1" customWidth="1"/>
    <col min="14605" max="14605" width="11.28515625" style="171" bestFit="1" customWidth="1"/>
    <col min="14606" max="14606" width="8.28515625" style="171" bestFit="1" customWidth="1"/>
    <col min="14607" max="14848" width="10.7109375" style="171"/>
    <col min="14849" max="14849" width="12.7109375" style="171" customWidth="1"/>
    <col min="14850" max="14850" width="13.7109375" style="171" bestFit="1" customWidth="1"/>
    <col min="14851" max="14851" width="16.140625" style="171" bestFit="1" customWidth="1"/>
    <col min="14852" max="14852" width="14.85546875" style="171" bestFit="1" customWidth="1"/>
    <col min="14853" max="14853" width="12.28515625" style="171" bestFit="1" customWidth="1"/>
    <col min="14854" max="14854" width="15.85546875" style="171" bestFit="1" customWidth="1"/>
    <col min="14855" max="14855" width="16.140625" style="171" bestFit="1" customWidth="1"/>
    <col min="14856" max="14856" width="13.42578125" style="171" bestFit="1" customWidth="1"/>
    <col min="14857" max="14858" width="13.28515625" style="171" bestFit="1" customWidth="1"/>
    <col min="14859" max="14859" width="16.85546875" style="171" bestFit="1" customWidth="1"/>
    <col min="14860" max="14860" width="13" style="171" bestFit="1" customWidth="1"/>
    <col min="14861" max="14861" width="11.28515625" style="171" bestFit="1" customWidth="1"/>
    <col min="14862" max="14862" width="8.28515625" style="171" bestFit="1" customWidth="1"/>
    <col min="14863" max="15104" width="10.7109375" style="171"/>
    <col min="15105" max="15105" width="12.7109375" style="171" customWidth="1"/>
    <col min="15106" max="15106" width="13.7109375" style="171" bestFit="1" customWidth="1"/>
    <col min="15107" max="15107" width="16.140625" style="171" bestFit="1" customWidth="1"/>
    <col min="15108" max="15108" width="14.85546875" style="171" bestFit="1" customWidth="1"/>
    <col min="15109" max="15109" width="12.28515625" style="171" bestFit="1" customWidth="1"/>
    <col min="15110" max="15110" width="15.85546875" style="171" bestFit="1" customWidth="1"/>
    <col min="15111" max="15111" width="16.140625" style="171" bestFit="1" customWidth="1"/>
    <col min="15112" max="15112" width="13.42578125" style="171" bestFit="1" customWidth="1"/>
    <col min="15113" max="15114" width="13.28515625" style="171" bestFit="1" customWidth="1"/>
    <col min="15115" max="15115" width="16.85546875" style="171" bestFit="1" customWidth="1"/>
    <col min="15116" max="15116" width="13" style="171" bestFit="1" customWidth="1"/>
    <col min="15117" max="15117" width="11.28515625" style="171" bestFit="1" customWidth="1"/>
    <col min="15118" max="15118" width="8.28515625" style="171" bestFit="1" customWidth="1"/>
    <col min="15119" max="15360" width="10.7109375" style="171"/>
    <col min="15361" max="15361" width="12.7109375" style="171" customWidth="1"/>
    <col min="15362" max="15362" width="13.7109375" style="171" bestFit="1" customWidth="1"/>
    <col min="15363" max="15363" width="16.140625" style="171" bestFit="1" customWidth="1"/>
    <col min="15364" max="15364" width="14.85546875" style="171" bestFit="1" customWidth="1"/>
    <col min="15365" max="15365" width="12.28515625" style="171" bestFit="1" customWidth="1"/>
    <col min="15366" max="15366" width="15.85546875" style="171" bestFit="1" customWidth="1"/>
    <col min="15367" max="15367" width="16.140625" style="171" bestFit="1" customWidth="1"/>
    <col min="15368" max="15368" width="13.42578125" style="171" bestFit="1" customWidth="1"/>
    <col min="15369" max="15370" width="13.28515625" style="171" bestFit="1" customWidth="1"/>
    <col min="15371" max="15371" width="16.85546875" style="171" bestFit="1" customWidth="1"/>
    <col min="15372" max="15372" width="13" style="171" bestFit="1" customWidth="1"/>
    <col min="15373" max="15373" width="11.28515625" style="171" bestFit="1" customWidth="1"/>
    <col min="15374" max="15374" width="8.28515625" style="171" bestFit="1" customWidth="1"/>
    <col min="15375" max="15616" width="10.7109375" style="171"/>
    <col min="15617" max="15617" width="12.7109375" style="171" customWidth="1"/>
    <col min="15618" max="15618" width="13.7109375" style="171" bestFit="1" customWidth="1"/>
    <col min="15619" max="15619" width="16.140625" style="171" bestFit="1" customWidth="1"/>
    <col min="15620" max="15620" width="14.85546875" style="171" bestFit="1" customWidth="1"/>
    <col min="15621" max="15621" width="12.28515625" style="171" bestFit="1" customWidth="1"/>
    <col min="15622" max="15622" width="15.85546875" style="171" bestFit="1" customWidth="1"/>
    <col min="15623" max="15623" width="16.140625" style="171" bestFit="1" customWidth="1"/>
    <col min="15624" max="15624" width="13.42578125" style="171" bestFit="1" customWidth="1"/>
    <col min="15625" max="15626" width="13.28515625" style="171" bestFit="1" customWidth="1"/>
    <col min="15627" max="15627" width="16.85546875" style="171" bestFit="1" customWidth="1"/>
    <col min="15628" max="15628" width="13" style="171" bestFit="1" customWidth="1"/>
    <col min="15629" max="15629" width="11.28515625" style="171" bestFit="1" customWidth="1"/>
    <col min="15630" max="15630" width="8.28515625" style="171" bestFit="1" customWidth="1"/>
    <col min="15631" max="15872" width="10.7109375" style="171"/>
    <col min="15873" max="15873" width="12.7109375" style="171" customWidth="1"/>
    <col min="15874" max="15874" width="13.7109375" style="171" bestFit="1" customWidth="1"/>
    <col min="15875" max="15875" width="16.140625" style="171" bestFit="1" customWidth="1"/>
    <col min="15876" max="15876" width="14.85546875" style="171" bestFit="1" customWidth="1"/>
    <col min="15877" max="15877" width="12.28515625" style="171" bestFit="1" customWidth="1"/>
    <col min="15878" max="15878" width="15.85546875" style="171" bestFit="1" customWidth="1"/>
    <col min="15879" max="15879" width="16.140625" style="171" bestFit="1" customWidth="1"/>
    <col min="15880" max="15880" width="13.42578125" style="171" bestFit="1" customWidth="1"/>
    <col min="15881" max="15882" width="13.28515625" style="171" bestFit="1" customWidth="1"/>
    <col min="15883" max="15883" width="16.85546875" style="171" bestFit="1" customWidth="1"/>
    <col min="15884" max="15884" width="13" style="171" bestFit="1" customWidth="1"/>
    <col min="15885" max="15885" width="11.28515625" style="171" bestFit="1" customWidth="1"/>
    <col min="15886" max="15886" width="8.28515625" style="171" bestFit="1" customWidth="1"/>
    <col min="15887" max="16128" width="10.7109375" style="171"/>
    <col min="16129" max="16129" width="12.7109375" style="171" customWidth="1"/>
    <col min="16130" max="16130" width="13.7109375" style="171" bestFit="1" customWidth="1"/>
    <col min="16131" max="16131" width="16.140625" style="171" bestFit="1" customWidth="1"/>
    <col min="16132" max="16132" width="14.85546875" style="171" bestFit="1" customWidth="1"/>
    <col min="16133" max="16133" width="12.28515625" style="171" bestFit="1" customWidth="1"/>
    <col min="16134" max="16134" width="15.85546875" style="171" bestFit="1" customWidth="1"/>
    <col min="16135" max="16135" width="16.140625" style="171" bestFit="1" customWidth="1"/>
    <col min="16136" max="16136" width="13.42578125" style="171" bestFit="1" customWidth="1"/>
    <col min="16137" max="16138" width="13.28515625" style="171" bestFit="1" customWidth="1"/>
    <col min="16139" max="16139" width="16.85546875" style="171" bestFit="1" customWidth="1"/>
    <col min="16140" max="16140" width="13" style="171" bestFit="1" customWidth="1"/>
    <col min="16141" max="16141" width="11.28515625" style="171" bestFit="1" customWidth="1"/>
    <col min="16142" max="16142" width="8.28515625" style="171" bestFit="1" customWidth="1"/>
    <col min="16143" max="16384" width="10.7109375" style="171"/>
  </cols>
  <sheetData>
    <row r="1" spans="1:14" ht="22.15" customHeight="1" x14ac:dyDescent="0.25">
      <c r="A1" s="71" t="s">
        <v>12</v>
      </c>
      <c r="B1" s="38">
        <f>[8]Input!B1</f>
        <v>2</v>
      </c>
      <c r="C1" s="38" t="str">
        <f>[8]Input!C1</f>
        <v>2018-2019</v>
      </c>
    </row>
    <row r="2" spans="1:14" ht="15" customHeight="1" x14ac:dyDescent="0.25">
      <c r="A2" s="172"/>
      <c r="B2" s="173" t="s">
        <v>171</v>
      </c>
      <c r="C2" s="174"/>
      <c r="D2" s="173" t="s">
        <v>15</v>
      </c>
      <c r="E2" s="175"/>
      <c r="F2" s="176" t="s">
        <v>172</v>
      </c>
      <c r="L2" s="139"/>
      <c r="M2" s="139"/>
      <c r="N2" s="139"/>
    </row>
    <row r="3" spans="1:14" ht="15" customHeight="1" x14ac:dyDescent="0.25">
      <c r="A3" s="177" t="s">
        <v>17</v>
      </c>
      <c r="B3" s="178">
        <f>[8]Input!B3</f>
        <v>51220.151770625169</v>
      </c>
      <c r="C3" s="179">
        <f>C4+C5</f>
        <v>1</v>
      </c>
      <c r="D3" s="180">
        <f>[8]Input!D3</f>
        <v>2349.39</v>
      </c>
      <c r="E3" s="179">
        <f>E4+E5</f>
        <v>1</v>
      </c>
      <c r="F3" s="181" t="s">
        <v>18</v>
      </c>
      <c r="H3" s="182" t="s">
        <v>19</v>
      </c>
      <c r="I3" s="183">
        <v>0.7</v>
      </c>
      <c r="J3" s="184">
        <f>I3*B3</f>
        <v>35854.106239437613</v>
      </c>
      <c r="K3" s="185" t="s">
        <v>173</v>
      </c>
      <c r="L3" s="186">
        <f>L54+L57</f>
        <v>35854.106239437613</v>
      </c>
      <c r="M3" s="187">
        <f>L3/(L4+L3)</f>
        <v>0.7</v>
      </c>
      <c r="N3" s="139"/>
    </row>
    <row r="4" spans="1:14" ht="15" customHeight="1" x14ac:dyDescent="0.25">
      <c r="A4" s="188" t="s">
        <v>20</v>
      </c>
      <c r="B4" s="189">
        <f>[8]Input!B4</f>
        <v>43806.034477544112</v>
      </c>
      <c r="C4" s="190">
        <f>B4/B3</f>
        <v>0.85524999366883825</v>
      </c>
      <c r="D4" s="191">
        <f>[8]Input!D4</f>
        <v>2079.9899999999998</v>
      </c>
      <c r="E4" s="190">
        <f>D4/D3</f>
        <v>0.88533193722625869</v>
      </c>
      <c r="F4" s="192">
        <f>[8]Input!F4</f>
        <v>21.060694752159442</v>
      </c>
      <c r="H4" s="182" t="s">
        <v>21</v>
      </c>
      <c r="I4" s="183">
        <v>0.3</v>
      </c>
      <c r="J4" s="184">
        <f>I4*B3</f>
        <v>15366.04553118755</v>
      </c>
      <c r="K4" s="185" t="s">
        <v>173</v>
      </c>
      <c r="L4" s="186">
        <f>L55+L58</f>
        <v>15366.045531187552</v>
      </c>
      <c r="M4" s="187">
        <f>L4/(L3+L4)</f>
        <v>0.30000000000000004</v>
      </c>
      <c r="N4" s="139"/>
    </row>
    <row r="5" spans="1:14" ht="15" customHeight="1" x14ac:dyDescent="0.25">
      <c r="A5" s="193" t="s">
        <v>22</v>
      </c>
      <c r="B5" s="194">
        <f>[8]Input!B5</f>
        <v>7414.117293081059</v>
      </c>
      <c r="C5" s="195">
        <f>B5/B3</f>
        <v>0.14475000633116175</v>
      </c>
      <c r="D5" s="196">
        <f>[8]Input!D5</f>
        <v>269.39999999999998</v>
      </c>
      <c r="E5" s="195">
        <f>D5/D3</f>
        <v>0.11466806277374127</v>
      </c>
      <c r="F5" s="197">
        <f>[8]Input!F5</f>
        <v>27.520851125022492</v>
      </c>
      <c r="L5" s="139"/>
      <c r="M5" s="139"/>
      <c r="N5" s="139"/>
    </row>
    <row r="6" spans="1:14" ht="15" customHeight="1" x14ac:dyDescent="0.25">
      <c r="B6" s="198"/>
    </row>
    <row r="7" spans="1:14" ht="15" customHeight="1" x14ac:dyDescent="0.25">
      <c r="A7" s="71" t="s">
        <v>174</v>
      </c>
      <c r="B7" s="178">
        <f>[8]Input!B7</f>
        <v>55642.054105485877</v>
      </c>
      <c r="C7" s="179">
        <f>[8]Input!C7</f>
        <v>1</v>
      </c>
      <c r="D7" s="180">
        <f>[8]Input!D7</f>
        <v>605.29999999999995</v>
      </c>
      <c r="E7" s="179">
        <f>[8]Input!E7</f>
        <v>1</v>
      </c>
      <c r="F7" s="199">
        <f>[8]Input!F7</f>
        <v>91.924754841377634</v>
      </c>
      <c r="G7" s="171" t="str">
        <f>[8]Input!G7</f>
        <v>(230 kV)</v>
      </c>
    </row>
    <row r="9" spans="1:14" ht="15" customHeight="1" x14ac:dyDescent="0.25">
      <c r="A9" s="200" t="s">
        <v>175</v>
      </c>
      <c r="B9" s="201" t="s">
        <v>176</v>
      </c>
      <c r="C9" s="202" t="s">
        <v>177</v>
      </c>
      <c r="D9" s="202" t="s">
        <v>178</v>
      </c>
      <c r="E9" s="202" t="s">
        <v>179</v>
      </c>
      <c r="F9" s="202" t="s">
        <v>180</v>
      </c>
      <c r="G9" s="202" t="s">
        <v>181</v>
      </c>
      <c r="H9" s="203" t="s">
        <v>182</v>
      </c>
      <c r="I9" s="203" t="s">
        <v>183</v>
      </c>
      <c r="J9" s="203" t="s">
        <v>184</v>
      </c>
      <c r="K9" s="203" t="s">
        <v>185</v>
      </c>
      <c r="L9" s="203" t="s">
        <v>186</v>
      </c>
      <c r="M9" s="204" t="s">
        <v>187</v>
      </c>
    </row>
    <row r="10" spans="1:14" ht="15" customHeight="1" x14ac:dyDescent="0.25">
      <c r="A10" s="205"/>
      <c r="B10" s="206" t="s">
        <v>188</v>
      </c>
      <c r="C10" s="207" t="s">
        <v>189</v>
      </c>
      <c r="D10" s="207" t="s">
        <v>190</v>
      </c>
      <c r="E10" s="207" t="s">
        <v>191</v>
      </c>
      <c r="F10" s="207" t="s">
        <v>192</v>
      </c>
      <c r="G10" s="207" t="s">
        <v>193</v>
      </c>
      <c r="H10" s="207" t="s">
        <v>194</v>
      </c>
      <c r="I10" s="207" t="s">
        <v>195</v>
      </c>
      <c r="J10" s="207" t="s">
        <v>196</v>
      </c>
      <c r="K10" s="207" t="s">
        <v>197</v>
      </c>
      <c r="L10" s="207" t="s">
        <v>198</v>
      </c>
      <c r="M10" s="208" t="s">
        <v>199</v>
      </c>
    </row>
    <row r="11" spans="1:14" ht="15" customHeight="1" x14ac:dyDescent="0.25">
      <c r="A11" s="200" t="s">
        <v>200</v>
      </c>
      <c r="B11" s="201" t="s">
        <v>201</v>
      </c>
      <c r="C11" s="202" t="s">
        <v>201</v>
      </c>
      <c r="D11" s="202" t="s">
        <v>201</v>
      </c>
      <c r="E11" s="202" t="s">
        <v>201</v>
      </c>
      <c r="F11" s="202" t="s">
        <v>201</v>
      </c>
      <c r="G11" s="202" t="s">
        <v>201</v>
      </c>
      <c r="H11" s="203" t="s">
        <v>202</v>
      </c>
      <c r="I11" s="203" t="s">
        <v>202</v>
      </c>
      <c r="J11" s="203" t="s">
        <v>202</v>
      </c>
      <c r="K11" s="203" t="s">
        <v>202</v>
      </c>
      <c r="L11" s="203" t="s">
        <v>202</v>
      </c>
      <c r="M11" s="204" t="s">
        <v>201</v>
      </c>
    </row>
    <row r="12" spans="1:14" ht="15" customHeight="1" x14ac:dyDescent="0.25">
      <c r="A12" s="209">
        <f>SUM(B12:M12)</f>
        <v>8760</v>
      </c>
      <c r="B12" s="210">
        <f>24*31</f>
        <v>744</v>
      </c>
      <c r="C12" s="211">
        <f>24*31</f>
        <v>744</v>
      </c>
      <c r="D12" s="211">
        <f>24*30</f>
        <v>720</v>
      </c>
      <c r="E12" s="211">
        <f>24*31</f>
        <v>744</v>
      </c>
      <c r="F12" s="211">
        <f>24*30</f>
        <v>720</v>
      </c>
      <c r="G12" s="211">
        <f>24*31</f>
        <v>744</v>
      </c>
      <c r="H12" s="211">
        <f>24*31</f>
        <v>744</v>
      </c>
      <c r="I12" s="211">
        <f>24*28</f>
        <v>672</v>
      </c>
      <c r="J12" s="211">
        <f>24*31</f>
        <v>744</v>
      </c>
      <c r="K12" s="211">
        <f>24*30</f>
        <v>720</v>
      </c>
      <c r="L12" s="211">
        <f>24*31</f>
        <v>744</v>
      </c>
      <c r="M12" s="212">
        <f>24*30</f>
        <v>720</v>
      </c>
      <c r="N12" s="213">
        <f>SUM(B12:M12)</f>
        <v>8760</v>
      </c>
    </row>
    <row r="13" spans="1:14" ht="15" customHeight="1" x14ac:dyDescent="0.25">
      <c r="A13" s="214" t="s">
        <v>203</v>
      </c>
      <c r="B13" s="188">
        <f>[9]M01!$H$13</f>
        <v>744</v>
      </c>
      <c r="C13" s="139">
        <f>[9]M02!$H$13</f>
        <v>744</v>
      </c>
      <c r="D13" s="139">
        <f>[9]M03!$H$13</f>
        <v>720</v>
      </c>
      <c r="E13" s="139">
        <f>[9]M04!$H$13</f>
        <v>744</v>
      </c>
      <c r="F13" s="139">
        <f>[9]M05!$H$13</f>
        <v>720</v>
      </c>
      <c r="G13" s="139">
        <f>[9]M06!$H$13</f>
        <v>744</v>
      </c>
      <c r="H13" s="139">
        <f>[9]M07!$H$13</f>
        <v>744</v>
      </c>
      <c r="I13" s="139">
        <f>[9]M08!$H$13</f>
        <v>672</v>
      </c>
      <c r="J13" s="139">
        <f>[9]M09!$H$13</f>
        <v>744</v>
      </c>
      <c r="K13" s="139">
        <f>[9]M10!$H$13</f>
        <v>720</v>
      </c>
      <c r="L13" s="139">
        <f>[9]M11!$H$13</f>
        <v>744</v>
      </c>
      <c r="M13" s="215">
        <f>[9]M12!$H$13</f>
        <v>720</v>
      </c>
      <c r="N13" s="213">
        <f>SUM(B13:M13)</f>
        <v>8760</v>
      </c>
    </row>
    <row r="14" spans="1:14" ht="15" customHeight="1" x14ac:dyDescent="0.25">
      <c r="A14" s="205" t="s">
        <v>204</v>
      </c>
      <c r="B14" s="216">
        <f>[9]M01!$I$13</f>
        <v>8.493150684931508E-2</v>
      </c>
      <c r="C14" s="217">
        <f>[9]M02!$I$13</f>
        <v>8.4931506849315067E-2</v>
      </c>
      <c r="D14" s="217">
        <f>[9]M03!$I$13</f>
        <v>8.2191780821917804E-2</v>
      </c>
      <c r="E14" s="217">
        <f>[9]M04!$I$13</f>
        <v>8.4931506849315067E-2</v>
      </c>
      <c r="F14" s="217">
        <f>[9]M05!$I$13</f>
        <v>8.2191780821917804E-2</v>
      </c>
      <c r="G14" s="217">
        <f>[9]M06!$I$13</f>
        <v>8.4931506849315067E-2</v>
      </c>
      <c r="H14" s="217">
        <f>[9]M07!$I$13</f>
        <v>8.4931506849315067E-2</v>
      </c>
      <c r="I14" s="217">
        <f>[9]M08!$I$13</f>
        <v>7.6712328767123292E-2</v>
      </c>
      <c r="J14" s="217">
        <f>[9]M09!$I$13</f>
        <v>8.4931506849315053E-2</v>
      </c>
      <c r="K14" s="217">
        <f>[9]M10!$I$13</f>
        <v>8.2191780821917804E-2</v>
      </c>
      <c r="L14" s="217">
        <f>[9]M11!$I$13</f>
        <v>8.493150684931508E-2</v>
      </c>
      <c r="M14" s="218">
        <f>[9]M12!$I$13</f>
        <v>8.2191780821917804E-2</v>
      </c>
      <c r="N14" s="219">
        <f>SUM(B14:M14)</f>
        <v>1</v>
      </c>
    </row>
    <row r="16" spans="1:14" ht="20.25" customHeight="1" x14ac:dyDescent="0.25">
      <c r="A16" s="220" t="s">
        <v>34</v>
      </c>
      <c r="B16" s="221">
        <v>1</v>
      </c>
      <c r="C16" s="221">
        <v>2</v>
      </c>
      <c r="D16" s="221">
        <v>3</v>
      </c>
      <c r="E16" s="221">
        <v>4</v>
      </c>
      <c r="F16" s="221">
        <v>5</v>
      </c>
      <c r="G16" s="221">
        <v>6</v>
      </c>
      <c r="H16" s="221">
        <v>7</v>
      </c>
      <c r="I16" s="221">
        <v>8</v>
      </c>
      <c r="J16" s="221">
        <v>9</v>
      </c>
      <c r="K16" s="222">
        <v>10</v>
      </c>
      <c r="L16" s="223" t="s">
        <v>3</v>
      </c>
    </row>
    <row r="17" spans="1:14" ht="25.15" customHeight="1" x14ac:dyDescent="0.25">
      <c r="A17" s="224" t="s">
        <v>205</v>
      </c>
      <c r="B17" s="225" t="s">
        <v>206</v>
      </c>
      <c r="C17" s="225" t="s">
        <v>207</v>
      </c>
      <c r="D17" s="225" t="s">
        <v>208</v>
      </c>
      <c r="E17" s="225" t="s">
        <v>209</v>
      </c>
      <c r="F17" s="225" t="s">
        <v>210</v>
      </c>
      <c r="G17" s="225" t="s">
        <v>211</v>
      </c>
      <c r="H17" s="225" t="s">
        <v>212</v>
      </c>
      <c r="I17" s="225" t="s">
        <v>213</v>
      </c>
      <c r="J17" s="225" t="s">
        <v>214</v>
      </c>
      <c r="K17" s="226" t="s">
        <v>215</v>
      </c>
      <c r="L17" s="227"/>
    </row>
    <row r="18" spans="1:14" ht="20.25" customHeight="1" x14ac:dyDescent="0.25">
      <c r="A18" s="228" t="s">
        <v>216</v>
      </c>
      <c r="L18" s="229"/>
    </row>
    <row r="19" spans="1:14" ht="15" customHeight="1" x14ac:dyDescent="0.25">
      <c r="A19" s="200" t="s">
        <v>217</v>
      </c>
      <c r="B19" s="230">
        <f>[8]Input!B11</f>
        <v>229.20000000000002</v>
      </c>
      <c r="C19" s="231">
        <f>[8]Input!C11</f>
        <v>537.79999999999995</v>
      </c>
      <c r="D19" s="231">
        <f>[8]Input!D11</f>
        <v>155.26999999999998</v>
      </c>
      <c r="E19" s="231">
        <f>[8]Input!E11</f>
        <v>375.70699999999999</v>
      </c>
      <c r="F19" s="231">
        <f>[8]Input!F11</f>
        <v>595.19000000000005</v>
      </c>
      <c r="G19" s="231">
        <f>[8]Input!G11</f>
        <v>147</v>
      </c>
      <c r="H19" s="231">
        <f>[8]Input!H11</f>
        <v>576.98</v>
      </c>
      <c r="I19" s="231">
        <f>[8]Input!I11</f>
        <v>260</v>
      </c>
      <c r="J19" s="231">
        <f>[8]Input!J11</f>
        <v>792.53</v>
      </c>
      <c r="K19" s="232">
        <f>[8]Input!K11</f>
        <v>252.17</v>
      </c>
      <c r="L19" s="233">
        <f>SUM(B19:K19)</f>
        <v>3921.8469999999998</v>
      </c>
    </row>
    <row r="20" spans="1:14" ht="15" customHeight="1" x14ac:dyDescent="0.25">
      <c r="A20" s="205" t="s">
        <v>31</v>
      </c>
      <c r="B20" s="234">
        <f>[8]Input!B12</f>
        <v>37.08</v>
      </c>
      <c r="C20" s="235">
        <f>[8]Input!C12</f>
        <v>0</v>
      </c>
      <c r="D20" s="235">
        <f>[8]Input!D12</f>
        <v>0.1</v>
      </c>
      <c r="E20" s="235">
        <f>[8]Input!E12</f>
        <v>106.42</v>
      </c>
      <c r="F20" s="235">
        <f>[8]Input!F12</f>
        <v>224.91983529537578</v>
      </c>
      <c r="G20" s="235">
        <f>[8]Input!G12</f>
        <v>160.70199929453995</v>
      </c>
      <c r="H20" s="235">
        <f>[8]Input!H12</f>
        <v>1035.1943582030553</v>
      </c>
      <c r="I20" s="235">
        <f>[8]Input!I12</f>
        <v>0</v>
      </c>
      <c r="J20" s="235">
        <f>[8]Input!J12</f>
        <v>139.75050338355615</v>
      </c>
      <c r="K20" s="236">
        <f>[8]Input!K12</f>
        <v>87.95</v>
      </c>
      <c r="L20" s="237">
        <f>SUM(B20:K20)</f>
        <v>1792.1166961765273</v>
      </c>
    </row>
    <row r="21" spans="1:14" ht="20.25" customHeight="1" x14ac:dyDescent="0.25">
      <c r="A21" s="228" t="s">
        <v>218</v>
      </c>
      <c r="L21" s="229"/>
    </row>
    <row r="22" spans="1:14" ht="15" customHeight="1" x14ac:dyDescent="0.25">
      <c r="A22" s="200" t="s">
        <v>219</v>
      </c>
      <c r="B22" s="230">
        <f>SUM([9]M01!B21*$B$14,[9]M02!B21*$C$14,[9]M03!B21*$D$14,[9]M04!B21*$E$14,[9]M05!B21*$F$14,[9]M06!B21*$G$14,[9]M07!B21*$H$14,[9]M08!B21*$I$14,[9]M09!B21*$J$14,[9]M10!B21*$K$14,[9]M11!B21*$L$14,[9]M12!B21*$M$14)/$N$14</f>
        <v>139.13849315068495</v>
      </c>
      <c r="C22" s="231">
        <f>SUM([9]M01!C21*$B$14,[9]M02!C21*$C$14,[9]M03!C21*$D$14,[9]M04!C21*$E$14,[9]M05!C21*$F$14,[9]M06!C21*$G$14,[9]M07!C21*$H$14,[9]M08!C21*$I$14,[9]M09!C21*$J$14,[9]M10!C21*$K$14,[9]M11!C21*$L$14,[9]M12!C21*$M$14)/$N$14</f>
        <v>171.58136986301366</v>
      </c>
      <c r="D22" s="231">
        <f>SUM([9]M01!D21*$B$14,[9]M02!D21*$C$14,[9]M03!D21*$D$14,[9]M04!D21*$E$14,[9]M05!D21*$F$14,[9]M06!D21*$G$14,[9]M07!D21*$H$14,[9]M08!D21*$I$14,[9]M09!D21*$J$14,[9]M10!D21*$K$14,[9]M11!D21*$L$14,[9]M12!D21*$M$14)/$N$14</f>
        <v>110.23917808219178</v>
      </c>
      <c r="E22" s="231">
        <f>SUM([9]M01!E21*$B$14,[9]M02!E21*$C$14,[9]M03!E21*$D$14,[9]M04!E21*$E$14,[9]M05!E21*$F$14,[9]M06!E21*$G$14,[9]M07!E21*$H$14,[9]M08!E21*$I$14,[9]M09!E21*$J$14,[9]M10!E21*$K$14,[9]M11!E21*$L$14,[9]M12!E21*$M$14)/$N$14</f>
        <v>243.80294520547943</v>
      </c>
      <c r="F22" s="231">
        <f>SUM([9]M01!F21*$B$14,[9]M02!F21*$C$14,[9]M03!F21*$D$14,[9]M04!F21*$E$14,[9]M05!F21*$F$14,[9]M06!F21*$G$14,[9]M07!F21*$H$14,[9]M08!F21*$I$14,[9]M09!F21*$J$14,[9]M10!F21*$K$14,[9]M11!F21*$L$14,[9]M12!F21*$M$14)/$N$14</f>
        <v>156.27803652968035</v>
      </c>
      <c r="G22" s="231">
        <f>SUM([9]M01!G21*$B$14,[9]M02!G21*$C$14,[9]M03!G21*$D$14,[9]M04!G21*$E$14,[9]M05!G21*$F$14,[9]M06!G21*$G$14,[9]M07!G21*$H$14,[9]M08!G21*$I$14,[9]M09!G21*$J$14,[9]M10!G21*$K$14,[9]M11!G21*$L$14,[9]M12!G21*$M$14)/$N$14</f>
        <v>0</v>
      </c>
      <c r="H22" s="231">
        <f>SUM([9]M01!H21*$B$14,[9]M02!H21*$C$14,[9]M03!H21*$D$14,[9]M04!H21*$E$14,[9]M05!H21*$F$14,[9]M06!H21*$G$14,[9]M07!H21*$H$14,[9]M08!H21*$I$14,[9]M09!H21*$J$14,[9]M10!H21*$K$14,[9]M11!H21*$L$14,[9]M12!H21*$M$14)/$N$14</f>
        <v>71.094503424657546</v>
      </c>
      <c r="I22" s="231">
        <f>SUM([9]M01!I21*$B$14,[9]M02!I21*$C$14,[9]M03!I21*$D$14,[9]M04!I21*$E$14,[9]M05!I21*$F$14,[9]M06!I21*$G$14,[9]M07!I21*$H$14,[9]M08!I21*$I$14,[9]M09!I21*$J$14,[9]M10!I21*$K$14,[9]M11!I21*$L$14,[9]M12!I21*$M$14)/$N$14</f>
        <v>92.396461187214626</v>
      </c>
      <c r="J22" s="231">
        <f>SUM([9]M01!J21*$B$14,[9]M02!J21*$C$14,[9]M03!J21*$D$14,[9]M04!J21*$E$14,[9]M05!J21*$F$14,[9]M06!J21*$G$14,[9]M07!J21*$H$14,[9]M08!J21*$I$14,[9]M09!J21*$J$14,[9]M10!J21*$K$14,[9]M11!J21*$L$14,[9]M12!J21*$M$14)/$N$14</f>
        <v>125.68023972602739</v>
      </c>
      <c r="K22" s="232">
        <f>SUM([9]M01!K21*$B$14,[9]M02!K21*$C$14,[9]M03!K21*$D$14,[9]M04!K21*$E$14,[9]M05!K21*$F$14,[9]M06!K21*$G$14,[9]M07!K21*$H$14,[9]M08!K21*$I$14,[9]M09!K21*$J$14,[9]M10!K21*$K$14,[9]M11!K21*$L$14,[9]M12!K21*$M$14)/$N$14</f>
        <v>170.39760273972601</v>
      </c>
      <c r="L22" s="233">
        <f>SUM(B22:K22)</f>
        <v>1280.6088299086757</v>
      </c>
    </row>
    <row r="23" spans="1:14" ht="15" customHeight="1" x14ac:dyDescent="0.25">
      <c r="A23" s="205" t="s">
        <v>220</v>
      </c>
      <c r="B23" s="234">
        <f>SUM([9]M01!B22*$B$14,[9]M02!B22*$C$14,[9]M03!B22*$D$14,[9]M04!B22*$E$14,[9]M05!B22*$F$14,[9]M06!B22*$G$14,[9]M07!B22*$H$14,[9]M08!B22*$I$14,[9]M09!B22*$J$14,[9]M10!B22*$K$14,[9]M11!B22*$L$14,[9]M12!B22*$M$14)/$N$14</f>
        <v>40.487317351598179</v>
      </c>
      <c r="C23" s="235">
        <f>SUM([9]M01!C22*$B$14,[9]M02!C22*$C$14,[9]M03!C22*$D$14,[9]M04!C22*$E$14,[9]M05!C22*$F$14,[9]M06!C22*$G$14,[9]M07!C22*$H$14,[9]M08!C22*$I$14,[9]M09!C22*$J$14,[9]M10!C22*$K$14,[9]M11!C22*$L$14,[9]M12!C22*$M$14)/$N$14</f>
        <v>0</v>
      </c>
      <c r="D23" s="235">
        <f>SUM([9]M01!D22*$B$14,[9]M02!D22*$C$14,[9]M03!D22*$D$14,[9]M04!D22*$E$14,[9]M05!D22*$F$14,[9]M06!D22*$G$14,[9]M07!D22*$H$14,[9]M08!D22*$I$14,[9]M09!D22*$J$14,[9]M10!D22*$K$14,[9]M11!D22*$L$14,[9]M12!D22*$M$14)/$N$14</f>
        <v>0.13222031963470318</v>
      </c>
      <c r="E23" s="235">
        <f>SUM([9]M01!E22*$B$14,[9]M02!E22*$C$14,[9]M03!E22*$D$14,[9]M04!E22*$E$14,[9]M05!E22*$F$14,[9]M06!E22*$G$14,[9]M07!E22*$H$14,[9]M08!E22*$I$14,[9]M09!E22*$J$14,[9]M10!E22*$K$14,[9]M11!E22*$L$14,[9]M12!E22*$M$14)/$N$14</f>
        <v>40.056438356164385</v>
      </c>
      <c r="F23" s="235">
        <f>SUM([9]M01!F22*$B$14,[9]M02!F22*$C$14,[9]M03!F22*$D$14,[9]M04!F22*$E$14,[9]M05!F22*$F$14,[9]M06!F22*$G$14,[9]M07!F22*$H$14,[9]M08!F22*$I$14,[9]M09!F22*$J$14,[9]M10!F22*$K$14,[9]M11!F22*$L$14,[9]M12!F22*$M$14)/$N$14</f>
        <v>176.59578767123287</v>
      </c>
      <c r="G23" s="235">
        <f>SUM([9]M01!G22*$B$14,[9]M02!G22*$C$14,[9]M03!G22*$D$14,[9]M04!G22*$E$14,[9]M05!G22*$F$14,[9]M06!G22*$G$14,[9]M07!G22*$H$14,[9]M08!G22*$I$14,[9]M09!G22*$J$14,[9]M10!G22*$K$14,[9]M11!G22*$L$14,[9]M12!G22*$M$14)/$N$14</f>
        <v>73.654469178082195</v>
      </c>
      <c r="H23" s="235">
        <f>SUM([9]M01!H22*$B$14,[9]M02!H22*$C$14,[9]M03!H22*$D$14,[9]M04!H22*$E$14,[9]M05!H22*$F$14,[9]M06!H22*$G$14,[9]M07!H22*$H$14,[9]M08!H22*$I$14,[9]M09!H22*$J$14,[9]M10!H22*$K$14,[9]M11!H22*$L$14,[9]M12!H22*$M$14)/$N$14</f>
        <v>775.92656392694073</v>
      </c>
      <c r="I23" s="235">
        <f>SUM([9]M01!I22*$B$14,[9]M02!I22*$C$14,[9]M03!I22*$D$14,[9]M04!I22*$E$14,[9]M05!I22*$F$14,[9]M06!I22*$G$14,[9]M07!I22*$H$14,[9]M08!I22*$I$14,[9]M09!I22*$J$14,[9]M10!I22*$K$14,[9]M11!I22*$L$14,[9]M12!I22*$M$14)/$N$14</f>
        <v>0</v>
      </c>
      <c r="J23" s="235">
        <f>SUM([9]M01!J22*$B$14,[9]M02!J22*$C$14,[9]M03!J22*$D$14,[9]M04!J22*$E$14,[9]M05!J22*$F$14,[9]M06!J22*$G$14,[9]M07!J22*$H$14,[9]M08!J22*$I$14,[9]M09!J22*$J$14,[9]M10!J22*$K$14,[9]M11!J22*$L$14,[9]M12!J22*$M$14)/$N$14</f>
        <v>161.21010273972604</v>
      </c>
      <c r="K23" s="236">
        <f>SUM([9]M01!K22*$B$14,[9]M02!K22*$C$14,[9]M03!K22*$D$14,[9]M04!K22*$E$14,[9]M05!K22*$F$14,[9]M06!K22*$G$14,[9]M07!K22*$H$14,[9]M08!K22*$I$14,[9]M09!K22*$J$14,[9]M10!K22*$K$14,[9]M11!K22*$L$14,[9]M12!K22*$M$14)/$N$14</f>
        <v>12.441198630136986</v>
      </c>
      <c r="L23" s="237">
        <f>SUM(B23:K23)</f>
        <v>1280.504098173516</v>
      </c>
    </row>
    <row r="24" spans="1:14" ht="20.25" customHeight="1" x14ac:dyDescent="0.25">
      <c r="A24" s="228" t="s">
        <v>221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29"/>
    </row>
    <row r="25" spans="1:14" ht="15" customHeight="1" x14ac:dyDescent="0.25">
      <c r="A25" s="200" t="s">
        <v>222</v>
      </c>
      <c r="B25" s="230">
        <f>SUM([9]M01!B24,[9]M02!B24,[9]M03!B24,[9]M04!B24,[9]M05!B24,[9]M06!B24,[9]M07!B24,[9]M08!B24,[9]M09!B24,[9]M10!B24,[9]M11!B24,[9]M12!B24)</f>
        <v>1218.8532</v>
      </c>
      <c r="C25" s="231">
        <f>SUM([9]M01!C24,[9]M02!C24,[9]M03!C24,[9]M04!C24,[9]M05!C24,[9]M06!C24,[9]M07!C24,[9]M08!C24,[9]M09!C24,[9]M10!C24,[9]M11!C24,[9]M12!C24)</f>
        <v>1503.0528000000002</v>
      </c>
      <c r="D25" s="231">
        <f>SUM([9]M01!D24,[9]M02!D24,[9]M03!D24,[9]M04!D24,[9]M05!D24,[9]M06!D24,[9]M07!D24,[9]M08!D24,[9]M09!D24,[9]M10!D24,[9]M11!D24,[9]M12!D24)</f>
        <v>965.69519999999977</v>
      </c>
      <c r="E25" s="231">
        <f>SUM([9]M01!E24,[9]M02!E24,[9]M03!E24,[9]M04!E24,[9]M05!E24,[9]M06!E24,[9]M07!E24,[9]M08!E24,[9]M09!E24,[9]M10!E24,[9]M11!E24,[9]M12!E24)</f>
        <v>2135.7138</v>
      </c>
      <c r="F25" s="231">
        <f>SUM([9]M01!F24,[9]M02!F24,[9]M03!F24,[9]M04!F24,[9]M05!F24,[9]M06!F24,[9]M07!F24,[9]M08!F24,[9]M09!F24,[9]M10!F24,[9]M11!F24,[9]M12!F24)</f>
        <v>1368.9956000000002</v>
      </c>
      <c r="G25" s="231">
        <f>SUM([9]M01!G24,[9]M02!G24,[9]M03!G24,[9]M04!G24,[9]M05!G24,[9]M06!G24,[9]M07!G24,[9]M08!G24,[9]M09!G24,[9]M10!G24,[9]M11!G24,[9]M12!G24)</f>
        <v>0</v>
      </c>
      <c r="H25" s="231">
        <f>SUM([9]M01!H24,[9]M02!H24,[9]M03!H24,[9]M04!H24,[9]M05!H24,[9]M06!H24,[9]M07!H24,[9]M08!H24,[9]M09!H24,[9]M10!H24,[9]M11!H24,[9]M12!H24)</f>
        <v>622.78785000000005</v>
      </c>
      <c r="I25" s="231">
        <f>SUM([9]M01!I24,[9]M02!I24,[9]M03!I24,[9]M04!I24,[9]M05!I24,[9]M06!I24,[9]M07!I24,[9]M08!I24,[9]M09!I24,[9]M10!I24,[9]M11!I24,[9]M12!I24)</f>
        <v>809.39300000000003</v>
      </c>
      <c r="J25" s="231">
        <f>SUM([9]M01!J24,[9]M02!J24,[9]M03!J24,[9]M04!J24,[9]M05!J24,[9]M06!J24,[9]M07!J24,[9]M08!J24,[9]M09!J24,[9]M10!J24,[9]M11!J24,[9]M12!J24)</f>
        <v>1100.9589000000001</v>
      </c>
      <c r="K25" s="232">
        <f>SUM([9]M01!K24,[9]M02!K24,[9]M03!K24,[9]M04!K24,[9]M05!K24,[9]M06!K24,[9]M07!K24,[9]M08!K24,[9]M09!K24,[9]M10!K24,[9]M11!K24,[9]M12!K24)</f>
        <v>1492.683</v>
      </c>
      <c r="L25" s="233">
        <f>SUM(B25:K25)</f>
        <v>11218.13335</v>
      </c>
    </row>
    <row r="26" spans="1:14" ht="15" customHeight="1" x14ac:dyDescent="0.25">
      <c r="A26" s="205" t="s">
        <v>223</v>
      </c>
      <c r="B26" s="234">
        <f>SUM([9]M01!B25,[9]M02!B25,[9]M03!B25,[9]M04!B25,[9]M05!B25,[9]M06!B25,[9]M07!B25,[9]M08!B25,[9]M09!B25,[9]M10!B25,[9]M11!B25,[9]M12!B25)</f>
        <v>354.66890000000006</v>
      </c>
      <c r="C26" s="235">
        <f>SUM([9]M01!C25,[9]M02!C25,[9]M03!C25,[9]M04!C25,[9]M05!C25,[9]M06!C25,[9]M07!C25,[9]M08!C25,[9]M09!C25,[9]M10!C25,[9]M11!C25,[9]M12!C25)</f>
        <v>0</v>
      </c>
      <c r="D26" s="235">
        <f>SUM([9]M01!D25,[9]M02!D25,[9]M03!D25,[9]M04!D25,[9]M05!D25,[9]M06!D25,[9]M07!D25,[9]M08!D25,[9]M09!D25,[9]M10!D25,[9]M11!D25,[9]M12!D25)</f>
        <v>1.15825</v>
      </c>
      <c r="E26" s="235">
        <f>SUM([9]M01!E25,[9]M02!E25,[9]M03!E25,[9]M04!E25,[9]M05!E25,[9]M06!E25,[9]M07!E25,[9]M08!E25,[9]M09!E25,[9]M10!E25,[9]M11!E25,[9]M12!E25)</f>
        <v>350.89440000000002</v>
      </c>
      <c r="F26" s="235">
        <f>SUM([9]M01!F25,[9]M02!F25,[9]M03!F25,[9]M04!F25,[9]M05!F25,[9]M06!F25,[9]M07!F25,[9]M08!F25,[9]M09!F25,[9]M10!F25,[9]M11!F25,[9]M12!F25)</f>
        <v>1546.9790999999998</v>
      </c>
      <c r="G26" s="235">
        <f>SUM([9]M01!G25,[9]M02!G25,[9]M03!G25,[9]M04!G25,[9]M05!G25,[9]M06!G25,[9]M07!G25,[9]M08!G25,[9]M09!G25,[9]M10!G25,[9]M11!G25,[9]M12!G25)</f>
        <v>645.21314999999993</v>
      </c>
      <c r="H26" s="235">
        <f>SUM([9]M01!H25,[9]M02!H25,[9]M03!H25,[9]M04!H25,[9]M05!H25,[9]M06!H25,[9]M07!H25,[9]M08!H25,[9]M09!H25,[9]M10!H25,[9]M11!H25,[9]M12!H25)</f>
        <v>6797.1167000000005</v>
      </c>
      <c r="I26" s="235">
        <f>SUM([9]M01!I25,[9]M02!I25,[9]M03!I25,[9]M04!I25,[9]M05!I25,[9]M06!I25,[9]M07!I25,[9]M08!I25,[9]M09!I25,[9]M10!I25,[9]M11!I25,[9]M12!I25)</f>
        <v>0</v>
      </c>
      <c r="J26" s="235">
        <f>SUM([9]M01!J25,[9]M02!J25,[9]M03!J25,[9]M04!J25,[9]M05!J25,[9]M06!J25,[9]M07!J25,[9]M08!J25,[9]M09!J25,[9]M10!J25,[9]M11!J25,[9]M12!J25)</f>
        <v>1412.2005000000001</v>
      </c>
      <c r="K26" s="236">
        <f>SUM([9]M01!K25,[9]M02!K25,[9]M03!K25,[9]M04!K25,[9]M05!K25,[9]M06!K25,[9]M07!K25,[9]M08!K25,[9]M09!K25,[9]M10!K25,[9]M11!K25,[9]M12!K25)</f>
        <v>108.9849</v>
      </c>
      <c r="L26" s="237">
        <f>SUM(B26:K26)</f>
        <v>11217.215900000001</v>
      </c>
    </row>
    <row r="27" spans="1:14" ht="9.9499999999999993" customHeight="1" x14ac:dyDescent="0.25">
      <c r="A27" s="1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40"/>
      <c r="N27" s="241"/>
    </row>
    <row r="28" spans="1:14" ht="20.25" customHeight="1" x14ac:dyDescent="0.25">
      <c r="A28" s="228" t="s">
        <v>224</v>
      </c>
      <c r="L28" s="229"/>
      <c r="N28" s="241"/>
    </row>
    <row r="29" spans="1:14" ht="15" customHeight="1" x14ac:dyDescent="0.25">
      <c r="A29" s="242" t="s">
        <v>5</v>
      </c>
      <c r="B29" s="243">
        <f>SUM([9]M01!B27*$B$14,[9]M02!B27*$C$14,[9]M03!B27*$D$14,[9]M04!B27*$E$14,[9]M05!B27*$F$14,[9]M06!B27*$G$14,[9]M07!B27*$H$14,[9]M08!B27*$I$14,[9]M09!B27*$J$14,[9]M10!B27*$K$14,[9]M11!B27*$L$14,[9]M12!B27*$M$14)/$N$14</f>
        <v>2.2830260277075327</v>
      </c>
      <c r="C29" s="244">
        <f>SUM([9]M01!C27*$B$14,[9]M02!C27*$C$14,[9]M03!C27*$D$14,[9]M04!C27*$E$14,[9]M05!C27*$F$14,[9]M06!C27*$G$14,[9]M07!C27*$H$14,[9]M08!C27*$I$14,[9]M09!C27*$J$14,[9]M10!C27*$K$14,[9]M11!C27*$L$14,[9]M12!C27*$M$14)/$N$14</f>
        <v>2.4204007548101223</v>
      </c>
      <c r="D29" s="244">
        <f>SUM([9]M01!D27*$B$14,[9]M02!D27*$C$14,[9]M03!D27*$D$14,[9]M04!D27*$E$14,[9]M05!D27*$F$14,[9]M06!D27*$G$14,[9]M07!D27*$H$14,[9]M08!D27*$I$14,[9]M09!D27*$J$14,[9]M10!D27*$K$14,[9]M11!D27*$L$14,[9]M12!D27*$M$14)/$N$14</f>
        <v>2.8422863983268631</v>
      </c>
      <c r="E29" s="244">
        <f>SUM([9]M01!E27*$B$14,[9]M02!E27*$C$14,[9]M03!E27*$D$14,[9]M04!E27*$E$14,[9]M05!E27*$F$14,[9]M06!E27*$G$14,[9]M07!E27*$H$14,[9]M08!E27*$I$14,[9]M09!E27*$J$14,[9]M10!E27*$K$14,[9]M11!E27*$L$14,[9]M12!E27*$M$14)/$N$14</f>
        <v>1.7989358745112671</v>
      </c>
      <c r="F29" s="244">
        <f>SUM([9]M01!F27*$B$14,[9]M02!F27*$C$14,[9]M03!F27*$D$14,[9]M04!F27*$E$14,[9]M05!F27*$F$14,[9]M06!F27*$G$14,[9]M07!F27*$H$14,[9]M08!F27*$I$14,[9]M09!F27*$J$14,[9]M10!F27*$K$14,[9]M11!F27*$L$14,[9]M12!F27*$M$14)/$N$14</f>
        <v>0.91456503256398691</v>
      </c>
      <c r="G29" s="244">
        <f>SUM([9]M01!G27*$B$14,[9]M02!G27*$C$14,[9]M03!G27*$D$14,[9]M04!G27*$E$14,[9]M05!G27*$F$14,[9]M06!G27*$G$14,[9]M07!G27*$H$14,[9]M08!G27*$I$14,[9]M09!G27*$J$14,[9]M10!G27*$K$14,[9]M11!G27*$L$14,[9]M12!G27*$M$14)/$N$14</f>
        <v>0</v>
      </c>
      <c r="H29" s="244">
        <f>SUM([9]M01!H27*$B$14,[9]M02!H27*$C$14,[9]M03!H27*$D$14,[9]M04!H27*$E$14,[9]M05!H27*$F$14,[9]M06!H27*$G$14,[9]M07!H27*$H$14,[9]M08!H27*$I$14,[9]M09!H27*$J$14,[9]M10!H27*$K$14,[9]M11!H27*$L$14,[9]M12!H27*$M$14)/$N$14</f>
        <v>0.12041383467370967</v>
      </c>
      <c r="I29" s="244">
        <f>SUM([9]M01!I27*$B$14,[9]M02!I27*$C$14,[9]M03!I27*$D$14,[9]M04!I27*$E$14,[9]M05!I27*$F$14,[9]M06!I27*$G$14,[9]M07!I27*$H$14,[9]M08!I27*$I$14,[9]M09!I27*$J$14,[9]M10!I27*$K$14,[9]M11!I27*$L$14,[9]M12!I27*$M$14)/$N$14</f>
        <v>1.187773685727048</v>
      </c>
      <c r="J29" s="244">
        <f>SUM([9]M01!J27*$B$14,[9]M02!J27*$C$14,[9]M03!J27*$D$14,[9]M04!J27*$E$14,[9]M05!J27*$F$14,[9]M06!J27*$G$14,[9]M07!J27*$H$14,[9]M08!J27*$I$14,[9]M09!J27*$J$14,[9]M10!J27*$K$14,[9]M11!J27*$L$14,[9]M12!J27*$M$14)/$N$14</f>
        <v>0.19288610447925905</v>
      </c>
      <c r="K29" s="245">
        <f>SUM([9]M01!K27*$B$14,[9]M02!K27*$C$14,[9]M03!K27*$D$14,[9]M04!K27*$E$14,[9]M05!K27*$F$14,[9]M06!K27*$G$14,[9]M07!K27*$H$14,[9]M08!K27*$I$14,[9]M09!K27*$J$14,[9]M10!K27*$K$14,[9]M11!K27*$L$14,[9]M12!K27*$M$14)/$N$14</f>
        <v>3.3329681271250524</v>
      </c>
      <c r="L29" s="229"/>
      <c r="N29" s="241"/>
    </row>
    <row r="30" spans="1:14" ht="15" customHeight="1" x14ac:dyDescent="0.25">
      <c r="A30" s="246" t="s">
        <v>225</v>
      </c>
      <c r="B30" s="247">
        <f>SUM([9]M01!B28*$B$14,[9]M02!B28*$C$14,[9]M03!B28*$D$14,[9]M04!B28*$E$14,[9]M05!B28*$F$14,[9]M06!B28*$G$14,[9]M07!B28*$H$14,[9]M08!B28*$I$14,[9]M09!B28*$J$14,[9]M10!B28*$K$14,[9]M11!B28*$L$14,[9]M12!B28*$M$14)/$N$14</f>
        <v>0</v>
      </c>
      <c r="C30" s="248">
        <f>SUM([9]M01!C28*$B$14,[9]M02!C28*$C$14,[9]M03!C28*$D$14,[9]M04!C28*$E$14,[9]M05!C28*$F$14,[9]M06!C28*$G$14,[9]M07!C28*$H$14,[9]M08!C28*$I$14,[9]M09!C28*$J$14,[9]M10!C28*$K$14,[9]M11!C28*$L$14,[9]M12!C28*$M$14)/$N$14</f>
        <v>0</v>
      </c>
      <c r="D30" s="248">
        <f>SUM([9]M01!D28*$B$14,[9]M02!D28*$C$14,[9]M03!D28*$D$14,[9]M04!D28*$E$14,[9]M05!D28*$F$14,[9]M06!D28*$G$14,[9]M07!D28*$H$14,[9]M08!D28*$I$14,[9]M09!D28*$J$14,[9]M10!D28*$K$14,[9]M11!D28*$L$14,[9]M12!D28*$M$14)/$N$14</f>
        <v>0</v>
      </c>
      <c r="E30" s="248">
        <f>SUM([9]M01!E28*$B$14,[9]M02!E28*$C$14,[9]M03!E28*$D$14,[9]M04!E28*$E$14,[9]M05!E28*$F$14,[9]M06!E28*$G$14,[9]M07!E28*$H$14,[9]M08!E28*$I$14,[9]M09!E28*$J$14,[9]M10!E28*$K$14,[9]M11!E28*$L$14,[9]M12!E28*$M$14)/$N$14</f>
        <v>0.22398525844466732</v>
      </c>
      <c r="F30" s="248">
        <f>SUM([9]M01!F28*$B$14,[9]M02!F28*$C$14,[9]M03!F28*$D$14,[9]M04!F28*$E$14,[9]M05!F28*$F$14,[9]M06!F28*$G$14,[9]M07!F28*$H$14,[9]M08!F28*$I$14,[9]M09!F28*$J$14,[9]M10!F28*$K$14,[9]M11!F28*$L$14,[9]M12!F28*$M$14)/$N$14</f>
        <v>0.70443815425667677</v>
      </c>
      <c r="G30" s="248">
        <f>SUM([9]M01!G28*$B$14,[9]M02!G28*$C$14,[9]M03!G28*$D$14,[9]M04!G28*$E$14,[9]M05!G28*$F$14,[9]M06!G28*$G$14,[9]M07!G28*$H$14,[9]M08!G28*$I$14,[9]M09!G28*$J$14,[9]M10!G28*$K$14,[9]M11!G28*$L$14,[9]M12!G28*$M$14)/$N$14</f>
        <v>0.95890315999318454</v>
      </c>
      <c r="H30" s="248">
        <f>SUM([9]M01!H28*$B$14,[9]M02!H28*$C$14,[9]M03!H28*$D$14,[9]M04!H28*$E$14,[9]M05!H28*$F$14,[9]M06!H28*$G$14,[9]M07!H28*$H$14,[9]M08!H28*$I$14,[9]M09!H28*$J$14,[9]M10!H28*$K$14,[9]M11!H28*$L$14,[9]M12!H28*$M$14)/$N$14</f>
        <v>0.8825660521562142</v>
      </c>
      <c r="I30" s="248">
        <f>SUM([9]M01!I28*$B$14,[9]M02!I28*$C$14,[9]M03!I28*$D$14,[9]M04!I28*$E$14,[9]M05!I28*$F$14,[9]M06!I28*$G$14,[9]M07!I28*$H$14,[9]M08!I28*$I$14,[9]M09!I28*$J$14,[9]M10!I28*$K$14,[9]M11!I28*$L$14,[9]M12!I28*$M$14)/$N$14</f>
        <v>0</v>
      </c>
      <c r="J30" s="248">
        <f>SUM([9]M01!J28*$B$14,[9]M02!J28*$C$14,[9]M03!J28*$D$14,[9]M04!J28*$E$14,[9]M05!J28*$F$14,[9]M06!J28*$G$14,[9]M07!J28*$H$14,[9]M08!J28*$I$14,[9]M09!J28*$J$14,[9]M10!J28*$K$14,[9]M11!J28*$L$14,[9]M12!J28*$M$14)/$N$14</f>
        <v>0.48105066431661292</v>
      </c>
      <c r="K30" s="249">
        <f>SUM([9]M01!K28*$B$14,[9]M02!K28*$C$14,[9]M03!K28*$D$14,[9]M04!K28*$E$14,[9]M05!K28*$F$14,[9]M06!K28*$G$14,[9]M07!K28*$H$14,[9]M08!K28*$I$14,[9]M09!K28*$J$14,[9]M10!K28*$K$14,[9]M11!K28*$L$14,[9]M12!K28*$M$14)/$N$14</f>
        <v>4.8063804456407927E-2</v>
      </c>
      <c r="L30" s="229"/>
      <c r="N30" s="241"/>
    </row>
    <row r="31" spans="1:14" ht="20.25" customHeight="1" x14ac:dyDescent="0.25">
      <c r="A31" s="228" t="s">
        <v>226</v>
      </c>
      <c r="L31" s="229"/>
      <c r="N31" s="241"/>
    </row>
    <row r="32" spans="1:14" ht="15" customHeight="1" x14ac:dyDescent="0.25">
      <c r="A32" s="250" t="s">
        <v>227</v>
      </c>
      <c r="B32" s="251">
        <f>SUM([9]M01!B30,[9]M02!B30,[9]M03!B30,[9]M04!B30,[9]M05!B30,[9]M06!B30,[9]M07!B30,[9]M08!B30,[9]M09!B30,[9]M10!B30,[9]M11!B30,[9]M12!B30)</f>
        <v>5.0972087874588805</v>
      </c>
      <c r="L32" s="229"/>
      <c r="N32" s="241"/>
    </row>
    <row r="33" spans="1:14" ht="15" customHeight="1" x14ac:dyDescent="0.25">
      <c r="A33" s="252" t="s">
        <v>228</v>
      </c>
      <c r="B33" s="253">
        <f>SUM([9]M01!B31,[9]M02!B31,[9]M03!B31,[9]M04!B31,[9]M05!B31,[9]M06!B31,[9]M07!B31,[9]M08!B31,[9]M09!B31,[9]M10!B31,[9]M11!B31,[9]M12!B31)</f>
        <v>3.9572393416213876</v>
      </c>
      <c r="L33" s="229"/>
      <c r="N33" s="241"/>
    </row>
    <row r="34" spans="1:14" ht="20.25" hidden="1" customHeight="1" x14ac:dyDescent="0.25">
      <c r="A34" s="228" t="s">
        <v>229</v>
      </c>
      <c r="L34" s="229"/>
      <c r="N34" s="241"/>
    </row>
    <row r="35" spans="1:14" ht="15" hidden="1" customHeight="1" x14ac:dyDescent="0.25">
      <c r="A35" s="250" t="s">
        <v>227</v>
      </c>
      <c r="B35" s="251" t="e">
        <f>SUM([9]M01!#REF!,[9]M02!#REF!,[9]M03!#REF!,[9]M04!#REF!,[9]M05!#REF!,[9]M06!#REF!,[9]M07!#REF!,[9]M08!#REF!,[9]M09!#REF!,[9]M10!#REF!,[9]M11!#REF!,[9]M12!#REF!)</f>
        <v>#REF!</v>
      </c>
      <c r="L35" s="229"/>
      <c r="N35" s="241"/>
    </row>
    <row r="36" spans="1:14" ht="15" hidden="1" customHeight="1" x14ac:dyDescent="0.25">
      <c r="A36" s="252" t="s">
        <v>228</v>
      </c>
      <c r="B36" s="253" t="e">
        <f>SUM([9]M01!#REF!,[9]M02!#REF!,[9]M03!#REF!,[9]M04!#REF!,[9]M05!#REF!,[9]M06!#REF!,[9]M07!#REF!,[9]M08!#REF!,[9]M09!#REF!,[9]M10!#REF!,[9]M11!#REF!,[9]M12!#REF!)</f>
        <v>#REF!</v>
      </c>
      <c r="L36" s="229"/>
      <c r="N36" s="241"/>
    </row>
    <row r="37" spans="1:14" ht="20.25" customHeight="1" x14ac:dyDescent="0.25">
      <c r="A37" s="228" t="s">
        <v>230</v>
      </c>
      <c r="L37" s="229"/>
      <c r="N37" s="241"/>
    </row>
    <row r="38" spans="1:14" ht="15" customHeight="1" x14ac:dyDescent="0.25">
      <c r="A38" s="254" t="s">
        <v>225</v>
      </c>
      <c r="B38" s="255">
        <f>SUM([9]M01!B33*$B$14,[9]M02!B33*$C$14,[9]M03!B33*$D$14,[9]M04!B33*$E$14,[9]M05!B33*$F$14,[9]M06!B33*$G$14,[9]M07!B33*$H$14,[9]M08!B33*$I$14,[9]M09!B33*$J$14,[9]M10!B33*$K$14,[9]M11!B33*$L$14,[9]M12!B33*$M$14)/$N$14</f>
        <v>0</v>
      </c>
      <c r="C38" s="256">
        <f>SUM([9]M01!C33*$B$14,[9]M02!C33*$C$14,[9]M03!C33*$D$14,[9]M04!C33*$E$14,[9]M05!C33*$F$14,[9]M06!C33*$G$14,[9]M07!C33*$H$14,[9]M08!C33*$I$14,[9]M09!C33*$J$14,[9]M10!C33*$K$14,[9]M11!C33*$L$14,[9]M12!C33*$M$14)/$N$14</f>
        <v>0</v>
      </c>
      <c r="D38" s="256">
        <f>SUM([9]M01!D33*$B$14,[9]M02!D33*$C$14,[9]M03!D33*$D$14,[9]M04!D33*$E$14,[9]M05!D33*$F$14,[9]M06!D33*$G$14,[9]M07!D33*$H$14,[9]M08!D33*$I$14,[9]M09!D33*$J$14,[9]M10!D33*$K$14,[9]M11!D33*$L$14,[9]M12!D33*$M$14)/$N$14</f>
        <v>0</v>
      </c>
      <c r="E38" s="256">
        <f>SUM([9]M01!E33*$B$14,[9]M02!E33*$C$14,[9]M03!E33*$D$14,[9]M04!E33*$E$14,[9]M05!E33*$F$14,[9]M06!E33*$G$14,[9]M07!E33*$H$14,[9]M08!E33*$I$14,[9]M09!E33*$J$14,[9]M10!E33*$K$14,[9]M11!E33*$L$14,[9]M12!E33*$M$14)/$N$14</f>
        <v>0</v>
      </c>
      <c r="F38" s="256">
        <f>SUM([9]M01!F33*$B$14,[9]M02!F33*$C$14,[9]M03!F33*$D$14,[9]M04!F33*$E$14,[9]M05!F33*$F$14,[9]M06!F33*$G$14,[9]M07!F33*$H$14,[9]M08!F33*$I$14,[9]M09!F33*$J$14,[9]M10!F33*$K$14,[9]M11!F33*$L$14,[9]M12!F33*$M$14)/$N$14</f>
        <v>0.84656092782110637</v>
      </c>
      <c r="G38" s="256">
        <f>SUM([9]M01!G33*$B$14,[9]M02!G33*$C$14,[9]M03!G33*$D$14,[9]M04!G33*$E$14,[9]M05!G33*$F$14,[9]M06!G33*$G$14,[9]M07!G33*$H$14,[9]M08!G33*$I$14,[9]M09!G33*$J$14,[9]M10!G33*$K$14,[9]M11!G33*$L$14,[9]M12!G33*$M$14)/$N$14</f>
        <v>1.8164467919705249</v>
      </c>
      <c r="H38" s="256">
        <f>SUM([9]M01!H33*$B$14,[9]M02!H33*$C$14,[9]M03!H33*$D$14,[9]M04!H33*$E$14,[9]M05!H33*$F$14,[9]M06!H33*$G$14,[9]M07!H33*$H$14,[9]M08!H33*$I$14,[9]M09!H33*$J$14,[9]M10!H33*$K$14,[9]M11!H33*$L$14,[9]M12!H33*$M$14)/$N$14</f>
        <v>1.329795289741174</v>
      </c>
      <c r="I38" s="256">
        <f>SUM([9]M01!I33*$B$14,[9]M02!I33*$C$14,[9]M03!I33*$D$14,[9]M04!I33*$E$14,[9]M05!I33*$F$14,[9]M06!I33*$G$14,[9]M07!I33*$H$14,[9]M08!I33*$I$14,[9]M09!I33*$J$14,[9]M10!I33*$K$14,[9]M11!I33*$L$14,[9]M12!I33*$M$14)/$N$14</f>
        <v>0</v>
      </c>
      <c r="J38" s="256">
        <f>SUM([9]M01!J33*$B$14,[9]M02!J33*$C$14,[9]M03!J33*$D$14,[9]M04!J33*$E$14,[9]M05!J33*$F$14,[9]M06!J33*$G$14,[9]M07!J33*$H$14,[9]M08!J33*$I$14,[9]M09!J33*$J$14,[9]M10!J33*$K$14,[9]M11!J33*$L$14,[9]M12!J33*$M$14)/$N$14</f>
        <v>0.18941321500675434</v>
      </c>
      <c r="K38" s="257">
        <f>SUM([9]M01!K33*$B$14,[9]M02!K33*$C$14,[9]M03!K33*$D$14,[9]M04!K33*$E$14,[9]M05!K33*$F$14,[9]M06!K33*$G$14,[9]M07!K33*$H$14,[9]M08!K33*$I$14,[9]M09!K33*$J$14,[9]M10!K33*$K$14,[9]M11!K33*$L$14,[9]M12!K33*$M$14)/$N$14</f>
        <v>0</v>
      </c>
      <c r="L38" s="229"/>
      <c r="N38" s="241"/>
    </row>
    <row r="39" spans="1:14" ht="20.25" customHeight="1" x14ac:dyDescent="0.25">
      <c r="A39" s="228" t="s">
        <v>231</v>
      </c>
      <c r="L39" s="229"/>
      <c r="N39" s="241"/>
    </row>
    <row r="40" spans="1:14" ht="15" customHeight="1" x14ac:dyDescent="0.25">
      <c r="A40" s="252" t="s">
        <v>228</v>
      </c>
      <c r="B40" s="253">
        <f>SUM([9]M01!I34,[9]M02!I34,[9]M03!I34,[9]M04!I34,[9]M05!I34,[9]M06!I34,[9]M07!I34,[9]M08!I34,[9]M09!I34,[9]M10!I34,[9]M11!I34,[9]M12!I34)</f>
        <v>24.567649878194612</v>
      </c>
      <c r="L40" s="229"/>
      <c r="N40" s="241"/>
    </row>
    <row r="41" spans="1:14" ht="9.9499999999999993" customHeight="1" x14ac:dyDescent="0.25">
      <c r="L41" s="229"/>
      <c r="N41" s="241"/>
    </row>
    <row r="42" spans="1:14" ht="9.9499999999999993" customHeight="1" thickBot="1" x14ac:dyDescent="0.3">
      <c r="L42" s="258"/>
      <c r="N42" s="241"/>
    </row>
    <row r="43" spans="1:14" ht="20.25" customHeight="1" thickTop="1" x14ac:dyDescent="0.25">
      <c r="A43" s="259" t="s">
        <v>232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  <c r="L43" s="262"/>
      <c r="N43" s="241"/>
    </row>
    <row r="44" spans="1:14" ht="15" customHeight="1" x14ac:dyDescent="0.25">
      <c r="A44" s="263" t="s">
        <v>5</v>
      </c>
      <c r="B44" s="264">
        <f>IFERROR(B54/B25,0)</f>
        <v>2.0668384642294031</v>
      </c>
      <c r="C44" s="265">
        <f t="shared" ref="C44:K44" si="0">IFERROR(C54/C25,0)</f>
        <v>2.236222879215231</v>
      </c>
      <c r="D44" s="265">
        <f t="shared" si="0"/>
        <v>2.6600956331814145</v>
      </c>
      <c r="E44" s="265">
        <f t="shared" si="0"/>
        <v>1.7110185955243651</v>
      </c>
      <c r="F44" s="265">
        <f t="shared" si="0"/>
        <v>0.93955561044208613</v>
      </c>
      <c r="G44" s="265">
        <f t="shared" si="0"/>
        <v>0</v>
      </c>
      <c r="H44" s="265">
        <f t="shared" si="0"/>
        <v>0.12437253133970572</v>
      </c>
      <c r="I44" s="265">
        <f t="shared" si="0"/>
        <v>1.0469622383966728</v>
      </c>
      <c r="J44" s="265">
        <f t="shared" si="0"/>
        <v>0.19637027294110496</v>
      </c>
      <c r="K44" s="266">
        <f t="shared" si="0"/>
        <v>3.1994508543036551</v>
      </c>
      <c r="L44" s="262"/>
      <c r="N44" s="241"/>
    </row>
    <row r="45" spans="1:14" ht="15" customHeight="1" x14ac:dyDescent="0.25">
      <c r="A45" s="267" t="s">
        <v>225</v>
      </c>
      <c r="B45" s="268">
        <f t="shared" ref="B45:K45" si="1">IFERROR(B55/B26,0)</f>
        <v>0</v>
      </c>
      <c r="C45" s="268">
        <f t="shared" si="1"/>
        <v>0</v>
      </c>
      <c r="D45" s="268">
        <f t="shared" si="1"/>
        <v>0</v>
      </c>
      <c r="E45" s="268">
        <f t="shared" si="1"/>
        <v>0.22290758360968668</v>
      </c>
      <c r="F45" s="268">
        <f t="shared" si="1"/>
        <v>0.70371819732089025</v>
      </c>
      <c r="G45" s="268">
        <f t="shared" si="1"/>
        <v>0.95431187082822944</v>
      </c>
      <c r="H45" s="268">
        <f t="shared" si="1"/>
        <v>0.86293514365163648</v>
      </c>
      <c r="I45" s="268">
        <f t="shared" si="1"/>
        <v>0</v>
      </c>
      <c r="J45" s="268">
        <f t="shared" si="1"/>
        <v>0.43970866372113199</v>
      </c>
      <c r="K45" s="269">
        <f t="shared" si="1"/>
        <v>4.766009784623141E-2</v>
      </c>
      <c r="L45" s="262"/>
      <c r="N45" s="241"/>
    </row>
    <row r="46" spans="1:14" ht="20.25" customHeight="1" x14ac:dyDescent="0.2">
      <c r="A46" s="270" t="s">
        <v>233</v>
      </c>
      <c r="B46" s="271"/>
      <c r="C46" s="271"/>
      <c r="D46" s="271"/>
      <c r="E46" s="271"/>
      <c r="F46" s="271"/>
      <c r="G46" s="271"/>
      <c r="H46" s="271"/>
      <c r="I46" s="272"/>
      <c r="J46" s="272"/>
      <c r="K46" s="273"/>
      <c r="L46" s="262"/>
      <c r="N46" s="274"/>
    </row>
    <row r="47" spans="1:14" ht="15" customHeight="1" x14ac:dyDescent="0.25">
      <c r="A47" s="275" t="s">
        <v>227</v>
      </c>
      <c r="B47" s="276">
        <f>B32</f>
        <v>5.0972087874588805</v>
      </c>
      <c r="C47" s="277"/>
      <c r="D47" s="277"/>
      <c r="E47" s="272"/>
      <c r="F47" s="272"/>
      <c r="G47" s="272"/>
      <c r="H47" s="271"/>
      <c r="I47" s="272"/>
      <c r="J47" s="272"/>
      <c r="K47" s="273"/>
      <c r="L47" s="262"/>
      <c r="N47" s="278"/>
    </row>
    <row r="48" spans="1:14" ht="15" customHeight="1" x14ac:dyDescent="0.25">
      <c r="A48" s="279" t="s">
        <v>228</v>
      </c>
      <c r="B48" s="280">
        <f>B33+B40</f>
        <v>28.524889219816</v>
      </c>
      <c r="C48" s="277"/>
      <c r="D48" s="277"/>
      <c r="E48" s="272"/>
      <c r="F48" s="272"/>
      <c r="G48" s="272"/>
      <c r="H48" s="271"/>
      <c r="I48" s="272"/>
      <c r="J48" s="272"/>
      <c r="K48" s="273"/>
      <c r="L48" s="262"/>
      <c r="N48" s="278"/>
    </row>
    <row r="49" spans="1:14" ht="9.9499999999999993" customHeight="1" thickBot="1" x14ac:dyDescent="0.3">
      <c r="A49" s="281"/>
      <c r="B49" s="282"/>
      <c r="C49" s="283"/>
      <c r="D49" s="283"/>
      <c r="E49" s="283"/>
      <c r="F49" s="283"/>
      <c r="G49" s="283"/>
      <c r="H49" s="283"/>
      <c r="I49" s="283"/>
      <c r="J49" s="283"/>
      <c r="K49" s="284"/>
      <c r="L49" s="262"/>
      <c r="N49" s="241"/>
    </row>
    <row r="50" spans="1:14" ht="9.9499999999999993" customHeight="1" thickTop="1" x14ac:dyDescent="0.25">
      <c r="B50" s="285"/>
      <c r="L50" s="258"/>
      <c r="N50" s="241"/>
    </row>
    <row r="51" spans="1:14" ht="20.25" customHeight="1" x14ac:dyDescent="0.25">
      <c r="A51" s="286" t="s">
        <v>234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>
        <f>ROUND(SUM(L54:L55,L57:L58),3)</f>
        <v>51220.152000000002</v>
      </c>
      <c r="M51" s="288">
        <f>ROUND(B3,3)</f>
        <v>51220.152000000002</v>
      </c>
      <c r="N51" s="241"/>
    </row>
    <row r="52" spans="1:14" ht="20.25" customHeight="1" x14ac:dyDescent="0.25">
      <c r="A52" s="289" t="s">
        <v>235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90"/>
      <c r="M52" s="291">
        <f>M53+M56</f>
        <v>0.99999999552178531</v>
      </c>
      <c r="N52" s="241"/>
    </row>
    <row r="53" spans="1:14" ht="20.25" customHeight="1" x14ac:dyDescent="0.25">
      <c r="A53" s="292" t="s">
        <v>29</v>
      </c>
      <c r="B53" s="293">
        <v>1</v>
      </c>
      <c r="C53" s="294">
        <v>2</v>
      </c>
      <c r="D53" s="294">
        <v>3</v>
      </c>
      <c r="E53" s="294">
        <v>4</v>
      </c>
      <c r="F53" s="294">
        <v>5</v>
      </c>
      <c r="G53" s="294">
        <v>6</v>
      </c>
      <c r="H53" s="294">
        <v>7</v>
      </c>
      <c r="I53" s="294">
        <v>8</v>
      </c>
      <c r="J53" s="294">
        <v>9</v>
      </c>
      <c r="K53" s="295">
        <v>10</v>
      </c>
      <c r="L53" s="296">
        <f>L54+L55</f>
        <v>27580.702787670845</v>
      </c>
      <c r="M53" s="291">
        <f>L53/$M$51</f>
        <v>0.53847366145400821</v>
      </c>
      <c r="N53" s="297"/>
    </row>
    <row r="54" spans="1:14" ht="15" customHeight="1" x14ac:dyDescent="0.25">
      <c r="A54" s="298" t="s">
        <v>5</v>
      </c>
      <c r="B54" s="299">
        <f>SUM([9]M01!B38,[9]M02!B38,[9]M03!B38,[9]M04!B38,[9]M05!B38,[9]M06!B38,[9]M07!B38,[9]M08!B38,[9]M09!B38,[9]M10!B38,[9]M11!B38,[9]M12!B38)</f>
        <v>2519.1726760090933</v>
      </c>
      <c r="C54" s="300">
        <f>SUM([9]M01!C38,[9]M02!C38,[9]M03!C38,[9]M04!C38,[9]M05!C38,[9]M06!C38,[9]M07!C38,[9]M08!C38,[9]M09!C38,[9]M10!C38,[9]M11!C38,[9]M12!C38)</f>
        <v>3361.1610600285153</v>
      </c>
      <c r="D54" s="300">
        <f>SUM([9]M01!D38,[9]M02!D38,[9]M03!D38,[9]M04!D38,[9]M05!D38,[9]M06!D38,[9]M07!D38,[9]M08!D38,[9]M09!D38,[9]M10!D38,[9]M11!D38,[9]M12!D38)</f>
        <v>2568.8415845042523</v>
      </c>
      <c r="E54" s="300">
        <f>SUM([9]M01!E38,[9]M02!E38,[9]M03!E38,[9]M04!E38,[9]M05!E38,[9]M06!E38,[9]M07!E38,[9]M08!E38,[9]M09!E38,[9]M10!E38,[9]M11!E38,[9]M12!E38)</f>
        <v>3654.2460265180048</v>
      </c>
      <c r="F54" s="300">
        <f>SUM([9]M01!F38,[9]M02!F38,[9]M03!F38,[9]M04!F38,[9]M05!F38,[9]M06!F38,[9]M07!F38,[9]M08!F38,[9]M09!F38,[9]M10!F38,[9]M11!F38,[9]M12!F38)</f>
        <v>1286.2474966505301</v>
      </c>
      <c r="G54" s="300">
        <f>SUM([9]M01!G38,[9]M02!G38,[9]M03!G38,[9]M04!G38,[9]M05!G38,[9]M06!G38,[9]M07!G38,[9]M08!G38,[9]M09!G38,[9]M10!G38,[9]M11!G38,[9]M12!G38)</f>
        <v>0</v>
      </c>
      <c r="H54" s="300">
        <f>SUM([9]M01!H38,[9]M02!H38,[9]M03!H38,[9]M04!H38,[9]M05!H38,[9]M06!H38,[9]M07!H38,[9]M08!H38,[9]M09!H38,[9]M10!H38,[9]M11!H38,[9]M12!H38)</f>
        <v>77.457701392112952</v>
      </c>
      <c r="I54" s="300">
        <f>SUM([9]M01!I38,[9]M02!I38,[9]M03!I38,[9]M04!I38,[9]M05!I38,[9]M06!I38,[9]M07!I38,[9]M08!I38,[9]M09!I38,[9]M10!I38,[9]M11!I38,[9]M12!I38)</f>
        <v>847.40390702259822</v>
      </c>
      <c r="J54" s="300">
        <f>SUM([9]M01!J38,[9]M02!J38,[9]M03!J38,[9]M04!J38,[9]M05!J38,[9]M06!J38,[9]M07!J38,[9]M08!J38,[9]M09!J38,[9]M10!J38,[9]M11!J38,[9]M12!J38)</f>
        <v>216.19559968993869</v>
      </c>
      <c r="K54" s="301">
        <f>SUM([9]M01!K38,[9]M02!K38,[9]M03!K38,[9]M04!K38,[9]M05!K38,[9]M06!K38,[9]M07!K38,[9]M08!K38,[9]M09!K38,[9]M10!K38,[9]M11!K38,[9]M12!K38)</f>
        <v>4775.7658995545426</v>
      </c>
      <c r="L54" s="302">
        <f>SUM(B54:K54)</f>
        <v>19306.49195136959</v>
      </c>
      <c r="M54" s="303">
        <f>L54/(L55+L54)</f>
        <v>0.7</v>
      </c>
      <c r="N54" s="304"/>
    </row>
    <row r="55" spans="1:14" ht="15" customHeight="1" x14ac:dyDescent="0.25">
      <c r="A55" s="305" t="s">
        <v>225</v>
      </c>
      <c r="B55" s="306">
        <f>SUM([9]M01!B39,[9]M02!B39,[9]M03!B39,[9]M04!B39,[9]M05!B39,[9]M06!B39,[9]M07!B39,[9]M08!B39,[9]M09!B39,[9]M10!B39,[9]M11!B39,[9]M12!B39)</f>
        <v>0</v>
      </c>
      <c r="C55" s="307">
        <f>SUM([9]M01!C39,[9]M02!C39,[9]M03!C39,[9]M04!C39,[9]M05!C39,[9]M06!C39,[9]M07!C39,[9]M08!C39,[9]M09!C39,[9]M10!C39,[9]M11!C39,[9]M12!C39)</f>
        <v>0</v>
      </c>
      <c r="D55" s="307">
        <f>SUM([9]M01!D39,[9]M02!D39,[9]M03!D39,[9]M04!D39,[9]M05!D39,[9]M06!D39,[9]M07!D39,[9]M08!D39,[9]M09!D39,[9]M10!D39,[9]M11!D39,[9]M12!D39)</f>
        <v>0</v>
      </c>
      <c r="E55" s="307">
        <f>SUM([9]M01!E39,[9]M02!E39,[9]M03!E39,[9]M04!E39,[9]M05!E39,[9]M06!E39,[9]M07!E39,[9]M08!E39,[9]M09!E39,[9]M10!E39,[9]M11!E39,[9]M12!E39)</f>
        <v>78.217022806170846</v>
      </c>
      <c r="F55" s="307">
        <f>SUM([9]M01!F39,[9]M02!F39,[9]M03!F39,[9]M04!F39,[9]M05!F39,[9]M06!F39,[9]M07!F39,[9]M08!F39,[9]M09!F39,[9]M10!F39,[9]M11!F39,[9]M12!F39)</f>
        <v>1088.637343545093</v>
      </c>
      <c r="G55" s="307">
        <f>SUM([9]M01!G39,[9]M02!G39,[9]M03!G39,[9]M04!G39,[9]M05!G39,[9]M06!G39,[9]M07!G39,[9]M08!G39,[9]M09!G39,[9]M10!G39,[9]M11!G39,[9]M12!G39)</f>
        <v>615.73456825947494</v>
      </c>
      <c r="H55" s="307">
        <f>SUM([9]M01!H39,[9]M02!H39,[9]M03!H39,[9]M04!H39,[9]M05!H39,[9]M06!H39,[9]M07!H39,[9]M08!H39,[9]M09!H39,[9]M10!H39,[9]M11!H39,[9]M12!H39)</f>
        <v>5865.4708759314381</v>
      </c>
      <c r="I55" s="307">
        <f>SUM([9]M01!I39,[9]M02!I39,[9]M03!I39,[9]M04!I39,[9]M05!I39,[9]M06!I39,[9]M07!I39,[9]M08!I39,[9]M09!I39,[9]M10!I39,[9]M11!I39,[9]M12!I39)</f>
        <v>0</v>
      </c>
      <c r="J55" s="307">
        <f>SUM([9]M01!J39,[9]M02!J39,[9]M03!J39,[9]M04!J39,[9]M05!J39,[9]M06!J39,[9]M07!J39,[9]M08!J39,[9]M09!J39,[9]M10!J39,[9]M11!J39,[9]M12!J39)</f>
        <v>620.95679476131454</v>
      </c>
      <c r="K55" s="308">
        <f>SUM([9]M01!K39,[9]M02!K39,[9]M03!K39,[9]M04!K39,[9]M05!K39,[9]M06!K39,[9]M07!K39,[9]M08!K39,[9]M09!K39,[9]M10!K39,[9]M11!K39,[9]M12!K39)</f>
        <v>5.1942309977617453</v>
      </c>
      <c r="L55" s="309">
        <f>SUM(B55:K55)</f>
        <v>8274.2108363012539</v>
      </c>
      <c r="M55" s="310">
        <f>L55/(L54+L55)</f>
        <v>0.3</v>
      </c>
      <c r="N55" s="182"/>
    </row>
    <row r="56" spans="1:14" ht="20.25" customHeight="1" x14ac:dyDescent="0.25">
      <c r="A56" s="289" t="s">
        <v>236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96">
        <f>L57+L58</f>
        <v>23639.44898295432</v>
      </c>
      <c r="M56" s="291">
        <f>L56/$M$51</f>
        <v>0.46152633406777704</v>
      </c>
      <c r="N56" s="297"/>
    </row>
    <row r="57" spans="1:14" ht="15" customHeight="1" x14ac:dyDescent="0.25">
      <c r="A57" s="298" t="s">
        <v>5</v>
      </c>
      <c r="B57" s="299">
        <f>SUM([9]M01!B41,[9]M02!B41,[9]M03!B41,[9]M04!B41,[9]M05!B41,[9]M06!B41,[9]M07!B41,[9]M08!B41,[9]M09!B41,[9]M10!B41,[9]M11!B41,[9]M12!B41)</f>
        <v>1034.2236629754073</v>
      </c>
      <c r="C57" s="300">
        <f>SUM([9]M01!C41,[9]M02!C41,[9]M03!C41,[9]M04!C41,[9]M05!C41,[9]M06!C41,[9]M07!C41,[9]M08!C41,[9]M09!C41,[9]M10!C41,[9]M11!C41,[9]M12!C41)</f>
        <v>2741.2788858953859</v>
      </c>
      <c r="D57" s="300">
        <f>SUM([9]M01!D41,[9]M02!D41,[9]M03!D41,[9]M04!D41,[9]M05!D41,[9]M06!D41,[9]M07!D41,[9]M08!D41,[9]M09!D41,[9]M10!D41,[9]M11!D41,[9]M12!D41)</f>
        <v>791.44360842874028</v>
      </c>
      <c r="E57" s="300">
        <f>SUM([9]M01!E41,[9]M02!E41,[9]M03!E41,[9]M04!E41,[9]M05!E41,[9]M06!E41,[9]M07!E41,[9]M08!E41,[9]M09!E41,[9]M10!E41,[9]M11!E41,[9]M12!E41)</f>
        <v>1550.3517331671308</v>
      </c>
      <c r="F57" s="300">
        <f>SUM([9]M01!F41,[9]M02!F41,[9]M03!F41,[9]M04!F41,[9]M05!F41,[9]M06!F41,[9]M07!F41,[9]M08!F41,[9]M09!F41,[9]M10!F41,[9]M11!F41,[9]M12!F41)</f>
        <v>89.710874659276286</v>
      </c>
      <c r="G57" s="300">
        <f>SUM([9]M01!G41,[9]M02!G41,[9]M03!G41,[9]M04!G41,[9]M05!G41,[9]M06!G41,[9]M07!G41,[9]M08!G41,[9]M09!G41,[9]M10!G41,[9]M11!G41,[9]M12!G41)</f>
        <v>749.28969175645523</v>
      </c>
      <c r="H57" s="300">
        <f>SUM([9]M01!H41,[9]M02!H41,[9]M03!H41,[9]M04!H41,[9]M05!H41,[9]M06!H41,[9]M07!H41,[9]M08!H41,[9]M09!H41,[9]M10!H41,[9]M11!H41,[9]M12!H41)</f>
        <v>2940.9875261880252</v>
      </c>
      <c r="I57" s="300">
        <f>SUM([9]M01!I41,[9]M02!I41,[9]M03!I41,[9]M04!I41,[9]M05!I41,[9]M06!I41,[9]M07!I41,[9]M08!I41,[9]M09!I41,[9]M10!I41,[9]M11!I41,[9]M12!I41)</f>
        <v>1325.2742847393088</v>
      </c>
      <c r="J57" s="300">
        <f>SUM([9]M01!J41,[9]M02!J41,[9]M03!J41,[9]M04!J41,[9]M05!J41,[9]M06!J41,[9]M07!J41,[9]M08!J41,[9]M09!J41,[9]M10!J41,[9]M11!J41,[9]M12!J41)</f>
        <v>4039.6908803247866</v>
      </c>
      <c r="K57" s="301">
        <f>SUM([9]M01!K41,[9]M02!K41,[9]M03!K41,[9]M04!K41,[9]M05!K41,[9]M06!K41,[9]M07!K41,[9]M08!K41,[9]M09!K41,[9]M10!K41,[9]M11!K41,[9]M12!K41)</f>
        <v>1285.3631399335061</v>
      </c>
      <c r="L57" s="302">
        <f>SUM(B57:K57)</f>
        <v>16547.614288068024</v>
      </c>
      <c r="M57" s="303">
        <f>L57/(L58+L57)</f>
        <v>0.7</v>
      </c>
      <c r="N57" s="304"/>
    </row>
    <row r="58" spans="1:14" ht="15" customHeight="1" x14ac:dyDescent="0.25">
      <c r="A58" s="305" t="s">
        <v>225</v>
      </c>
      <c r="B58" s="306">
        <f>SUM([9]M01!B42,[9]M02!B42,[9]M03!B42,[9]M04!B42,[9]M05!B42,[9]M06!B42,[9]M07!B42,[9]M08!B42,[9]M09!B42,[9]M10!B42,[9]M11!B42,[9]M12!B42)</f>
        <v>146.73443478732108</v>
      </c>
      <c r="C58" s="307">
        <f>SUM([9]M01!C42,[9]M02!C42,[9]M03!C42,[9]M04!C42,[9]M05!C42,[9]M06!C42,[9]M07!C42,[9]M08!C42,[9]M09!C42,[9]M10!C42,[9]M11!C42,[9]M12!C42)</f>
        <v>0</v>
      </c>
      <c r="D58" s="307">
        <f>SUM([9]M01!D42,[9]M02!D42,[9]M03!D42,[9]M04!D42,[9]M05!D42,[9]M06!D42,[9]M07!D42,[9]M08!D42,[9]M09!D42,[9]M10!D42,[9]M11!D42,[9]M12!D42)</f>
        <v>0.3957239341621388</v>
      </c>
      <c r="E58" s="307">
        <f>SUM([9]M01!E42,[9]M02!E42,[9]M03!E42,[9]M04!E42,[9]M05!E42,[9]M06!E42,[9]M07!E42,[9]M08!E42,[9]M09!E42,[9]M10!E42,[9]M11!E42,[9]M12!E42)</f>
        <v>421.12941073534807</v>
      </c>
      <c r="F58" s="307">
        <f>SUM([9]M01!F42,[9]M02!F42,[9]M03!F42,[9]M04!F42,[9]M05!F42,[9]M06!F42,[9]M07!F42,[9]M08!F42,[9]M09!F42,[9]M10!F42,[9]M11!F42,[9]M12!F42)</f>
        <v>890.06162094186391</v>
      </c>
      <c r="G58" s="307">
        <f>SUM([9]M01!G42,[9]M02!G42,[9]M03!G42,[9]M04!G42,[9]M05!G42,[9]M06!G42,[9]M07!G42,[9]M08!G42,[9]M09!G42,[9]M10!G42,[9]M11!G42,[9]M12!G42)</f>
        <v>635.93627388556592</v>
      </c>
      <c r="H58" s="307">
        <f>SUM([9]M01!H42,[9]M02!H42,[9]M03!H42,[9]M04!H42,[9]M05!H42,[9]M06!H42,[9]M07!H42,[9]M08!H42,[9]M09!H42,[9]M10!H42,[9]M11!H42,[9]M12!H42)</f>
        <v>4096.5118405056346</v>
      </c>
      <c r="I58" s="307">
        <f>SUM([9]M01!I42,[9]M02!I42,[9]M03!I42,[9]M04!I42,[9]M05!I42,[9]M06!I42,[9]M07!I42,[9]M08!I42,[9]M09!I42,[9]M10!I42,[9]M11!I42,[9]M12!I42)</f>
        <v>0</v>
      </c>
      <c r="J58" s="307">
        <f>SUM([9]M01!J42,[9]M02!J42,[9]M03!J42,[9]M04!J42,[9]M05!J42,[9]M06!J42,[9]M07!J42,[9]M08!J42,[9]M09!J42,[9]M10!J42,[9]M11!J42,[9]M12!J42)</f>
        <v>553.02619000080131</v>
      </c>
      <c r="K58" s="308">
        <f>SUM([9]M01!K42,[9]M02!K42,[9]M03!K42,[9]M04!K42,[9]M05!K42,[9]M06!K42,[9]M07!K42,[9]M08!K42,[9]M09!K42,[9]M10!K42,[9]M11!K42,[9]M12!K42)</f>
        <v>348.03920009560107</v>
      </c>
      <c r="L58" s="309">
        <f>SUM(B58:K58)</f>
        <v>7091.8346948862973</v>
      </c>
      <c r="M58" s="310">
        <f>L58/(L57+L58)</f>
        <v>0.30000000000000004</v>
      </c>
      <c r="N58" s="241"/>
    </row>
    <row r="59" spans="1:14" ht="20.25" customHeight="1" x14ac:dyDescent="0.25">
      <c r="A59" s="289" t="s">
        <v>237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96">
        <f>L60+L61</f>
        <v>55642.05410548587</v>
      </c>
      <c r="M59" s="291">
        <f>IFERROR(L59/B7,0)</f>
        <v>0.99999999999999989</v>
      </c>
      <c r="N59" s="241"/>
    </row>
    <row r="60" spans="1:14" ht="15" customHeight="1" x14ac:dyDescent="0.25">
      <c r="A60" s="298" t="s">
        <v>238</v>
      </c>
      <c r="B60" s="299">
        <f>SUM([9]M01!B44,[9]M02!B44,[9]M03!B44,[9]M04!B44,[9]M05!B44,[9]M06!B44,[9]M07!B44,[9]M08!B44,[9]M09!B44,[9]M10!B44,[9]M11!B44,[9]M12!B44)</f>
        <v>0</v>
      </c>
      <c r="C60" s="300">
        <f>SUM([9]M01!C44,[9]M02!C44,[9]M03!C44,[9]M04!C44,[9]M05!C44,[9]M06!C44,[9]M07!C44,[9]M08!C44,[9]M09!C44,[9]M10!C44,[9]M11!C44,[9]M12!C44)</f>
        <v>0</v>
      </c>
      <c r="D60" s="300">
        <f>SUM([9]M01!D44,[9]M02!D44,[9]M03!D44,[9]M04!D44,[9]M05!D44,[9]M06!D44,[9]M07!D44,[9]M08!D44,[9]M09!D44,[9]M10!D44,[9]M11!D44,[9]M12!D44)</f>
        <v>0</v>
      </c>
      <c r="E60" s="300">
        <f>SUM([9]M01!E44,[9]M02!E44,[9]M03!E44,[9]M04!E44,[9]M05!E44,[9]M06!E44,[9]M07!E44,[9]M08!E44,[9]M09!E44,[9]M10!E44,[9]M11!E44,[9]M12!E44)</f>
        <v>0</v>
      </c>
      <c r="F60" s="300">
        <f>SUM([9]M01!F44,[9]M02!F44,[9]M03!F44,[9]M04!F44,[9]M05!F44,[9]M06!F44,[9]M07!F44,[9]M08!F44,[9]M09!F44,[9]M10!F44,[9]M11!F44,[9]M12!F44)</f>
        <v>1308.7988674474832</v>
      </c>
      <c r="G60" s="300">
        <f>SUM([9]M01!G44,[9]M02!G44,[9]M03!G44,[9]M04!G44,[9]M05!G44,[9]M06!G44,[9]M07!G44,[9]M08!G44,[9]M09!G44,[9]M10!G44,[9]M11!G44,[9]M12!G44)</f>
        <v>1182.7709506284889</v>
      </c>
      <c r="H60" s="300">
        <f>SUM([9]M01!H44,[9]M02!H44,[9]M03!H44,[9]M04!H44,[9]M05!H44,[9]M06!H44,[9]M07!H44,[9]M08!H44,[9]M09!H44,[9]M10!H44,[9]M11!H44,[9]M12!H44)</f>
        <v>8876.8713147761282</v>
      </c>
      <c r="I60" s="300">
        <f>SUM([9]M01!I44,[9]M02!I44,[9]M03!I44,[9]M04!I44,[9]M05!I44,[9]M06!I44,[9]M07!I44,[9]M08!I44,[9]M09!I44,[9]M10!I44,[9]M11!I44,[9]M12!I44)</f>
        <v>0</v>
      </c>
      <c r="J60" s="300">
        <f>SUM([9]M01!J44,[9]M02!J44,[9]M03!J44,[9]M04!J44,[9]M05!J44,[9]M06!J44,[9]M07!J44,[9]M08!J44,[9]M09!J44,[9]M10!J44,[9]M11!J44,[9]M12!J44)</f>
        <v>245.51744010198695</v>
      </c>
      <c r="K60" s="301">
        <f>SUM([9]M01!K44,[9]M02!K44,[9]M03!K44,[9]M04!K44,[9]M05!K44,[9]M06!K44,[9]M07!K44,[9]M08!K44,[9]M09!K44,[9]M10!K44,[9]M11!K44,[9]M12!K44)</f>
        <v>0</v>
      </c>
      <c r="L60" s="302">
        <f>SUM(B60:K60)</f>
        <v>11613.958572954087</v>
      </c>
      <c r="M60" s="303">
        <f>L60/(L61+L60)</f>
        <v>0.2087262729542014</v>
      </c>
      <c r="N60" s="241"/>
    </row>
    <row r="61" spans="1:14" ht="15" customHeight="1" x14ac:dyDescent="0.25">
      <c r="A61" s="305" t="s">
        <v>239</v>
      </c>
      <c r="B61" s="306">
        <f>SUM([9]M01!B45,[9]M02!B45,[9]M03!B45,[9]M04!B45,[9]M05!B45,[9]M06!B45,[9]M07!B45,[9]M08!B45,[9]M09!B45,[9]M10!B45,[9]M11!B45,[9]M12!B45)</f>
        <v>910.96845748345606</v>
      </c>
      <c r="C61" s="307">
        <f>SUM([9]M01!C45,[9]M02!C45,[9]M03!C45,[9]M04!C45,[9]M05!C45,[9]M06!C45,[9]M07!C45,[9]M08!C45,[9]M09!C45,[9]M10!C45,[9]M11!C45,[9]M12!C45)</f>
        <v>0</v>
      </c>
      <c r="D61" s="307">
        <f>SUM([9]M01!D45,[9]M02!D45,[9]M03!D45,[9]M04!D45,[9]M05!D45,[9]M06!D45,[9]M07!D45,[9]M08!D45,[9]M09!D45,[9]M10!D45,[9]M11!D45,[9]M12!D45)</f>
        <v>2.4567649878194611</v>
      </c>
      <c r="E61" s="307">
        <f>SUM([9]M01!E45,[9]M02!E45,[9]M03!E45,[9]M04!E45,[9]M05!E45,[9]M06!E45,[9]M07!E45,[9]M08!E45,[9]M09!E45,[9]M10!E45,[9]M11!E45,[9]M12!E45)</f>
        <v>2614.48930003747</v>
      </c>
      <c r="F61" s="307">
        <f>SUM([9]M01!F45,[9]M02!F45,[9]M03!F45,[9]M04!F45,[9]M05!F45,[9]M06!F45,[9]M07!F45,[9]M08!F45,[9]M09!F45,[9]M10!F45,[9]M11!F45,[9]M12!F45)</f>
        <v>5525.7517641979894</v>
      </c>
      <c r="G61" s="307">
        <f>SUM([9]M01!G45,[9]M02!G45,[9]M03!G45,[9]M04!G45,[9]M05!G45,[9]M06!G45,[9]M07!G45,[9]M08!G45,[9]M09!G45,[9]M10!G45,[9]M11!G45,[9]M12!G45)</f>
        <v>3948.0704533941353</v>
      </c>
      <c r="H61" s="307">
        <f>SUM([9]M01!H45,[9]M02!H45,[9]M03!H45,[9]M04!H45,[9]M05!H45,[9]M06!H45,[9]M07!H45,[9]M08!H45,[9]M09!H45,[9]M10!H45,[9]M11!H45,[9]M12!H45)</f>
        <v>25432.292548215042</v>
      </c>
      <c r="I61" s="307">
        <f>SUM([9]M01!I45,[9]M02!I45,[9]M03!I45,[9]M04!I45,[9]M05!I45,[9]M06!I45,[9]M07!I45,[9]M08!I45,[9]M09!I45,[9]M10!I45,[9]M11!I45,[9]M12!I45)</f>
        <v>0</v>
      </c>
      <c r="J61" s="307">
        <f>SUM([9]M01!J45,[9]M02!J45,[9]M03!J45,[9]M04!J45,[9]M05!J45,[9]M06!J45,[9]M07!J45,[9]M08!J45,[9]M09!J45,[9]M10!J45,[9]M11!J45,[9]M12!J45)</f>
        <v>3433.3414374286585</v>
      </c>
      <c r="K61" s="308">
        <f>SUM([9]M01!K45,[9]M02!K45,[9]M03!K45,[9]M04!K45,[9]M05!K45,[9]M06!K45,[9]M07!K45,[9]M08!K45,[9]M09!K45,[9]M10!K45,[9]M11!K45,[9]M12!K45)</f>
        <v>2160.724806787216</v>
      </c>
      <c r="L61" s="309">
        <f>SUM(B61:K61)</f>
        <v>44028.095532531785</v>
      </c>
      <c r="M61" s="310">
        <f>L61/(L60+L61)</f>
        <v>0.79127372704579857</v>
      </c>
      <c r="N61" s="241"/>
    </row>
    <row r="62" spans="1:14" ht="20.25" hidden="1" customHeight="1" x14ac:dyDescent="0.25">
      <c r="A62" s="289" t="s">
        <v>240</v>
      </c>
      <c r="B62" s="311"/>
      <c r="C62" s="311"/>
      <c r="D62" s="311"/>
      <c r="E62" s="311"/>
      <c r="F62" s="311"/>
      <c r="G62" s="312">
        <f>SUM([9]M01!G46,[9]M02!G46,[9]M03!G46,[9]M04!G46,[9]M05!G46,[9]M06!G46,[9]M07!G46,[9]M08!G46,[9]M09!G46,[9]M10!G46,[9]M11!G46,[9]M12!G46)</f>
        <v>0</v>
      </c>
      <c r="H62" s="313">
        <f>G62/L51</f>
        <v>0</v>
      </c>
      <c r="I62" s="311"/>
      <c r="J62" s="311"/>
      <c r="K62" s="311"/>
      <c r="L62" s="288"/>
      <c r="N62" s="241"/>
    </row>
    <row r="63" spans="1:14" ht="15" customHeight="1" x14ac:dyDescent="0.2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288"/>
      <c r="N63" s="241"/>
    </row>
    <row r="64" spans="1:14" ht="20.25" customHeight="1" x14ac:dyDescent="0.25">
      <c r="A64" s="314" t="s">
        <v>241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296">
        <f>L65+L66</f>
        <v>106862.20587611102</v>
      </c>
      <c r="M64" s="316">
        <f>L64/(B3+B7)</f>
        <v>0.99999999999999978</v>
      </c>
      <c r="N64" s="317"/>
    </row>
    <row r="65" spans="1:14" ht="15" customHeight="1" x14ac:dyDescent="0.25">
      <c r="A65" s="318" t="s">
        <v>5</v>
      </c>
      <c r="B65" s="319">
        <f>B54+B57</f>
        <v>3553.3963389845003</v>
      </c>
      <c r="C65" s="320">
        <f t="shared" ref="C65:K65" si="2">C54+C57</f>
        <v>6102.4399459239012</v>
      </c>
      <c r="D65" s="320">
        <f t="shared" si="2"/>
        <v>3360.2851929329927</v>
      </c>
      <c r="E65" s="320">
        <f t="shared" si="2"/>
        <v>5204.5977596851353</v>
      </c>
      <c r="F65" s="320">
        <f t="shared" si="2"/>
        <v>1375.9583713098064</v>
      </c>
      <c r="G65" s="320">
        <f t="shared" si="2"/>
        <v>749.28969175645523</v>
      </c>
      <c r="H65" s="320">
        <f t="shared" si="2"/>
        <v>3018.4452275801382</v>
      </c>
      <c r="I65" s="320">
        <f t="shared" si="2"/>
        <v>2172.6781917619069</v>
      </c>
      <c r="J65" s="320">
        <f t="shared" si="2"/>
        <v>4255.8864800147248</v>
      </c>
      <c r="K65" s="321">
        <f t="shared" si="2"/>
        <v>6061.1290394880489</v>
      </c>
      <c r="L65" s="302">
        <f>SUM(B65:K65)</f>
        <v>35854.106239437606</v>
      </c>
      <c r="M65" s="303">
        <f>L65/(L66+L65)</f>
        <v>0.33551718257626539</v>
      </c>
      <c r="N65" s="317"/>
    </row>
    <row r="66" spans="1:14" ht="15" customHeight="1" x14ac:dyDescent="0.25">
      <c r="A66" s="322" t="s">
        <v>225</v>
      </c>
      <c r="B66" s="323">
        <f>B55+B58+B60+B61</f>
        <v>1057.7028922707771</v>
      </c>
      <c r="C66" s="324">
        <f t="shared" ref="C66:K66" si="3">C55+C58+C60+C61</f>
        <v>0</v>
      </c>
      <c r="D66" s="324">
        <f t="shared" si="3"/>
        <v>2.8524889219815996</v>
      </c>
      <c r="E66" s="324">
        <f t="shared" si="3"/>
        <v>3113.8357335789888</v>
      </c>
      <c r="F66" s="324">
        <f t="shared" si="3"/>
        <v>8813.2495961324294</v>
      </c>
      <c r="G66" s="324">
        <f t="shared" si="3"/>
        <v>6382.5122461676647</v>
      </c>
      <c r="H66" s="324">
        <f t="shared" si="3"/>
        <v>44271.146579428241</v>
      </c>
      <c r="I66" s="324">
        <f t="shared" si="3"/>
        <v>0</v>
      </c>
      <c r="J66" s="324">
        <f t="shared" si="3"/>
        <v>4852.8418622927611</v>
      </c>
      <c r="K66" s="325">
        <f t="shared" si="3"/>
        <v>2513.958237880579</v>
      </c>
      <c r="L66" s="309">
        <f>SUM(B66:K66)</f>
        <v>71008.099636673418</v>
      </c>
      <c r="M66" s="310">
        <f>L66/(L65+L66)</f>
        <v>0.66448281742373461</v>
      </c>
      <c r="N66" s="317"/>
    </row>
    <row r="67" spans="1:14" ht="15" customHeight="1" x14ac:dyDescent="0.25">
      <c r="B67" s="313">
        <f>B65/$L$64</f>
        <v>3.3252133528893023E-2</v>
      </c>
      <c r="C67" s="313">
        <f t="shared" ref="C67:K67" si="4">C65/$L$64</f>
        <v>5.7105689480139186E-2</v>
      </c>
      <c r="D67" s="313">
        <f t="shared" si="4"/>
        <v>3.1445029282183123E-2</v>
      </c>
      <c r="E67" s="313">
        <f t="shared" si="4"/>
        <v>4.8703821121931563E-2</v>
      </c>
      <c r="F67" s="313">
        <f t="shared" si="4"/>
        <v>1.2876005693771673E-2</v>
      </c>
      <c r="G67" s="313">
        <f t="shared" si="4"/>
        <v>7.011737083409378E-3</v>
      </c>
      <c r="H67" s="313">
        <f t="shared" si="4"/>
        <v>2.824614374028105E-2</v>
      </c>
      <c r="I67" s="313">
        <f t="shared" si="4"/>
        <v>2.0331586588066188E-2</v>
      </c>
      <c r="J67" s="313">
        <f t="shared" si="4"/>
        <v>3.9825927652557706E-2</v>
      </c>
      <c r="K67" s="313">
        <f t="shared" si="4"/>
        <v>5.671910840503256E-2</v>
      </c>
      <c r="N67" s="241"/>
    </row>
    <row r="68" spans="1:14" ht="15" customHeight="1" x14ac:dyDescent="0.25">
      <c r="B68" s="313">
        <f t="shared" ref="B68:K68" si="5">B66/$L$64</f>
        <v>9.8978201282594516E-3</v>
      </c>
      <c r="C68" s="313">
        <f t="shared" si="5"/>
        <v>0</v>
      </c>
      <c r="D68" s="313">
        <f t="shared" si="5"/>
        <v>2.6693150291961842E-5</v>
      </c>
      <c r="E68" s="313">
        <f t="shared" si="5"/>
        <v>2.9138793346536043E-2</v>
      </c>
      <c r="F68" s="313">
        <f t="shared" si="5"/>
        <v>8.2473027052706815E-2</v>
      </c>
      <c r="G68" s="313">
        <f t="shared" si="5"/>
        <v>5.9726562762209189E-2</v>
      </c>
      <c r="H68" s="313">
        <f t="shared" si="5"/>
        <v>0.4142825446702203</v>
      </c>
      <c r="I68" s="313">
        <f t="shared" si="5"/>
        <v>0</v>
      </c>
      <c r="J68" s="313">
        <f t="shared" si="5"/>
        <v>4.5412143821163722E-2</v>
      </c>
      <c r="K68" s="313">
        <f t="shared" si="5"/>
        <v>2.3525232492347163E-2</v>
      </c>
      <c r="N68" s="241"/>
    </row>
    <row r="69" spans="1:14" ht="15" customHeight="1" x14ac:dyDescent="0.2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7"/>
      <c r="M69" s="328"/>
    </row>
    <row r="70" spans="1:14" ht="15" customHeight="1" x14ac:dyDescent="0.25">
      <c r="B70" s="326"/>
      <c r="C70" s="326"/>
      <c r="D70" s="326"/>
      <c r="E70" s="326"/>
      <c r="F70" s="326"/>
      <c r="G70" s="326"/>
      <c r="H70" s="326"/>
      <c r="I70" s="326"/>
      <c r="J70" s="326"/>
      <c r="K70" s="326"/>
    </row>
    <row r="71" spans="1:14" ht="15" customHeight="1" x14ac:dyDescent="0.25"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7"/>
    </row>
    <row r="72" spans="1:14" ht="15" customHeight="1" x14ac:dyDescent="0.25"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7"/>
    </row>
  </sheetData>
  <sheetProtection algorithmName="SHA-512" hashValue="wsX/2m9FgfzE0+KlspAMRF1q5qckD0zVzuixBA4PKc1QX+O0XFEHY63mXs3l5LueJZchfyFDhrjtfFDdgKx1Zg==" saltValue="dCF9iCHqZ4UB4S1f3Fyhhw==" spinCount="100000" sheet="1" objects="1" scenarios="1"/>
  <conditionalFormatting sqref="B19:L20 B38:K38">
    <cfRule type="cellIs" dxfId="53" priority="18" operator="equal">
      <formula>0</formula>
    </cfRule>
  </conditionalFormatting>
  <conditionalFormatting sqref="B25:K27">
    <cfRule type="cellIs" dxfId="52" priority="17" operator="equal">
      <formula>0</formula>
    </cfRule>
  </conditionalFormatting>
  <conditionalFormatting sqref="B29:K30">
    <cfRule type="cellIs" dxfId="51" priority="16" operator="equal">
      <formula>0</formula>
    </cfRule>
  </conditionalFormatting>
  <conditionalFormatting sqref="B54:K55">
    <cfRule type="cellIs" dxfId="50" priority="15" operator="equal">
      <formula>0</formula>
    </cfRule>
  </conditionalFormatting>
  <conditionalFormatting sqref="L25:L27">
    <cfRule type="cellIs" dxfId="49" priority="14" operator="equal">
      <formula>0</formula>
    </cfRule>
  </conditionalFormatting>
  <conditionalFormatting sqref="B57:K58">
    <cfRule type="cellIs" dxfId="48" priority="13" operator="equal">
      <formula>0</formula>
    </cfRule>
  </conditionalFormatting>
  <conditionalFormatting sqref="B60:K61">
    <cfRule type="cellIs" dxfId="47" priority="12" operator="equal">
      <formula>0</formula>
    </cfRule>
  </conditionalFormatting>
  <conditionalFormatting sqref="B22:L23">
    <cfRule type="cellIs" dxfId="46" priority="11" operator="equal">
      <formula>0</formula>
    </cfRule>
  </conditionalFormatting>
  <conditionalFormatting sqref="N12:N13">
    <cfRule type="cellIs" dxfId="45" priority="10" stopIfTrue="1" operator="notEqual">
      <formula>8760</formula>
    </cfRule>
  </conditionalFormatting>
  <conditionalFormatting sqref="N14">
    <cfRule type="cellIs" dxfId="44" priority="9" stopIfTrue="1" operator="notEqual">
      <formula>1</formula>
    </cfRule>
  </conditionalFormatting>
  <conditionalFormatting sqref="L54:L55">
    <cfRule type="cellIs" dxfId="43" priority="7" operator="equal">
      <formula>0</formula>
    </cfRule>
  </conditionalFormatting>
  <conditionalFormatting sqref="M51">
    <cfRule type="cellIs" dxfId="42" priority="8" stopIfTrue="1" operator="notEqual">
      <formula>$L$51</formula>
    </cfRule>
  </conditionalFormatting>
  <conditionalFormatting sqref="L57:L58">
    <cfRule type="cellIs" dxfId="41" priority="6" operator="equal">
      <formula>0</formula>
    </cfRule>
  </conditionalFormatting>
  <conditionalFormatting sqref="L60:L61">
    <cfRule type="cellIs" dxfId="40" priority="5" operator="equal">
      <formula>0</formula>
    </cfRule>
  </conditionalFormatting>
  <conditionalFormatting sqref="B65:K66">
    <cfRule type="cellIs" dxfId="39" priority="4" operator="equal">
      <formula>0</formula>
    </cfRule>
  </conditionalFormatting>
  <conditionalFormatting sqref="L65:L66">
    <cfRule type="cellIs" dxfId="38" priority="3" operator="equal">
      <formula>0</formula>
    </cfRule>
  </conditionalFormatting>
  <conditionalFormatting sqref="L51">
    <cfRule type="cellIs" dxfId="37" priority="2" stopIfTrue="1" operator="notEqual">
      <formula>$M$51</formula>
    </cfRule>
  </conditionalFormatting>
  <conditionalFormatting sqref="B44:K45">
    <cfRule type="cellIs" dxfId="36" priority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sqref="A1:XFD1048576"/>
    </sheetView>
  </sheetViews>
  <sheetFormatPr baseColWidth="10" defaultColWidth="10.7109375" defaultRowHeight="15" customHeight="1" x14ac:dyDescent="0.25"/>
  <cols>
    <col min="1" max="1" width="12.7109375" style="171" customWidth="1"/>
    <col min="2" max="256" width="10.7109375" style="171"/>
    <col min="257" max="257" width="12.7109375" style="171" customWidth="1"/>
    <col min="258" max="512" width="10.7109375" style="171"/>
    <col min="513" max="513" width="12.7109375" style="171" customWidth="1"/>
    <col min="514" max="768" width="10.7109375" style="171"/>
    <col min="769" max="769" width="12.7109375" style="171" customWidth="1"/>
    <col min="770" max="1024" width="10.7109375" style="171"/>
    <col min="1025" max="1025" width="12.7109375" style="171" customWidth="1"/>
    <col min="1026" max="1280" width="10.7109375" style="171"/>
    <col min="1281" max="1281" width="12.7109375" style="171" customWidth="1"/>
    <col min="1282" max="1536" width="10.7109375" style="171"/>
    <col min="1537" max="1537" width="12.7109375" style="171" customWidth="1"/>
    <col min="1538" max="1792" width="10.7109375" style="171"/>
    <col min="1793" max="1793" width="12.7109375" style="171" customWidth="1"/>
    <col min="1794" max="2048" width="10.7109375" style="171"/>
    <col min="2049" max="2049" width="12.7109375" style="171" customWidth="1"/>
    <col min="2050" max="2304" width="10.7109375" style="171"/>
    <col min="2305" max="2305" width="12.7109375" style="171" customWidth="1"/>
    <col min="2306" max="2560" width="10.7109375" style="171"/>
    <col min="2561" max="2561" width="12.7109375" style="171" customWidth="1"/>
    <col min="2562" max="2816" width="10.7109375" style="171"/>
    <col min="2817" max="2817" width="12.7109375" style="171" customWidth="1"/>
    <col min="2818" max="3072" width="10.7109375" style="171"/>
    <col min="3073" max="3073" width="12.7109375" style="171" customWidth="1"/>
    <col min="3074" max="3328" width="10.7109375" style="171"/>
    <col min="3329" max="3329" width="12.7109375" style="171" customWidth="1"/>
    <col min="3330" max="3584" width="10.7109375" style="171"/>
    <col min="3585" max="3585" width="12.7109375" style="171" customWidth="1"/>
    <col min="3586" max="3840" width="10.7109375" style="171"/>
    <col min="3841" max="3841" width="12.7109375" style="171" customWidth="1"/>
    <col min="3842" max="4096" width="10.7109375" style="171"/>
    <col min="4097" max="4097" width="12.7109375" style="171" customWidth="1"/>
    <col min="4098" max="4352" width="10.7109375" style="171"/>
    <col min="4353" max="4353" width="12.7109375" style="171" customWidth="1"/>
    <col min="4354" max="4608" width="10.7109375" style="171"/>
    <col min="4609" max="4609" width="12.7109375" style="171" customWidth="1"/>
    <col min="4610" max="4864" width="10.7109375" style="171"/>
    <col min="4865" max="4865" width="12.7109375" style="171" customWidth="1"/>
    <col min="4866" max="5120" width="10.7109375" style="171"/>
    <col min="5121" max="5121" width="12.7109375" style="171" customWidth="1"/>
    <col min="5122" max="5376" width="10.7109375" style="171"/>
    <col min="5377" max="5377" width="12.7109375" style="171" customWidth="1"/>
    <col min="5378" max="5632" width="10.7109375" style="171"/>
    <col min="5633" max="5633" width="12.7109375" style="171" customWidth="1"/>
    <col min="5634" max="5888" width="10.7109375" style="171"/>
    <col min="5889" max="5889" width="12.7109375" style="171" customWidth="1"/>
    <col min="5890" max="6144" width="10.7109375" style="171"/>
    <col min="6145" max="6145" width="12.7109375" style="171" customWidth="1"/>
    <col min="6146" max="6400" width="10.7109375" style="171"/>
    <col min="6401" max="6401" width="12.7109375" style="171" customWidth="1"/>
    <col min="6402" max="6656" width="10.7109375" style="171"/>
    <col min="6657" max="6657" width="12.7109375" style="171" customWidth="1"/>
    <col min="6658" max="6912" width="10.7109375" style="171"/>
    <col min="6913" max="6913" width="12.7109375" style="171" customWidth="1"/>
    <col min="6914" max="7168" width="10.7109375" style="171"/>
    <col min="7169" max="7169" width="12.7109375" style="171" customWidth="1"/>
    <col min="7170" max="7424" width="10.7109375" style="171"/>
    <col min="7425" max="7425" width="12.7109375" style="171" customWidth="1"/>
    <col min="7426" max="7680" width="10.7109375" style="171"/>
    <col min="7681" max="7681" width="12.7109375" style="171" customWidth="1"/>
    <col min="7682" max="7936" width="10.7109375" style="171"/>
    <col min="7937" max="7937" width="12.7109375" style="171" customWidth="1"/>
    <col min="7938" max="8192" width="10.7109375" style="171"/>
    <col min="8193" max="8193" width="12.7109375" style="171" customWidth="1"/>
    <col min="8194" max="8448" width="10.7109375" style="171"/>
    <col min="8449" max="8449" width="12.7109375" style="171" customWidth="1"/>
    <col min="8450" max="8704" width="10.7109375" style="171"/>
    <col min="8705" max="8705" width="12.7109375" style="171" customWidth="1"/>
    <col min="8706" max="8960" width="10.7109375" style="171"/>
    <col min="8961" max="8961" width="12.7109375" style="171" customWidth="1"/>
    <col min="8962" max="9216" width="10.7109375" style="171"/>
    <col min="9217" max="9217" width="12.7109375" style="171" customWidth="1"/>
    <col min="9218" max="9472" width="10.7109375" style="171"/>
    <col min="9473" max="9473" width="12.7109375" style="171" customWidth="1"/>
    <col min="9474" max="9728" width="10.7109375" style="171"/>
    <col min="9729" max="9729" width="12.7109375" style="171" customWidth="1"/>
    <col min="9730" max="9984" width="10.7109375" style="171"/>
    <col min="9985" max="9985" width="12.7109375" style="171" customWidth="1"/>
    <col min="9986" max="10240" width="10.7109375" style="171"/>
    <col min="10241" max="10241" width="12.7109375" style="171" customWidth="1"/>
    <col min="10242" max="10496" width="10.7109375" style="171"/>
    <col min="10497" max="10497" width="12.7109375" style="171" customWidth="1"/>
    <col min="10498" max="10752" width="10.7109375" style="171"/>
    <col min="10753" max="10753" width="12.7109375" style="171" customWidth="1"/>
    <col min="10754" max="11008" width="10.7109375" style="171"/>
    <col min="11009" max="11009" width="12.7109375" style="171" customWidth="1"/>
    <col min="11010" max="11264" width="10.7109375" style="171"/>
    <col min="11265" max="11265" width="12.7109375" style="171" customWidth="1"/>
    <col min="11266" max="11520" width="10.7109375" style="171"/>
    <col min="11521" max="11521" width="12.7109375" style="171" customWidth="1"/>
    <col min="11522" max="11776" width="10.7109375" style="171"/>
    <col min="11777" max="11777" width="12.7109375" style="171" customWidth="1"/>
    <col min="11778" max="12032" width="10.7109375" style="171"/>
    <col min="12033" max="12033" width="12.7109375" style="171" customWidth="1"/>
    <col min="12034" max="12288" width="10.7109375" style="171"/>
    <col min="12289" max="12289" width="12.7109375" style="171" customWidth="1"/>
    <col min="12290" max="12544" width="10.7109375" style="171"/>
    <col min="12545" max="12545" width="12.7109375" style="171" customWidth="1"/>
    <col min="12546" max="12800" width="10.7109375" style="171"/>
    <col min="12801" max="12801" width="12.7109375" style="171" customWidth="1"/>
    <col min="12802" max="13056" width="10.7109375" style="171"/>
    <col min="13057" max="13057" width="12.7109375" style="171" customWidth="1"/>
    <col min="13058" max="13312" width="10.7109375" style="171"/>
    <col min="13313" max="13313" width="12.7109375" style="171" customWidth="1"/>
    <col min="13314" max="13568" width="10.7109375" style="171"/>
    <col min="13569" max="13569" width="12.7109375" style="171" customWidth="1"/>
    <col min="13570" max="13824" width="10.7109375" style="171"/>
    <col min="13825" max="13825" width="12.7109375" style="171" customWidth="1"/>
    <col min="13826" max="14080" width="10.7109375" style="171"/>
    <col min="14081" max="14081" width="12.7109375" style="171" customWidth="1"/>
    <col min="14082" max="14336" width="10.7109375" style="171"/>
    <col min="14337" max="14337" width="12.7109375" style="171" customWidth="1"/>
    <col min="14338" max="14592" width="10.7109375" style="171"/>
    <col min="14593" max="14593" width="12.7109375" style="171" customWidth="1"/>
    <col min="14594" max="14848" width="10.7109375" style="171"/>
    <col min="14849" max="14849" width="12.7109375" style="171" customWidth="1"/>
    <col min="14850" max="15104" width="10.7109375" style="171"/>
    <col min="15105" max="15105" width="12.7109375" style="171" customWidth="1"/>
    <col min="15106" max="15360" width="10.7109375" style="171"/>
    <col min="15361" max="15361" width="12.7109375" style="171" customWidth="1"/>
    <col min="15362" max="15616" width="10.7109375" style="171"/>
    <col min="15617" max="15617" width="12.7109375" style="171" customWidth="1"/>
    <col min="15618" max="15872" width="10.7109375" style="171"/>
    <col min="15873" max="15873" width="12.7109375" style="171" customWidth="1"/>
    <col min="15874" max="16128" width="10.7109375" style="171"/>
    <col min="16129" max="16129" width="12.7109375" style="171" customWidth="1"/>
    <col min="16130" max="16384" width="10.7109375" style="171"/>
  </cols>
  <sheetData>
    <row r="1" spans="1:14" ht="22.15" customHeight="1" x14ac:dyDescent="0.25">
      <c r="A1" s="71" t="s">
        <v>12</v>
      </c>
      <c r="B1" s="38">
        <f>[10]Input!B1</f>
        <v>3</v>
      </c>
      <c r="C1" s="38" t="str">
        <f>[10]Input!C1</f>
        <v>2019-2020</v>
      </c>
    </row>
    <row r="2" spans="1:14" ht="15" customHeight="1" x14ac:dyDescent="0.25">
      <c r="A2" s="172"/>
      <c r="B2" s="173" t="s">
        <v>171</v>
      </c>
      <c r="C2" s="174"/>
      <c r="D2" s="173" t="s">
        <v>15</v>
      </c>
      <c r="E2" s="175"/>
      <c r="F2" s="176" t="s">
        <v>172</v>
      </c>
      <c r="L2" s="139"/>
      <c r="M2" s="139"/>
      <c r="N2" s="139"/>
    </row>
    <row r="3" spans="1:14" ht="15" customHeight="1" x14ac:dyDescent="0.25">
      <c r="A3" s="177" t="s">
        <v>17</v>
      </c>
      <c r="B3" s="178">
        <f>[10]Input!B3</f>
        <v>51220.151770625169</v>
      </c>
      <c r="C3" s="179">
        <f>C4+C5</f>
        <v>1</v>
      </c>
      <c r="D3" s="180">
        <f>[10]Input!D3</f>
        <v>2765.1699999999996</v>
      </c>
      <c r="E3" s="179">
        <f>E4+E5</f>
        <v>1</v>
      </c>
      <c r="F3" s="181" t="s">
        <v>18</v>
      </c>
      <c r="H3" s="182" t="s">
        <v>19</v>
      </c>
      <c r="I3" s="183">
        <v>0.7</v>
      </c>
      <c r="J3" s="184">
        <f>I3*B3</f>
        <v>35854.106239437613</v>
      </c>
      <c r="K3" s="185" t="s">
        <v>173</v>
      </c>
      <c r="L3" s="186">
        <f>L54+L57</f>
        <v>35854.106239437606</v>
      </c>
      <c r="M3" s="187">
        <f>L3/(L4+L3)</f>
        <v>0.7</v>
      </c>
      <c r="N3" s="139"/>
    </row>
    <row r="4" spans="1:14" ht="15" customHeight="1" x14ac:dyDescent="0.25">
      <c r="A4" s="188" t="s">
        <v>20</v>
      </c>
      <c r="B4" s="189">
        <f>[10]Input!B4</f>
        <v>43806.034477544112</v>
      </c>
      <c r="C4" s="190">
        <f>B4/B3</f>
        <v>0.85524999366883825</v>
      </c>
      <c r="D4" s="191">
        <f>[10]Input!D4</f>
        <v>2494.9699999999998</v>
      </c>
      <c r="E4" s="190">
        <f>D4/D3</f>
        <v>0.90228448883793766</v>
      </c>
      <c r="F4" s="192">
        <f>[10]Input!F4</f>
        <v>17.557739963824861</v>
      </c>
      <c r="H4" s="182" t="s">
        <v>21</v>
      </c>
      <c r="I4" s="183">
        <v>0.3</v>
      </c>
      <c r="J4" s="184">
        <f>I4*B3</f>
        <v>15366.04553118755</v>
      </c>
      <c r="K4" s="185" t="s">
        <v>173</v>
      </c>
      <c r="L4" s="186">
        <f>L55+L58</f>
        <v>15366.045531187548</v>
      </c>
      <c r="M4" s="187">
        <f>L4/(L3+L4)</f>
        <v>0.30000000000000004</v>
      </c>
      <c r="N4" s="139"/>
    </row>
    <row r="5" spans="1:14" ht="15" customHeight="1" x14ac:dyDescent="0.25">
      <c r="A5" s="193" t="s">
        <v>22</v>
      </c>
      <c r="B5" s="194">
        <f>[10]Input!B5</f>
        <v>7414.117293081059</v>
      </c>
      <c r="C5" s="195">
        <f>B5/B3</f>
        <v>0.14475000633116175</v>
      </c>
      <c r="D5" s="196">
        <f>[10]Input!D5</f>
        <v>270.2</v>
      </c>
      <c r="E5" s="195">
        <f>D5/D3</f>
        <v>9.7715511162062382E-2</v>
      </c>
      <c r="F5" s="197">
        <f>[10]Input!F5</f>
        <v>27.439368220137155</v>
      </c>
      <c r="L5" s="139"/>
      <c r="M5" s="139"/>
      <c r="N5" s="139"/>
    </row>
    <row r="6" spans="1:14" ht="15" customHeight="1" x14ac:dyDescent="0.25">
      <c r="B6" s="198"/>
    </row>
    <row r="7" spans="1:14" ht="15" customHeight="1" x14ac:dyDescent="0.25">
      <c r="A7" s="71" t="s">
        <v>174</v>
      </c>
      <c r="B7" s="178">
        <f>[10]Input!B7</f>
        <v>55642.054105485877</v>
      </c>
      <c r="C7" s="179">
        <f>[10]Input!C7</f>
        <v>1</v>
      </c>
      <c r="D7" s="180">
        <f>[10]Input!D7</f>
        <v>605.28</v>
      </c>
      <c r="E7" s="179">
        <f>[10]Input!E7</f>
        <v>1</v>
      </c>
      <c r="F7" s="199">
        <f>[10]Input!F7</f>
        <v>91.927792270496099</v>
      </c>
      <c r="G7" s="171" t="str">
        <f>[10]Input!G7</f>
        <v>(230 kV)</v>
      </c>
    </row>
    <row r="9" spans="1:14" ht="15" customHeight="1" x14ac:dyDescent="0.25">
      <c r="A9" s="200" t="s">
        <v>175</v>
      </c>
      <c r="B9" s="201" t="s">
        <v>176</v>
      </c>
      <c r="C9" s="202" t="s">
        <v>177</v>
      </c>
      <c r="D9" s="202" t="s">
        <v>178</v>
      </c>
      <c r="E9" s="202" t="s">
        <v>179</v>
      </c>
      <c r="F9" s="202" t="s">
        <v>180</v>
      </c>
      <c r="G9" s="202" t="s">
        <v>181</v>
      </c>
      <c r="H9" s="203" t="s">
        <v>182</v>
      </c>
      <c r="I9" s="203" t="s">
        <v>183</v>
      </c>
      <c r="J9" s="203" t="s">
        <v>184</v>
      </c>
      <c r="K9" s="203" t="s">
        <v>185</v>
      </c>
      <c r="L9" s="203" t="s">
        <v>186</v>
      </c>
      <c r="M9" s="204" t="s">
        <v>187</v>
      </c>
    </row>
    <row r="10" spans="1:14" ht="15" customHeight="1" x14ac:dyDescent="0.25">
      <c r="A10" s="205"/>
      <c r="B10" s="206" t="s">
        <v>188</v>
      </c>
      <c r="C10" s="207" t="s">
        <v>189</v>
      </c>
      <c r="D10" s="207" t="s">
        <v>190</v>
      </c>
      <c r="E10" s="207" t="s">
        <v>191</v>
      </c>
      <c r="F10" s="207" t="s">
        <v>192</v>
      </c>
      <c r="G10" s="207" t="s">
        <v>193</v>
      </c>
      <c r="H10" s="207" t="s">
        <v>194</v>
      </c>
      <c r="I10" s="207" t="s">
        <v>195</v>
      </c>
      <c r="J10" s="207" t="s">
        <v>196</v>
      </c>
      <c r="K10" s="207" t="s">
        <v>197</v>
      </c>
      <c r="L10" s="207" t="s">
        <v>198</v>
      </c>
      <c r="M10" s="208" t="s">
        <v>199</v>
      </c>
    </row>
    <row r="11" spans="1:14" ht="15" customHeight="1" x14ac:dyDescent="0.25">
      <c r="A11" s="200" t="s">
        <v>200</v>
      </c>
      <c r="B11" s="201" t="s">
        <v>201</v>
      </c>
      <c r="C11" s="202" t="s">
        <v>201</v>
      </c>
      <c r="D11" s="202" t="s">
        <v>201</v>
      </c>
      <c r="E11" s="202" t="s">
        <v>201</v>
      </c>
      <c r="F11" s="202" t="s">
        <v>201</v>
      </c>
      <c r="G11" s="202" t="s">
        <v>201</v>
      </c>
      <c r="H11" s="203" t="s">
        <v>202</v>
      </c>
      <c r="I11" s="203" t="s">
        <v>202</v>
      </c>
      <c r="J11" s="203" t="s">
        <v>202</v>
      </c>
      <c r="K11" s="203" t="s">
        <v>202</v>
      </c>
      <c r="L11" s="203" t="s">
        <v>202</v>
      </c>
      <c r="M11" s="204" t="s">
        <v>201</v>
      </c>
    </row>
    <row r="12" spans="1:14" ht="15" customHeight="1" x14ac:dyDescent="0.25">
      <c r="A12" s="209">
        <f>SUM(B12:M12)</f>
        <v>8760</v>
      </c>
      <c r="B12" s="210">
        <f>24*31</f>
        <v>744</v>
      </c>
      <c r="C12" s="211">
        <f>24*31</f>
        <v>744</v>
      </c>
      <c r="D12" s="211">
        <f>24*30</f>
        <v>720</v>
      </c>
      <c r="E12" s="211">
        <f>24*31</f>
        <v>744</v>
      </c>
      <c r="F12" s="211">
        <f>24*30</f>
        <v>720</v>
      </c>
      <c r="G12" s="211">
        <f>24*31</f>
        <v>744</v>
      </c>
      <c r="H12" s="211">
        <f>24*31</f>
        <v>744</v>
      </c>
      <c r="I12" s="211">
        <f>24*28</f>
        <v>672</v>
      </c>
      <c r="J12" s="211">
        <f>24*31</f>
        <v>744</v>
      </c>
      <c r="K12" s="211">
        <f>24*30</f>
        <v>720</v>
      </c>
      <c r="L12" s="211">
        <f>24*31</f>
        <v>744</v>
      </c>
      <c r="M12" s="212">
        <f>24*30</f>
        <v>720</v>
      </c>
      <c r="N12" s="213">
        <f>SUM(B12:M12)</f>
        <v>8760</v>
      </c>
    </row>
    <row r="13" spans="1:14" ht="15" customHeight="1" x14ac:dyDescent="0.25">
      <c r="A13" s="214" t="s">
        <v>203</v>
      </c>
      <c r="B13" s="188">
        <f>[11]M01!$H$13</f>
        <v>744</v>
      </c>
      <c r="C13" s="139">
        <f>[11]M02!$H$13</f>
        <v>744</v>
      </c>
      <c r="D13" s="139">
        <f>[11]M03!$H$13</f>
        <v>720</v>
      </c>
      <c r="E13" s="139">
        <f>[11]M04!$H$13</f>
        <v>744</v>
      </c>
      <c r="F13" s="139">
        <f>[11]M05!$H$13</f>
        <v>720</v>
      </c>
      <c r="G13" s="139">
        <f>[11]M06!$H$13</f>
        <v>744</v>
      </c>
      <c r="H13" s="139">
        <f>[11]M07!$H$13</f>
        <v>744</v>
      </c>
      <c r="I13" s="139">
        <f>[11]M08!$H$13</f>
        <v>672</v>
      </c>
      <c r="J13" s="139">
        <f>[11]M09!$H$13</f>
        <v>744</v>
      </c>
      <c r="K13" s="139">
        <f>[11]M10!$H$13</f>
        <v>720</v>
      </c>
      <c r="L13" s="139">
        <f>[11]M11!$H$13</f>
        <v>744</v>
      </c>
      <c r="M13" s="215">
        <f>[11]M12!$H$13</f>
        <v>720</v>
      </c>
      <c r="N13" s="213">
        <f>SUM(B13:M13)</f>
        <v>8760</v>
      </c>
    </row>
    <row r="14" spans="1:14" ht="15" customHeight="1" x14ac:dyDescent="0.25">
      <c r="A14" s="205" t="s">
        <v>204</v>
      </c>
      <c r="B14" s="216">
        <f>[11]M01!$I$13</f>
        <v>8.4931506849315067E-2</v>
      </c>
      <c r="C14" s="217">
        <f>[11]M02!$I$13</f>
        <v>8.4931506849315053E-2</v>
      </c>
      <c r="D14" s="217">
        <f>[11]M03!$I$13</f>
        <v>8.2191780821917831E-2</v>
      </c>
      <c r="E14" s="217">
        <f>[11]M04!$I$13</f>
        <v>8.4931506849315067E-2</v>
      </c>
      <c r="F14" s="217">
        <f>[11]M05!$I$13</f>
        <v>8.2191780821917804E-2</v>
      </c>
      <c r="G14" s="217">
        <f>[11]M06!$I$13</f>
        <v>8.4931506849315067E-2</v>
      </c>
      <c r="H14" s="217">
        <f>[11]M07!$I$13</f>
        <v>8.4931506849315067E-2</v>
      </c>
      <c r="I14" s="217">
        <f>[11]M08!$I$13</f>
        <v>7.6712328767123292E-2</v>
      </c>
      <c r="J14" s="217">
        <f>[11]M09!$I$13</f>
        <v>8.493150684931508E-2</v>
      </c>
      <c r="K14" s="217">
        <f>[11]M10!$I$13</f>
        <v>8.2191780821917804E-2</v>
      </c>
      <c r="L14" s="217">
        <f>[11]M11!$I$13</f>
        <v>8.4931506849315053E-2</v>
      </c>
      <c r="M14" s="218">
        <f>[11]M12!$I$13</f>
        <v>8.2191780821917804E-2</v>
      </c>
      <c r="N14" s="219">
        <f>SUM(B14:M14)</f>
        <v>0.99999999999999989</v>
      </c>
    </row>
    <row r="16" spans="1:14" ht="20.25" customHeight="1" x14ac:dyDescent="0.25">
      <c r="A16" s="220" t="s">
        <v>34</v>
      </c>
      <c r="B16" s="221">
        <v>1</v>
      </c>
      <c r="C16" s="221">
        <v>2</v>
      </c>
      <c r="D16" s="221">
        <v>3</v>
      </c>
      <c r="E16" s="221">
        <v>4</v>
      </c>
      <c r="F16" s="221">
        <v>5</v>
      </c>
      <c r="G16" s="221">
        <v>6</v>
      </c>
      <c r="H16" s="221">
        <v>7</v>
      </c>
      <c r="I16" s="221">
        <v>8</v>
      </c>
      <c r="J16" s="221">
        <v>9</v>
      </c>
      <c r="K16" s="222">
        <v>10</v>
      </c>
      <c r="L16" s="223" t="s">
        <v>3</v>
      </c>
    </row>
    <row r="17" spans="1:14" ht="25.15" customHeight="1" x14ac:dyDescent="0.25">
      <c r="A17" s="224" t="s">
        <v>205</v>
      </c>
      <c r="B17" s="225" t="s">
        <v>206</v>
      </c>
      <c r="C17" s="225" t="s">
        <v>207</v>
      </c>
      <c r="D17" s="225" t="s">
        <v>208</v>
      </c>
      <c r="E17" s="225" t="s">
        <v>209</v>
      </c>
      <c r="F17" s="225" t="s">
        <v>210</v>
      </c>
      <c r="G17" s="225" t="s">
        <v>211</v>
      </c>
      <c r="H17" s="225" t="s">
        <v>212</v>
      </c>
      <c r="I17" s="225" t="s">
        <v>213</v>
      </c>
      <c r="J17" s="225" t="s">
        <v>214</v>
      </c>
      <c r="K17" s="226" t="s">
        <v>215</v>
      </c>
      <c r="L17" s="227"/>
    </row>
    <row r="18" spans="1:14" ht="20.25" customHeight="1" x14ac:dyDescent="0.25">
      <c r="A18" s="228" t="s">
        <v>216</v>
      </c>
      <c r="L18" s="229"/>
    </row>
    <row r="19" spans="1:14" ht="15" customHeight="1" x14ac:dyDescent="0.25">
      <c r="A19" s="200" t="s">
        <v>217</v>
      </c>
      <c r="B19" s="230">
        <f>[10]Input!B11</f>
        <v>294.5</v>
      </c>
      <c r="C19" s="231">
        <f>[10]Input!C11</f>
        <v>537.79999999999995</v>
      </c>
      <c r="D19" s="231">
        <f>[10]Input!D11</f>
        <v>155.26999999999998</v>
      </c>
      <c r="E19" s="231">
        <f>[10]Input!E11</f>
        <v>375.70699999999999</v>
      </c>
      <c r="F19" s="231">
        <f>[10]Input!F11</f>
        <v>606.81000000000006</v>
      </c>
      <c r="G19" s="231">
        <f>[10]Input!G11</f>
        <v>147</v>
      </c>
      <c r="H19" s="231">
        <f>[10]Input!H11</f>
        <v>195.98</v>
      </c>
      <c r="I19" s="231">
        <f>[10]Input!I11</f>
        <v>260</v>
      </c>
      <c r="J19" s="231">
        <f>[10]Input!J11</f>
        <v>792.53</v>
      </c>
      <c r="K19" s="232">
        <f>[10]Input!K11</f>
        <v>252.17</v>
      </c>
      <c r="L19" s="233">
        <f>SUM(B19:K19)</f>
        <v>3617.7669999999998</v>
      </c>
    </row>
    <row r="20" spans="1:14" ht="15" customHeight="1" x14ac:dyDescent="0.25">
      <c r="A20" s="205" t="s">
        <v>31</v>
      </c>
      <c r="B20" s="234">
        <f>[10]Input!B12</f>
        <v>38.67</v>
      </c>
      <c r="C20" s="235">
        <f>[10]Input!C12</f>
        <v>0</v>
      </c>
      <c r="D20" s="235">
        <f>[10]Input!D12</f>
        <v>0.11</v>
      </c>
      <c r="E20" s="235">
        <f>[10]Input!E12</f>
        <v>110.14999999999999</v>
      </c>
      <c r="F20" s="235">
        <f>[10]Input!F12</f>
        <v>232.27983529537579</v>
      </c>
      <c r="G20" s="235">
        <f>[10]Input!G12</f>
        <v>165.64199929453994</v>
      </c>
      <c r="H20" s="235">
        <f>[10]Input!H12</f>
        <v>1072.8601093489131</v>
      </c>
      <c r="I20" s="235">
        <f>[10]Input!I12</f>
        <v>0</v>
      </c>
      <c r="J20" s="235">
        <f>[10]Input!J12</f>
        <v>136.93050338355616</v>
      </c>
      <c r="K20" s="236">
        <f>[10]Input!K12</f>
        <v>90.39</v>
      </c>
      <c r="L20" s="237">
        <f>SUM(B20:K20)</f>
        <v>1847.0324473223852</v>
      </c>
    </row>
    <row r="21" spans="1:14" ht="20.25" customHeight="1" x14ac:dyDescent="0.25">
      <c r="A21" s="228" t="s">
        <v>218</v>
      </c>
      <c r="L21" s="229"/>
    </row>
    <row r="22" spans="1:14" ht="15" customHeight="1" x14ac:dyDescent="0.25">
      <c r="A22" s="200" t="s">
        <v>219</v>
      </c>
      <c r="B22" s="230">
        <f>SUM([11]M01!B21*$B$14,[11]M02!B21*$C$14,[11]M03!B21*$D$14,[11]M04!B21*$E$14,[11]M05!B21*$F$14,[11]M06!B21*$G$14,[11]M07!B21*$H$14,[11]M08!B21*$I$14,[11]M09!B21*$J$14,[11]M10!B21*$K$14,[11]M11!B21*$L$14,[11]M12!B21*$M$14)/$N$14</f>
        <v>128.53966894977174</v>
      </c>
      <c r="C22" s="231">
        <f>SUM([11]M01!C21*$B$14,[11]M02!C21*$C$14,[11]M03!C21*$D$14,[11]M04!C21*$E$14,[11]M05!C21*$F$14,[11]M06!C21*$G$14,[11]M07!C21*$H$14,[11]M08!C21*$I$14,[11]M09!C21*$J$14,[11]M10!C21*$K$14,[11]M11!C21*$L$14,[11]M12!C21*$M$14)/$N$14</f>
        <v>172.98794520547952</v>
      </c>
      <c r="D22" s="231">
        <f>SUM([11]M01!D21*$B$14,[11]M02!D21*$C$14,[11]M03!D21*$D$14,[11]M04!D21*$E$14,[11]M05!D21*$F$14,[11]M06!D21*$G$14,[11]M07!D21*$H$14,[11]M08!D21*$I$14,[11]M09!D21*$J$14,[11]M10!D21*$K$14,[11]M11!D21*$L$14,[11]M12!D21*$M$14)/$N$14</f>
        <v>113.05232876712331</v>
      </c>
      <c r="E22" s="231">
        <f>SUM([11]M01!E21*$B$14,[11]M02!E21*$C$14,[11]M03!E21*$D$14,[11]M04!E21*$E$14,[11]M05!E21*$F$14,[11]M06!E21*$G$14,[11]M07!E21*$H$14,[11]M08!E21*$I$14,[11]M09!E21*$J$14,[11]M10!E21*$K$14,[11]M11!E21*$L$14,[11]M12!E21*$M$14)/$N$14</f>
        <v>277.54996004566215</v>
      </c>
      <c r="F22" s="231">
        <f>SUM([11]M01!F21*$B$14,[11]M02!F21*$C$14,[11]M03!F21*$D$14,[11]M04!F21*$E$14,[11]M05!F21*$F$14,[11]M06!F21*$G$14,[11]M07!F21*$H$14,[11]M08!F21*$I$14,[11]M09!F21*$J$14,[11]M10!F21*$K$14,[11]M11!F21*$L$14,[11]M12!F21*$M$14)/$N$14</f>
        <v>195.89317922374431</v>
      </c>
      <c r="G22" s="231">
        <f>SUM([11]M01!G21*$B$14,[11]M02!G21*$C$14,[11]M03!G21*$D$14,[11]M04!G21*$E$14,[11]M05!G21*$F$14,[11]M06!G21*$G$14,[11]M07!G21*$H$14,[11]M08!G21*$I$14,[11]M09!G21*$J$14,[11]M10!G21*$K$14,[11]M11!G21*$L$14,[11]M12!G21*$M$14)/$N$14</f>
        <v>0</v>
      </c>
      <c r="H22" s="231">
        <f>SUM([11]M01!H21*$B$14,[11]M02!H21*$C$14,[11]M03!H21*$D$14,[11]M04!H21*$E$14,[11]M05!H21*$F$14,[11]M06!H21*$G$14,[11]M07!H21*$H$14,[11]M08!H21*$I$14,[11]M09!H21*$J$14,[11]M10!H21*$K$14,[11]M11!H21*$L$14,[11]M12!H21*$M$14)/$N$14</f>
        <v>80.593321917808225</v>
      </c>
      <c r="I22" s="231">
        <f>SUM([11]M01!I21*$B$14,[11]M02!I21*$C$14,[11]M03!I21*$D$14,[11]M04!I21*$E$14,[11]M05!I21*$F$14,[11]M06!I21*$G$14,[11]M07!I21*$H$14,[11]M08!I21*$I$14,[11]M09!I21*$J$14,[11]M10!I21*$K$14,[11]M11!I21*$L$14,[11]M12!I21*$M$14)/$N$14</f>
        <v>139.57954337899548</v>
      </c>
      <c r="J22" s="231">
        <f>SUM([11]M01!J21*$B$14,[11]M02!J21*$C$14,[11]M03!J21*$D$14,[11]M04!J21*$E$14,[11]M05!J21*$F$14,[11]M06!J21*$G$14,[11]M07!J21*$H$14,[11]M08!J21*$I$14,[11]M09!J21*$J$14,[11]M10!J21*$K$14,[11]M11!J21*$L$14,[11]M12!J21*$M$14)/$N$14</f>
        <v>105.28567351598174</v>
      </c>
      <c r="K22" s="232">
        <f>SUM([11]M01!K21*$B$14,[11]M02!K21*$C$14,[11]M03!K21*$D$14,[11]M04!K21*$E$14,[11]M05!K21*$F$14,[11]M06!K21*$G$14,[11]M07!K21*$H$14,[11]M08!K21*$I$14,[11]M09!K21*$J$14,[11]M10!K21*$K$14,[11]M11!K21*$L$14,[11]M12!K21*$M$14)/$N$14</f>
        <v>182.78880707762559</v>
      </c>
      <c r="L22" s="233">
        <f>SUM(B22:K22)</f>
        <v>1396.270428082192</v>
      </c>
    </row>
    <row r="23" spans="1:14" ht="15" customHeight="1" x14ac:dyDescent="0.25">
      <c r="A23" s="205" t="s">
        <v>220</v>
      </c>
      <c r="B23" s="234">
        <f>SUM([11]M01!B22*$B$14,[11]M02!B22*$C$14,[11]M03!B22*$D$14,[11]M04!B22*$E$14,[11]M05!B22*$F$14,[11]M06!B22*$G$14,[11]M07!B22*$H$14,[11]M08!B22*$I$14,[11]M09!B22*$J$14,[11]M10!B22*$K$14,[11]M11!B22*$L$14,[11]M12!B22*$M$14)/$N$14</f>
        <v>8.8771974885844767</v>
      </c>
      <c r="C23" s="235">
        <f>SUM([11]M01!C22*$B$14,[11]M02!C22*$C$14,[11]M03!C22*$D$14,[11]M04!C22*$E$14,[11]M05!C22*$F$14,[11]M06!C22*$G$14,[11]M07!C22*$H$14,[11]M08!C22*$I$14,[11]M09!C22*$J$14,[11]M10!C22*$K$14,[11]M11!C22*$L$14,[11]M12!C22*$M$14)/$N$14</f>
        <v>0</v>
      </c>
      <c r="D23" s="235">
        <f>SUM([11]M01!D22*$B$14,[11]M02!D22*$C$14,[11]M03!D22*$D$14,[11]M04!D22*$E$14,[11]M05!D22*$F$14,[11]M06!D22*$G$14,[11]M07!D22*$H$14,[11]M08!D22*$I$14,[11]M09!D22*$J$14,[11]M10!D22*$K$14,[11]M11!D22*$L$14,[11]M12!D22*$M$14)/$N$14</f>
        <v>0.15190068493150685</v>
      </c>
      <c r="E23" s="235">
        <f>SUM([11]M01!E22*$B$14,[11]M02!E22*$C$14,[11]M03!E22*$D$14,[11]M04!E22*$E$14,[11]M05!E22*$F$14,[11]M06!E22*$G$14,[11]M07!E22*$H$14,[11]M08!E22*$I$14,[11]M09!E22*$J$14,[11]M10!E22*$K$14,[11]M11!E22*$L$14,[11]M12!E22*$M$14)/$N$14</f>
        <v>42.679360730593615</v>
      </c>
      <c r="F23" s="235">
        <f>SUM([11]M01!F22*$B$14,[11]M02!F22*$C$14,[11]M03!F22*$D$14,[11]M04!F22*$E$14,[11]M05!F22*$F$14,[11]M06!F22*$G$14,[11]M07!F22*$H$14,[11]M08!F22*$I$14,[11]M09!F22*$J$14,[11]M10!F22*$K$14,[11]M11!F22*$L$14,[11]M12!F22*$M$14)/$N$14</f>
        <v>186.10070205479454</v>
      </c>
      <c r="G23" s="235">
        <f>SUM([11]M01!G22*$B$14,[11]M02!G22*$C$14,[11]M03!G22*$D$14,[11]M04!G22*$E$14,[11]M05!G22*$F$14,[11]M06!G22*$G$14,[11]M07!G22*$H$14,[11]M08!G22*$I$14,[11]M09!G22*$J$14,[11]M10!G22*$K$14,[11]M11!G22*$L$14,[11]M12!G22*$M$14)/$N$14</f>
        <v>78.594897260273981</v>
      </c>
      <c r="H23" s="235">
        <f>SUM([11]M01!H22*$B$14,[11]M02!H22*$C$14,[11]M03!H22*$D$14,[11]M04!H22*$E$14,[11]M05!H22*$F$14,[11]M06!H22*$G$14,[11]M07!H22*$H$14,[11]M08!H22*$I$14,[11]M09!H22*$J$14,[11]M10!H22*$K$14,[11]M11!H22*$L$14,[11]M12!H22*$M$14)/$N$14</f>
        <v>892.64569063926945</v>
      </c>
      <c r="I23" s="235">
        <f>SUM([11]M01!I22*$B$14,[11]M02!I22*$C$14,[11]M03!I22*$D$14,[11]M04!I22*$E$14,[11]M05!I22*$F$14,[11]M06!I22*$G$14,[11]M07!I22*$H$14,[11]M08!I22*$I$14,[11]M09!I22*$J$14,[11]M10!I22*$K$14,[11]M11!I22*$L$14,[11]M12!I22*$M$14)/$N$14</f>
        <v>0</v>
      </c>
      <c r="J23" s="235">
        <f>SUM([11]M01!J22*$B$14,[11]M02!J22*$C$14,[11]M03!J22*$D$14,[11]M04!J22*$E$14,[11]M05!J22*$F$14,[11]M06!J22*$G$14,[11]M07!J22*$H$14,[11]M08!J22*$I$14,[11]M09!J22*$J$14,[11]M10!J22*$K$14,[11]M11!J22*$L$14,[11]M12!J22*$M$14)/$N$14</f>
        <v>173.62295662100462</v>
      </c>
      <c r="K23" s="236">
        <f>SUM([11]M01!K22*$B$14,[11]M02!K22*$C$14,[11]M03!K22*$D$14,[11]M04!K22*$E$14,[11]M05!K22*$F$14,[11]M06!K22*$G$14,[11]M07!K22*$H$14,[11]M08!K22*$I$14,[11]M09!K22*$J$14,[11]M10!K22*$K$14,[11]M11!K22*$L$14,[11]M12!K22*$M$14)/$N$14</f>
        <v>13.374863013698633</v>
      </c>
      <c r="L23" s="237">
        <f>SUM(B23:K23)</f>
        <v>1396.0475684931509</v>
      </c>
    </row>
    <row r="24" spans="1:14" ht="20.25" customHeight="1" x14ac:dyDescent="0.25">
      <c r="A24" s="228" t="s">
        <v>221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29"/>
    </row>
    <row r="25" spans="1:14" ht="15" customHeight="1" x14ac:dyDescent="0.25">
      <c r="A25" s="200" t="s">
        <v>222</v>
      </c>
      <c r="B25" s="230">
        <f>SUM([11]M01!B24,[11]M02!B24,[11]M03!B24,[11]M04!B24,[11]M05!B24,[11]M06!B24,[11]M07!B24,[11]M08!B24,[11]M09!B24,[11]M10!B24,[11]M11!B24,[11]M12!B24)</f>
        <v>1126.0075000000002</v>
      </c>
      <c r="C25" s="231">
        <f>SUM([11]M01!C24,[11]M02!C24,[11]M03!C24,[11]M04!C24,[11]M05!C24,[11]M06!C24,[11]M07!C24,[11]M08!C24,[11]M09!C24,[11]M10!C24,[11]M11!C24,[11]M12!C24)</f>
        <v>1515.3744000000002</v>
      </c>
      <c r="D25" s="231">
        <f>SUM([11]M01!D24,[11]M02!D24,[11]M03!D24,[11]M04!D24,[11]M05!D24,[11]M06!D24,[11]M07!D24,[11]M08!D24,[11]M09!D24,[11]M10!D24,[11]M11!D24,[11]M12!D24)</f>
        <v>990.33840000000009</v>
      </c>
      <c r="E25" s="231">
        <f>SUM([11]M01!E24,[11]M02!E24,[11]M03!E24,[11]M04!E24,[11]M05!E24,[11]M06!E24,[11]M07!E24,[11]M08!E24,[11]M09!E24,[11]M10!E24,[11]M11!E24,[11]M12!E24)</f>
        <v>2431.3376499999999</v>
      </c>
      <c r="F25" s="231">
        <f>SUM([11]M01!F24,[11]M02!F24,[11]M03!F24,[11]M04!F24,[11]M05!F24,[11]M06!F24,[11]M07!F24,[11]M08!F24,[11]M09!F24,[11]M10!F24,[11]M11!F24,[11]M12!F24)</f>
        <v>1716.0242499999997</v>
      </c>
      <c r="G25" s="231">
        <f>SUM([11]M01!G24,[11]M02!G24,[11]M03!G24,[11]M04!G24,[11]M05!G24,[11]M06!G24,[11]M07!G24,[11]M08!G24,[11]M09!G24,[11]M10!G24,[11]M11!G24,[11]M12!G24)</f>
        <v>0</v>
      </c>
      <c r="H25" s="231">
        <f>SUM([11]M01!H24,[11]M02!H24,[11]M03!H24,[11]M04!H24,[11]M05!H24,[11]M06!H24,[11]M07!H24,[11]M08!H24,[11]M09!H24,[11]M10!H24,[11]M11!H24,[11]M12!H24)</f>
        <v>705.99750000000006</v>
      </c>
      <c r="I25" s="231">
        <f>SUM([11]M01!I24,[11]M02!I24,[11]M03!I24,[11]M04!I24,[11]M05!I24,[11]M06!I24,[11]M07!I24,[11]M08!I24,[11]M09!I24,[11]M10!I24,[11]M11!I24,[11]M12!I24)</f>
        <v>1222.7168000000001</v>
      </c>
      <c r="J25" s="231">
        <f>SUM([11]M01!J24,[11]M02!J24,[11]M03!J24,[11]M04!J24,[11]M05!J24,[11]M06!J24,[11]M07!J24,[11]M08!J24,[11]M09!J24,[11]M10!J24,[11]M11!J24,[11]M12!J24)</f>
        <v>922.30250000000001</v>
      </c>
      <c r="K25" s="232">
        <f>SUM([11]M01!K24,[11]M02!K24,[11]M03!K24,[11]M04!K24,[11]M05!K24,[11]M06!K24,[11]M07!K24,[11]M08!K24,[11]M09!K24,[11]M10!K24,[11]M11!K24,[11]M12!K24)</f>
        <v>1601.2299500000001</v>
      </c>
      <c r="L25" s="233">
        <f>SUM(B25:K25)</f>
        <v>12231.328950000001</v>
      </c>
    </row>
    <row r="26" spans="1:14" ht="15" customHeight="1" x14ac:dyDescent="0.25">
      <c r="A26" s="205" t="s">
        <v>223</v>
      </c>
      <c r="B26" s="234">
        <f>SUM([11]M01!B25,[11]M02!B25,[11]M03!B25,[11]M04!B25,[11]M05!B25,[11]M06!B25,[11]M07!B25,[11]M08!B25,[11]M09!B25,[11]M10!B25,[11]M11!B25,[11]M12!B25)</f>
        <v>77.76424999999999</v>
      </c>
      <c r="C26" s="235">
        <f>SUM([11]M01!C25,[11]M02!C25,[11]M03!C25,[11]M04!C25,[11]M05!C25,[11]M06!C25,[11]M07!C25,[11]M08!C25,[11]M09!C25,[11]M10!C25,[11]M11!C25,[11]M12!C25)</f>
        <v>0</v>
      </c>
      <c r="D26" s="235">
        <f>SUM([11]M01!D25,[11]M02!D25,[11]M03!D25,[11]M04!D25,[11]M05!D25,[11]M06!D25,[11]M07!D25,[11]M08!D25,[11]M09!D25,[11]M10!D25,[11]M11!D25,[11]M12!D25)</f>
        <v>1.3306500000000001</v>
      </c>
      <c r="E26" s="235">
        <f>SUM([11]M01!E25,[11]M02!E25,[11]M03!E25,[11]M04!E25,[11]M05!E25,[11]M06!E25,[11]M07!E25,[11]M08!E25,[11]M09!E25,[11]M10!E25,[11]M11!E25,[11]M12!E25)</f>
        <v>373.87119999999993</v>
      </c>
      <c r="F26" s="235">
        <f>SUM([11]M01!F25,[11]M02!F25,[11]M03!F25,[11]M04!F25,[11]M05!F25,[11]M06!F25,[11]M07!F25,[11]M08!F25,[11]M09!F25,[11]M10!F25,[11]M11!F25,[11]M12!F25)</f>
        <v>1630.2421499999996</v>
      </c>
      <c r="G26" s="235">
        <f>SUM([11]M01!G25,[11]M02!G25,[11]M03!G25,[11]M04!G25,[11]M05!G25,[11]M06!G25,[11]M07!G25,[11]M08!G25,[11]M09!G25,[11]M10!G25,[11]M11!G25,[11]M12!G25)</f>
        <v>688.49130000000002</v>
      </c>
      <c r="H26" s="235">
        <f>SUM([11]M01!H25,[11]M02!H25,[11]M03!H25,[11]M04!H25,[11]M05!H25,[11]M06!H25,[11]M07!H25,[11]M08!H25,[11]M09!H25,[11]M10!H25,[11]M11!H25,[11]M12!H25)</f>
        <v>7819.5762499999983</v>
      </c>
      <c r="I26" s="235">
        <f>SUM([11]M01!I25,[11]M02!I25,[11]M03!I25,[11]M04!I25,[11]M05!I25,[11]M06!I25,[11]M07!I25,[11]M08!I25,[11]M09!I25,[11]M10!I25,[11]M11!I25,[11]M12!I25)</f>
        <v>0</v>
      </c>
      <c r="J26" s="235">
        <f>SUM([11]M01!J25,[11]M02!J25,[11]M03!J25,[11]M04!J25,[11]M05!J25,[11]M06!J25,[11]M07!J25,[11]M08!J25,[11]M09!J25,[11]M10!J25,[11]M11!J25,[11]M12!J25)</f>
        <v>1520.9370999999999</v>
      </c>
      <c r="K26" s="236">
        <f>SUM([11]M01!K25,[11]M02!K25,[11]M03!K25,[11]M04!K25,[11]M05!K25,[11]M06!K25,[11]M07!K25,[11]M08!K25,[11]M09!K25,[11]M10!K25,[11]M11!K25,[11]M12!K25)</f>
        <v>117.16379999999999</v>
      </c>
      <c r="L26" s="237">
        <f>SUM(B26:K26)</f>
        <v>12229.376699999997</v>
      </c>
    </row>
    <row r="27" spans="1:14" ht="9.9499999999999993" customHeight="1" x14ac:dyDescent="0.25">
      <c r="A27" s="1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40"/>
      <c r="N27" s="241"/>
    </row>
    <row r="28" spans="1:14" ht="20.25" customHeight="1" x14ac:dyDescent="0.25">
      <c r="A28" s="228" t="s">
        <v>224</v>
      </c>
      <c r="L28" s="229"/>
      <c r="N28" s="241"/>
    </row>
    <row r="29" spans="1:14" ht="15" customHeight="1" x14ac:dyDescent="0.25">
      <c r="A29" s="242" t="s">
        <v>5</v>
      </c>
      <c r="B29" s="243">
        <f>SUM([11]M01!B27*$B$14,[11]M02!B27*$C$14,[11]M03!B27*$D$14,[11]M04!B27*$E$14,[11]M05!B27*$F$14,[11]M06!B27*$G$14,[11]M07!B27*$H$14,[11]M08!B27*$I$14,[11]M09!B27*$J$14,[11]M10!B27*$K$14,[11]M11!B27*$L$14,[11]M12!B27*$M$14)/$N$14</f>
        <v>2.1531455887247355</v>
      </c>
      <c r="C29" s="244">
        <f>SUM([11]M01!C27*$B$14,[11]M02!C27*$C$14,[11]M03!C27*$D$14,[11]M04!C27*$E$14,[11]M05!C27*$F$14,[11]M06!C27*$G$14,[11]M07!C27*$H$14,[11]M08!C27*$I$14,[11]M09!C27*$J$14,[11]M10!C27*$K$14,[11]M11!C27*$L$14,[11]M12!C27*$M$14)/$N$14</f>
        <v>1.9692713559515389</v>
      </c>
      <c r="D29" s="244">
        <f>SUM([11]M01!D27*$B$14,[11]M02!D27*$C$14,[11]M03!D27*$D$14,[11]M04!D27*$E$14,[11]M05!D27*$F$14,[11]M06!D27*$G$14,[11]M07!D27*$H$14,[11]M08!D27*$I$14,[11]M09!D27*$J$14,[11]M10!D27*$K$14,[11]M11!D27*$L$14,[11]M12!D27*$M$14)/$N$14</f>
        <v>2.5026824079027885</v>
      </c>
      <c r="E29" s="244">
        <f>SUM([11]M01!E27*$B$14,[11]M02!E27*$C$14,[11]M03!E27*$D$14,[11]M04!E27*$E$14,[11]M05!E27*$F$14,[11]M06!E27*$G$14,[11]M07!E27*$H$14,[11]M08!E27*$I$14,[11]M09!E27*$J$14,[11]M10!E27*$K$14,[11]M11!E27*$L$14,[11]M12!E27*$M$14)/$N$14</f>
        <v>1.6396817712539831</v>
      </c>
      <c r="F29" s="244">
        <f>SUM([11]M01!F27*$B$14,[11]M02!F27*$C$14,[11]M03!F27*$D$14,[11]M04!F27*$E$14,[11]M05!F27*$F$14,[11]M06!F27*$G$14,[11]M07!F27*$H$14,[11]M08!F27*$I$14,[11]M09!F27*$J$14,[11]M10!F27*$K$14,[11]M11!F27*$L$14,[11]M12!F27*$M$14)/$N$14</f>
        <v>0.63885369812695358</v>
      </c>
      <c r="G29" s="244">
        <f>SUM([11]M01!G27*$B$14,[11]M02!G27*$C$14,[11]M03!G27*$D$14,[11]M04!G27*$E$14,[11]M05!G27*$F$14,[11]M06!G27*$G$14,[11]M07!G27*$H$14,[11]M08!G27*$I$14,[11]M09!G27*$J$14,[11]M10!G27*$K$14,[11]M11!G27*$L$14,[11]M12!G27*$M$14)/$N$14</f>
        <v>0</v>
      </c>
      <c r="H29" s="244">
        <f>SUM([11]M01!H27*$B$14,[11]M02!H27*$C$14,[11]M03!H27*$D$14,[11]M04!H27*$E$14,[11]M05!H27*$F$14,[11]M06!H27*$G$14,[11]M07!H27*$H$14,[11]M08!H27*$I$14,[11]M09!H27*$J$14,[11]M10!H27*$K$14,[11]M11!H27*$L$14,[11]M12!H27*$M$14)/$N$14</f>
        <v>5.3985785321662871E-2</v>
      </c>
      <c r="I29" s="244">
        <f>SUM([11]M01!I27*$B$14,[11]M02!I27*$C$14,[11]M03!I27*$D$14,[11]M04!I27*$E$14,[11]M05!I27*$F$14,[11]M06!I27*$G$14,[11]M07!I27*$H$14,[11]M08!I27*$I$14,[11]M09!I27*$J$14,[11]M10!I27*$K$14,[11]M11!I27*$L$14,[11]M12!I27*$M$14)/$N$14</f>
        <v>0.49024445280984824</v>
      </c>
      <c r="J29" s="244">
        <f>SUM([11]M01!J27*$B$14,[11]M02!J27*$C$14,[11]M03!J27*$D$14,[11]M04!J27*$E$14,[11]M05!J27*$F$14,[11]M06!J27*$G$14,[11]M07!J27*$H$14,[11]M08!J27*$I$14,[11]M09!J27*$J$14,[11]M10!J27*$K$14,[11]M11!J27*$L$14,[11]M12!J27*$M$14)/$N$14</f>
        <v>6.7689280218361306E-2</v>
      </c>
      <c r="K29" s="245">
        <f>SUM([11]M01!K27*$B$14,[11]M02!K27*$C$14,[11]M03!K27*$D$14,[11]M04!K27*$E$14,[11]M05!K27*$F$14,[11]M06!K27*$G$14,[11]M07!K27*$H$14,[11]M08!K27*$I$14,[11]M09!K27*$J$14,[11]M10!K27*$K$14,[11]M11!K27*$L$14,[11]M12!K27*$M$14)/$N$14</f>
        <v>2.6229499593424599</v>
      </c>
      <c r="L29" s="229"/>
      <c r="N29" s="241"/>
    </row>
    <row r="30" spans="1:14" ht="15" customHeight="1" x14ac:dyDescent="0.25">
      <c r="A30" s="246" t="s">
        <v>225</v>
      </c>
      <c r="B30" s="247">
        <f>SUM([11]M01!B28*$B$14,[11]M02!B28*$C$14,[11]M03!B28*$D$14,[11]M04!B28*$E$14,[11]M05!B28*$F$14,[11]M06!B28*$G$14,[11]M07!B28*$H$14,[11]M08!B28*$I$14,[11]M09!B28*$J$14,[11]M10!B28*$K$14,[11]M11!B28*$L$14,[11]M12!B28*$M$14)/$N$14</f>
        <v>2.5990161494076204E-3</v>
      </c>
      <c r="C30" s="248">
        <f>SUM([11]M01!C28*$B$14,[11]M02!C28*$C$14,[11]M03!C28*$D$14,[11]M04!C28*$E$14,[11]M05!C28*$F$14,[11]M06!C28*$G$14,[11]M07!C28*$H$14,[11]M08!C28*$I$14,[11]M09!C28*$J$14,[11]M10!C28*$K$14,[11]M11!C28*$L$14,[11]M12!C28*$M$14)/$N$14</f>
        <v>0</v>
      </c>
      <c r="D30" s="248">
        <f>SUM([11]M01!D28*$B$14,[11]M02!D28*$C$14,[11]M03!D28*$D$14,[11]M04!D28*$E$14,[11]M05!D28*$F$14,[11]M06!D28*$G$14,[11]M07!D28*$H$14,[11]M08!D28*$I$14,[11]M09!D28*$J$14,[11]M10!D28*$K$14,[11]M11!D28*$L$14,[11]M12!D28*$M$14)/$N$14</f>
        <v>0</v>
      </c>
      <c r="E30" s="248">
        <f>SUM([11]M01!E28*$B$14,[11]M02!E28*$C$14,[11]M03!E28*$D$14,[11]M04!E28*$E$14,[11]M05!E28*$F$14,[11]M06!E28*$G$14,[11]M07!E28*$H$14,[11]M08!E28*$I$14,[11]M09!E28*$J$14,[11]M10!E28*$K$14,[11]M11!E28*$L$14,[11]M12!E28*$M$14)/$N$14</f>
        <v>0.20009187140788279</v>
      </c>
      <c r="F30" s="248">
        <f>SUM([11]M01!F28*$B$14,[11]M02!F28*$C$14,[11]M03!F28*$D$14,[11]M04!F28*$E$14,[11]M05!F28*$F$14,[11]M06!F28*$G$14,[11]M07!F28*$H$14,[11]M08!F28*$I$14,[11]M09!F28*$J$14,[11]M10!F28*$K$14,[11]M11!F28*$L$14,[11]M12!F28*$M$14)/$N$14</f>
        <v>0.55103262646147555</v>
      </c>
      <c r="G30" s="248">
        <f>SUM([11]M01!G28*$B$14,[11]M02!G28*$C$14,[11]M03!G28*$D$14,[11]M04!G28*$E$14,[11]M05!G28*$F$14,[11]M06!G28*$G$14,[11]M07!G28*$H$14,[11]M08!G28*$I$14,[11]M09!G28*$J$14,[11]M10!G28*$K$14,[11]M11!G28*$L$14,[11]M12!G28*$M$14)/$N$14</f>
        <v>0.76132104741698992</v>
      </c>
      <c r="H30" s="248">
        <f>SUM([11]M01!H28*$B$14,[11]M02!H28*$C$14,[11]M03!H28*$D$14,[11]M04!H28*$E$14,[11]M05!H28*$F$14,[11]M06!H28*$G$14,[11]M07!H28*$H$14,[11]M08!H28*$I$14,[11]M09!H28*$J$14,[11]M10!H28*$K$14,[11]M11!H28*$L$14,[11]M12!H28*$M$14)/$N$14</f>
        <v>0.69293307494725953</v>
      </c>
      <c r="I30" s="248">
        <f>SUM([11]M01!I28*$B$14,[11]M02!I28*$C$14,[11]M03!I28*$D$14,[11]M04!I28*$E$14,[11]M05!I28*$F$14,[11]M06!I28*$G$14,[11]M07!I28*$H$14,[11]M08!I28*$I$14,[11]M09!I28*$J$14,[11]M10!I28*$K$14,[11]M11!I28*$L$14,[11]M12!I28*$M$14)/$N$14</f>
        <v>0</v>
      </c>
      <c r="J30" s="248">
        <f>SUM([11]M01!J28*$B$14,[11]M02!J28*$C$14,[11]M03!J28*$D$14,[11]M04!J28*$E$14,[11]M05!J28*$F$14,[11]M06!J28*$G$14,[11]M07!J28*$H$14,[11]M08!J28*$I$14,[11]M09!J28*$J$14,[11]M10!J28*$K$14,[11]M11!J28*$L$14,[11]M12!J28*$M$14)/$N$14</f>
        <v>0.41272419662756149</v>
      </c>
      <c r="K30" s="249">
        <f>SUM([11]M01!K28*$B$14,[11]M02!K28*$C$14,[11]M03!K28*$D$14,[11]M04!K28*$E$14,[11]M05!K28*$F$14,[11]M06!K28*$G$14,[11]M07!K28*$H$14,[11]M08!K28*$I$14,[11]M09!K28*$J$14,[11]M10!K28*$K$14,[11]M11!K28*$L$14,[11]M12!K28*$M$14)/$N$14</f>
        <v>3.7900121280846487E-2</v>
      </c>
      <c r="L30" s="229"/>
      <c r="N30" s="241"/>
    </row>
    <row r="31" spans="1:14" ht="20.25" customHeight="1" x14ac:dyDescent="0.25">
      <c r="A31" s="228" t="s">
        <v>226</v>
      </c>
      <c r="L31" s="229"/>
      <c r="N31" s="241"/>
    </row>
    <row r="32" spans="1:14" ht="15" customHeight="1" x14ac:dyDescent="0.25">
      <c r="A32" s="250" t="s">
        <v>227</v>
      </c>
      <c r="B32" s="251">
        <f>SUM([11]M01!B30,[11]M02!B30,[11]M03!B30,[11]M04!B30,[11]M05!B30,[11]M06!B30,[11]M07!B30,[11]M08!B30,[11]M09!B30,[11]M10!B30,[11]M11!B30,[11]M12!B30)</f>
        <v>6.3095899405798299</v>
      </c>
      <c r="L32" s="229"/>
      <c r="N32" s="241"/>
    </row>
    <row r="33" spans="1:14" ht="15" customHeight="1" x14ac:dyDescent="0.25">
      <c r="A33" s="252" t="s">
        <v>228</v>
      </c>
      <c r="B33" s="253">
        <f>SUM([11]M01!B31,[11]M02!B31,[11]M03!B31,[11]M04!B31,[11]M05!B31,[11]M06!B31,[11]M07!B31,[11]M08!B31,[11]M09!B31,[11]M10!B31,[11]M11!B31,[11]M12!B31)</f>
        <v>4.3475629454091242</v>
      </c>
      <c r="L33" s="229"/>
      <c r="N33" s="241"/>
    </row>
    <row r="34" spans="1:14" ht="20.25" hidden="1" customHeight="1" x14ac:dyDescent="0.25">
      <c r="A34" s="228" t="s">
        <v>229</v>
      </c>
      <c r="L34" s="229"/>
      <c r="N34" s="241"/>
    </row>
    <row r="35" spans="1:14" ht="15" hidden="1" customHeight="1" x14ac:dyDescent="0.25">
      <c r="A35" s="250" t="s">
        <v>227</v>
      </c>
      <c r="B35" s="251" t="e">
        <f>SUM([11]M01!#REF!,[11]M02!#REF!,[11]M03!#REF!,[11]M04!#REF!,[11]M05!#REF!,[11]M06!#REF!,[11]M07!#REF!,[11]M08!#REF!,[11]M09!#REF!,[11]M10!#REF!,[11]M11!#REF!,[11]M12!#REF!)</f>
        <v>#REF!</v>
      </c>
      <c r="L35" s="229"/>
      <c r="N35" s="241"/>
    </row>
    <row r="36" spans="1:14" ht="15" hidden="1" customHeight="1" x14ac:dyDescent="0.25">
      <c r="A36" s="252" t="s">
        <v>228</v>
      </c>
      <c r="B36" s="253" t="e">
        <f>SUM([11]M01!#REF!,[11]M02!#REF!,[11]M03!#REF!,[11]M04!#REF!,[11]M05!#REF!,[11]M06!#REF!,[11]M07!#REF!,[11]M08!#REF!,[11]M09!#REF!,[11]M10!#REF!,[11]M11!#REF!,[11]M12!#REF!)</f>
        <v>#REF!</v>
      </c>
      <c r="L36" s="229"/>
      <c r="N36" s="241"/>
    </row>
    <row r="37" spans="1:14" ht="20.25" customHeight="1" x14ac:dyDescent="0.25">
      <c r="A37" s="228" t="s">
        <v>230</v>
      </c>
      <c r="L37" s="229"/>
      <c r="N37" s="241"/>
    </row>
    <row r="38" spans="1:14" ht="15" customHeight="1" x14ac:dyDescent="0.25">
      <c r="A38" s="254" t="s">
        <v>225</v>
      </c>
      <c r="B38" s="255">
        <f>SUM([11]M01!B33*$B$14,[11]M02!B33*$C$14,[11]M03!B33*$D$14,[11]M04!B33*$E$14,[11]M05!B33*$F$14,[11]M06!B33*$G$14,[11]M07!B33*$H$14,[11]M08!B33*$I$14,[11]M09!B33*$J$14,[11]M10!B33*$K$14,[11]M11!B33*$L$14,[11]M12!B33*$M$14)/$N$14</f>
        <v>0</v>
      </c>
      <c r="C38" s="256">
        <f>SUM([11]M01!C33*$B$14,[11]M02!C33*$C$14,[11]M03!C33*$D$14,[11]M04!C33*$E$14,[11]M05!C33*$F$14,[11]M06!C33*$G$14,[11]M07!C33*$H$14,[11]M08!C33*$I$14,[11]M09!C33*$J$14,[11]M10!C33*$K$14,[11]M11!C33*$L$14,[11]M12!C33*$M$14)/$N$14</f>
        <v>0</v>
      </c>
      <c r="D38" s="256">
        <f>SUM([11]M01!D33*$B$14,[11]M02!D33*$C$14,[11]M03!D33*$D$14,[11]M04!D33*$E$14,[11]M05!D33*$F$14,[11]M06!D33*$G$14,[11]M07!D33*$H$14,[11]M08!D33*$I$14,[11]M09!D33*$J$14,[11]M10!D33*$K$14,[11]M11!D33*$L$14,[11]M12!D33*$M$14)/$N$14</f>
        <v>0</v>
      </c>
      <c r="E38" s="256">
        <f>SUM([11]M01!E33*$B$14,[11]M02!E33*$C$14,[11]M03!E33*$D$14,[11]M04!E33*$E$14,[11]M05!E33*$F$14,[11]M06!E33*$G$14,[11]M07!E33*$H$14,[11]M08!E33*$I$14,[11]M09!E33*$J$14,[11]M10!E33*$K$14,[11]M11!E33*$L$14,[11]M12!E33*$M$14)/$N$14</f>
        <v>0</v>
      </c>
      <c r="F38" s="256">
        <f>SUM([11]M01!F33*$B$14,[11]M02!F33*$C$14,[11]M03!F33*$D$14,[11]M04!F33*$E$14,[11]M05!F33*$F$14,[11]M06!F33*$G$14,[11]M07!F33*$H$14,[11]M08!F33*$I$14,[11]M09!F33*$J$14,[11]M10!F33*$K$14,[11]M11!F33*$L$14,[11]M12!F33*$M$14)/$N$14</f>
        <v>0.78714260742021591</v>
      </c>
      <c r="G38" s="256">
        <f>SUM([11]M01!G33*$B$14,[11]M02!G33*$C$14,[11]M03!G33*$D$14,[11]M04!G33*$E$14,[11]M05!G33*$F$14,[11]M06!G33*$G$14,[11]M07!G33*$H$14,[11]M08!G33*$I$14,[11]M09!G33*$J$14,[11]M10!G33*$K$14,[11]M11!G33*$L$14,[11]M12!G33*$M$14)/$N$14</f>
        <v>3.1757772338877985</v>
      </c>
      <c r="H38" s="256">
        <f>SUM([11]M01!H33*$B$14,[11]M02!H33*$C$14,[11]M03!H33*$D$14,[11]M04!H33*$E$14,[11]M05!H33*$F$14,[11]M06!H33*$G$14,[11]M07!H33*$H$14,[11]M08!H33*$I$14,[11]M09!H33*$J$14,[11]M10!H33*$K$14,[11]M11!H33*$L$14,[11]M12!H33*$M$14)/$N$14</f>
        <v>1.9031446613762566</v>
      </c>
      <c r="I38" s="256">
        <f>SUM([11]M01!I33*$B$14,[11]M02!I33*$C$14,[11]M03!I33*$D$14,[11]M04!I33*$E$14,[11]M05!I33*$F$14,[11]M06!I33*$G$14,[11]M07!I33*$H$14,[11]M08!I33*$I$14,[11]M09!I33*$J$14,[11]M10!I33*$K$14,[11]M11!I33*$L$14,[11]M12!I33*$M$14)/$N$14</f>
        <v>0</v>
      </c>
      <c r="J38" s="256">
        <f>SUM([11]M01!J33*$B$14,[11]M02!J33*$C$14,[11]M03!J33*$D$14,[11]M04!J33*$E$14,[11]M05!J33*$F$14,[11]M06!J33*$G$14,[11]M07!J33*$H$14,[11]M08!J33*$I$14,[11]M09!J33*$J$14,[11]M10!J33*$K$14,[11]M11!J33*$L$14,[11]M12!J33*$M$14)/$N$14</f>
        <v>0.40377571500677589</v>
      </c>
      <c r="K38" s="257">
        <f>SUM([11]M01!K33*$B$14,[11]M02!K33*$C$14,[11]M03!K33*$D$14,[11]M04!K33*$E$14,[11]M05!K33*$F$14,[11]M06!K33*$G$14,[11]M07!K33*$H$14,[11]M08!K33*$I$14,[11]M09!K33*$J$14,[11]M10!K33*$K$14,[11]M11!K33*$L$14,[11]M12!K33*$M$14)/$N$14</f>
        <v>0</v>
      </c>
      <c r="L38" s="229"/>
      <c r="N38" s="241"/>
    </row>
    <row r="39" spans="1:14" ht="20.25" customHeight="1" x14ac:dyDescent="0.25">
      <c r="A39" s="228" t="s">
        <v>231</v>
      </c>
      <c r="L39" s="229"/>
      <c r="N39" s="241"/>
    </row>
    <row r="40" spans="1:14" ht="15" customHeight="1" x14ac:dyDescent="0.25">
      <c r="A40" s="252" t="s">
        <v>228</v>
      </c>
      <c r="B40" s="253">
        <f>SUM([11]M01!I34,[11]M02!I34,[11]M03!I34,[11]M04!I34,[11]M05!I34,[11]M06!I34,[11]M07!I34,[11]M08!I34,[11]M09!I34,[11]M10!I34,[11]M11!I34,[11]M12!I34)</f>
        <v>20.142314461191479</v>
      </c>
      <c r="L40" s="229"/>
      <c r="N40" s="241"/>
    </row>
    <row r="41" spans="1:14" ht="9.9499999999999993" customHeight="1" x14ac:dyDescent="0.25">
      <c r="L41" s="229"/>
      <c r="N41" s="241"/>
    </row>
    <row r="42" spans="1:14" ht="9.9499999999999993" customHeight="1" thickBot="1" x14ac:dyDescent="0.3">
      <c r="L42" s="258"/>
      <c r="N42" s="241"/>
    </row>
    <row r="43" spans="1:14" ht="20.25" customHeight="1" thickTop="1" x14ac:dyDescent="0.25">
      <c r="A43" s="259" t="s">
        <v>232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  <c r="L43" s="262"/>
      <c r="N43" s="241"/>
    </row>
    <row r="44" spans="1:14" ht="15" customHeight="1" x14ac:dyDescent="0.25">
      <c r="A44" s="263" t="s">
        <v>5</v>
      </c>
      <c r="B44" s="264">
        <f>IFERROR(B54/B25,0)</f>
        <v>2.0087004897058605</v>
      </c>
      <c r="C44" s="265">
        <f t="shared" ref="C44:K44" si="0">IFERROR(C54/C25,0)</f>
        <v>1.8303867352013645</v>
      </c>
      <c r="D44" s="265">
        <f t="shared" si="0"/>
        <v>2.337317925031055</v>
      </c>
      <c r="E44" s="265">
        <f t="shared" si="0"/>
        <v>1.5426809398840708</v>
      </c>
      <c r="F44" s="265">
        <f t="shared" si="0"/>
        <v>0.61819228634963308</v>
      </c>
      <c r="G44" s="265">
        <f t="shared" si="0"/>
        <v>0</v>
      </c>
      <c r="H44" s="265">
        <f t="shared" si="0"/>
        <v>9.054656141098727E-2</v>
      </c>
      <c r="I44" s="265">
        <f t="shared" si="0"/>
        <v>0.63017538204665968</v>
      </c>
      <c r="J44" s="265">
        <f t="shared" si="0"/>
        <v>6.6132231535494759E-2</v>
      </c>
      <c r="K44" s="266">
        <f t="shared" si="0"/>
        <v>2.5354912106480225</v>
      </c>
      <c r="L44" s="262"/>
      <c r="N44" s="241"/>
    </row>
    <row r="45" spans="1:14" ht="15" customHeight="1" x14ac:dyDescent="0.25">
      <c r="A45" s="267" t="s">
        <v>225</v>
      </c>
      <c r="B45" s="268">
        <f t="shared" ref="B45:K45" si="1">IFERROR(B55/B26,0)</f>
        <v>2.3902008343282713E-3</v>
      </c>
      <c r="C45" s="268">
        <f t="shared" si="1"/>
        <v>0</v>
      </c>
      <c r="D45" s="268">
        <f t="shared" si="1"/>
        <v>0</v>
      </c>
      <c r="E45" s="268">
        <f t="shared" si="1"/>
        <v>0.20588970422531849</v>
      </c>
      <c r="F45" s="268">
        <f t="shared" si="1"/>
        <v>0.54709408529406744</v>
      </c>
      <c r="G45" s="268">
        <f t="shared" si="1"/>
        <v>0.75623467245424225</v>
      </c>
      <c r="H45" s="268">
        <f t="shared" si="1"/>
        <v>0.67323259908370459</v>
      </c>
      <c r="I45" s="268">
        <f t="shared" si="1"/>
        <v>0</v>
      </c>
      <c r="J45" s="268">
        <f t="shared" si="1"/>
        <v>0.37964199874743698</v>
      </c>
      <c r="K45" s="269">
        <f t="shared" si="1"/>
        <v>3.782335106752388E-2</v>
      </c>
      <c r="L45" s="262"/>
      <c r="N45" s="241"/>
    </row>
    <row r="46" spans="1:14" ht="20.25" customHeight="1" x14ac:dyDescent="0.2">
      <c r="A46" s="270" t="s">
        <v>233</v>
      </c>
      <c r="B46" s="271"/>
      <c r="C46" s="271"/>
      <c r="D46" s="271"/>
      <c r="E46" s="271"/>
      <c r="F46" s="271"/>
      <c r="G46" s="271"/>
      <c r="H46" s="271"/>
      <c r="I46" s="272"/>
      <c r="J46" s="272"/>
      <c r="K46" s="273"/>
      <c r="L46" s="262"/>
      <c r="N46" s="274"/>
    </row>
    <row r="47" spans="1:14" ht="15" customHeight="1" x14ac:dyDescent="0.25">
      <c r="A47" s="275" t="s">
        <v>227</v>
      </c>
      <c r="B47" s="276">
        <f>B32</f>
        <v>6.3095899405798299</v>
      </c>
      <c r="C47" s="277"/>
      <c r="D47" s="277"/>
      <c r="E47" s="272"/>
      <c r="F47" s="272"/>
      <c r="G47" s="272"/>
      <c r="H47" s="271"/>
      <c r="I47" s="272"/>
      <c r="J47" s="272"/>
      <c r="K47" s="273"/>
      <c r="L47" s="262"/>
      <c r="N47" s="278"/>
    </row>
    <row r="48" spans="1:14" ht="15" customHeight="1" x14ac:dyDescent="0.25">
      <c r="A48" s="279" t="s">
        <v>228</v>
      </c>
      <c r="B48" s="280">
        <f>B33+B40</f>
        <v>24.489877406600602</v>
      </c>
      <c r="C48" s="277"/>
      <c r="D48" s="277"/>
      <c r="E48" s="272"/>
      <c r="F48" s="272"/>
      <c r="G48" s="272"/>
      <c r="H48" s="271"/>
      <c r="I48" s="272"/>
      <c r="J48" s="272"/>
      <c r="K48" s="273"/>
      <c r="L48" s="262"/>
      <c r="N48" s="278"/>
    </row>
    <row r="49" spans="1:14" ht="9.9499999999999993" customHeight="1" thickBot="1" x14ac:dyDescent="0.3">
      <c r="A49" s="281"/>
      <c r="B49" s="282"/>
      <c r="C49" s="283"/>
      <c r="D49" s="283"/>
      <c r="E49" s="283"/>
      <c r="F49" s="283"/>
      <c r="G49" s="283"/>
      <c r="H49" s="283"/>
      <c r="I49" s="283"/>
      <c r="J49" s="283"/>
      <c r="K49" s="284"/>
      <c r="L49" s="262"/>
      <c r="N49" s="241"/>
    </row>
    <row r="50" spans="1:14" ht="9.9499999999999993" customHeight="1" thickTop="1" x14ac:dyDescent="0.25">
      <c r="B50" s="285"/>
      <c r="L50" s="258"/>
      <c r="N50" s="241"/>
    </row>
    <row r="51" spans="1:14" ht="20.25" customHeight="1" x14ac:dyDescent="0.25">
      <c r="A51" s="286" t="s">
        <v>234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>
        <f>ROUND(SUM(L54:L55,L57:L58),3)</f>
        <v>51220.152000000002</v>
      </c>
      <c r="M51" s="288">
        <f>ROUND(B3,3)</f>
        <v>51220.152000000002</v>
      </c>
      <c r="N51" s="241"/>
    </row>
    <row r="52" spans="1:14" ht="20.25" customHeight="1" x14ac:dyDescent="0.25">
      <c r="A52" s="289" t="s">
        <v>235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90"/>
      <c r="M52" s="291">
        <f>M53+M56</f>
        <v>0.99999999552178509</v>
      </c>
      <c r="N52" s="241"/>
    </row>
    <row r="53" spans="1:14" ht="20.25" customHeight="1" x14ac:dyDescent="0.25">
      <c r="A53" s="292" t="s">
        <v>29</v>
      </c>
      <c r="B53" s="293">
        <v>1</v>
      </c>
      <c r="C53" s="294">
        <v>2</v>
      </c>
      <c r="D53" s="294">
        <v>3</v>
      </c>
      <c r="E53" s="294">
        <v>4</v>
      </c>
      <c r="F53" s="294">
        <v>5</v>
      </c>
      <c r="G53" s="294">
        <v>6</v>
      </c>
      <c r="H53" s="294">
        <v>7</v>
      </c>
      <c r="I53" s="294">
        <v>8</v>
      </c>
      <c r="J53" s="294">
        <v>9</v>
      </c>
      <c r="K53" s="295">
        <v>10</v>
      </c>
      <c r="L53" s="296">
        <f>L54+L55</f>
        <v>24453.185680801391</v>
      </c>
      <c r="M53" s="291">
        <f>L53/$M$51</f>
        <v>0.47741337590722865</v>
      </c>
      <c r="N53" s="297"/>
    </row>
    <row r="54" spans="1:14" ht="15" customHeight="1" x14ac:dyDescent="0.25">
      <c r="A54" s="298" t="s">
        <v>5</v>
      </c>
      <c r="B54" s="299">
        <f>SUM([11]M01!B38,[11]M02!B38,[11]M03!B38,[11]M04!B38,[11]M05!B38,[11]M06!B38,[11]M07!B38,[11]M08!B38,[11]M09!B38,[11]M10!B38,[11]M11!B38,[11]M12!B38)</f>
        <v>2261.8118166624718</v>
      </c>
      <c r="C54" s="300">
        <f>SUM([11]M01!C38,[11]M02!C38,[11]M03!C38,[11]M04!C38,[11]M05!C38,[11]M06!C38,[11]M07!C38,[11]M08!C38,[11]M09!C38,[11]M10!C38,[11]M11!C38,[11]M12!C38)</f>
        <v>2773.7212006237269</v>
      </c>
      <c r="D54" s="300">
        <f>SUM([11]M01!D38,[11]M02!D38,[11]M03!D38,[11]M04!D38,[11]M05!D38,[11]M06!D38,[11]M07!D38,[11]M08!D38,[11]M09!D38,[11]M10!D38,[11]M11!D38,[11]M12!D38)</f>
        <v>2314.7356941665753</v>
      </c>
      <c r="E54" s="300">
        <f>SUM([11]M01!E38,[11]M02!E38,[11]M03!E38,[11]M04!E38,[11]M05!E38,[11]M06!E38,[11]M07!E38,[11]M08!E38,[11]M09!E38,[11]M10!E38,[11]M11!E38,[11]M12!E38)</f>
        <v>3750.7782510775278</v>
      </c>
      <c r="F54" s="300">
        <f>SUM([11]M01!F38,[11]M02!F38,[11]M03!F38,[11]M04!F38,[11]M05!F38,[11]M06!F38,[11]M07!F38,[11]M08!F38,[11]M09!F38,[11]M10!F38,[11]M11!F38,[11]M12!F38)</f>
        <v>1060.8329545389142</v>
      </c>
      <c r="G54" s="300">
        <f>SUM([11]M01!G38,[11]M02!G38,[11]M03!G38,[11]M04!G38,[11]M05!G38,[11]M06!G38,[11]M07!G38,[11]M08!G38,[11]M09!G38,[11]M10!G38,[11]M11!G38,[11]M12!G38)</f>
        <v>0</v>
      </c>
      <c r="H54" s="300">
        <f>SUM([11]M01!H38,[11]M02!H38,[11]M03!H38,[11]M04!H38,[11]M05!H38,[11]M06!H38,[11]M07!H38,[11]M08!H38,[11]M09!H38,[11]M10!H38,[11]M11!H38,[11]M12!H38)</f>
        <v>63.925645989753491</v>
      </c>
      <c r="I54" s="300">
        <f>SUM([11]M01!I38,[11]M02!I38,[11]M03!I38,[11]M04!I38,[11]M05!I38,[11]M06!I38,[11]M07!I38,[11]M08!I38,[11]M09!I38,[11]M10!I38,[11]M11!I38,[11]M12!I38)</f>
        <v>770.52602657486921</v>
      </c>
      <c r="J54" s="300">
        <f>SUM([11]M01!J38,[11]M02!J38,[11]M03!J38,[11]M04!J38,[11]M05!J38,[11]M06!J38,[11]M07!J38,[11]M08!J38,[11]M09!J38,[11]M10!J38,[11]M11!J38,[11]M12!J38)</f>
        <v>60.99392247576565</v>
      </c>
      <c r="K54" s="301">
        <f>SUM([11]M01!K38,[11]M02!K38,[11]M03!K38,[11]M04!K38,[11]M05!K38,[11]M06!K38,[11]M07!K38,[11]M08!K38,[11]M09!K38,[11]M10!K38,[11]M11!K38,[11]M12!K38)</f>
        <v>4059.9044644513729</v>
      </c>
      <c r="L54" s="302">
        <f>SUM(B54:K54)</f>
        <v>17117.229976560975</v>
      </c>
      <c r="M54" s="303">
        <f>L54/(L55+L54)</f>
        <v>0.70000000000000007</v>
      </c>
      <c r="N54" s="304"/>
    </row>
    <row r="55" spans="1:14" ht="15" customHeight="1" x14ac:dyDescent="0.25">
      <c r="A55" s="305" t="s">
        <v>225</v>
      </c>
      <c r="B55" s="306">
        <f>SUM([11]M01!B39,[11]M02!B39,[11]M03!B39,[11]M04!B39,[11]M05!B39,[11]M06!B39,[11]M07!B39,[11]M08!B39,[11]M09!B39,[11]M10!B39,[11]M11!B39,[11]M12!B39)</f>
        <v>0.18587217523091223</v>
      </c>
      <c r="C55" s="307">
        <f>SUM([11]M01!C39,[11]M02!C39,[11]M03!C39,[11]M04!C39,[11]M05!C39,[11]M06!C39,[11]M07!C39,[11]M08!C39,[11]M09!C39,[11]M10!C39,[11]M11!C39,[11]M12!C39)</f>
        <v>0</v>
      </c>
      <c r="D55" s="307">
        <f>SUM([11]M01!D39,[11]M02!D39,[11]M03!D39,[11]M04!D39,[11]M05!D39,[11]M06!D39,[11]M07!D39,[11]M08!D39,[11]M09!D39,[11]M10!D39,[11]M11!D39,[11]M12!D39)</f>
        <v>0</v>
      </c>
      <c r="E55" s="307">
        <f>SUM([11]M01!E39,[11]M02!E39,[11]M03!E39,[11]M04!E39,[11]M05!E39,[11]M06!E39,[11]M07!E39,[11]M08!E39,[11]M09!E39,[11]M10!E39,[11]M11!E39,[11]M12!E39)</f>
        <v>76.97623078636488</v>
      </c>
      <c r="F55" s="307">
        <f>SUM([11]M01!F39,[11]M02!F39,[11]M03!F39,[11]M04!F39,[11]M05!F39,[11]M06!F39,[11]M07!F39,[11]M08!F39,[11]M09!F39,[11]M10!F39,[11]M11!F39,[11]M12!F39)</f>
        <v>891.89583786208368</v>
      </c>
      <c r="G55" s="307">
        <f>SUM([11]M01!G39,[11]M02!G39,[11]M03!G39,[11]M04!G39,[11]M05!G39,[11]M06!G39,[11]M07!G39,[11]M08!G39,[11]M09!G39,[11]M10!G39,[11]M11!G39,[11]M12!G39)</f>
        <v>520.66099274309545</v>
      </c>
      <c r="H55" s="307">
        <f>SUM([11]M01!H39,[11]M02!H39,[11]M03!H39,[11]M04!H39,[11]M05!H39,[11]M06!H39,[11]M07!H39,[11]M08!H39,[11]M09!H39,[11]M10!H39,[11]M11!H39,[11]M12!H39)</f>
        <v>5264.3936425207066</v>
      </c>
      <c r="I55" s="307">
        <f>SUM([11]M01!I39,[11]M02!I39,[11]M03!I39,[11]M04!I39,[11]M05!I39,[11]M06!I39,[11]M07!I39,[11]M08!I39,[11]M09!I39,[11]M10!I39,[11]M11!I39,[11]M12!I39)</f>
        <v>0</v>
      </c>
      <c r="J55" s="307">
        <f>SUM([11]M01!J39,[11]M02!J39,[11]M03!J39,[11]M04!J39,[11]M05!J39,[11]M06!J39,[11]M07!J39,[11]M08!J39,[11]M09!J39,[11]M10!J39,[11]M11!J39,[11]M12!J39)</f>
        <v>577.41160061313042</v>
      </c>
      <c r="K55" s="308">
        <f>SUM([11]M01!K39,[11]M02!K39,[11]M03!K39,[11]M04!K39,[11]M05!K39,[11]M06!K39,[11]M07!K39,[11]M08!K39,[11]M09!K39,[11]M10!K39,[11]M11!K39,[11]M12!K39)</f>
        <v>4.4315275398051543</v>
      </c>
      <c r="L55" s="309">
        <f>SUM(B55:K55)</f>
        <v>7335.9557042404176</v>
      </c>
      <c r="M55" s="310">
        <f>L55/(L54+L55)</f>
        <v>0.3</v>
      </c>
      <c r="N55" s="182"/>
    </row>
    <row r="56" spans="1:14" ht="20.25" customHeight="1" x14ac:dyDescent="0.25">
      <c r="A56" s="289" t="s">
        <v>236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96">
        <f>L57+L58</f>
        <v>26766.966089823763</v>
      </c>
      <c r="M56" s="291">
        <f>L56/$M$51</f>
        <v>0.52258661961455644</v>
      </c>
      <c r="N56" s="297"/>
    </row>
    <row r="57" spans="1:14" ht="15" customHeight="1" x14ac:dyDescent="0.25">
      <c r="A57" s="298" t="s">
        <v>5</v>
      </c>
      <c r="B57" s="299">
        <f>SUM([11]M01!B41,[11]M02!B41,[11]M03!B41,[11]M04!B41,[11]M05!B41,[11]M06!B41,[11]M07!B41,[11]M08!B41,[11]M09!B41,[11]M10!B41,[11]M11!B41,[11]M12!B41)</f>
        <v>1345.2045753316199</v>
      </c>
      <c r="C57" s="300">
        <f>SUM([11]M01!C41,[11]M02!C41,[11]M03!C41,[11]M04!C41,[11]M05!C41,[11]M06!C41,[11]M07!C41,[11]M08!C41,[11]M09!C41,[11]M10!C41,[11]M11!C41,[11]M12!C41)</f>
        <v>3393.2974700438326</v>
      </c>
      <c r="D57" s="300">
        <f>SUM([11]M01!D41,[11]M02!D41,[11]M03!D41,[11]M04!D41,[11]M05!D41,[11]M06!D41,[11]M07!D41,[11]M08!D41,[11]M09!D41,[11]M10!D41,[11]M11!D41,[11]M12!D41)</f>
        <v>979.69003007383026</v>
      </c>
      <c r="E57" s="300">
        <f>SUM([11]M01!E41,[11]M02!E41,[11]M03!E41,[11]M04!E41,[11]M05!E41,[11]M06!E41,[11]M07!E41,[11]M08!E41,[11]M09!E41,[11]M10!E41,[11]M11!E41,[11]M12!E41)</f>
        <v>2231.7461291126701</v>
      </c>
      <c r="F57" s="300">
        <f>SUM([11]M01!F41,[11]M02!F41,[11]M03!F41,[11]M04!F41,[11]M05!F41,[11]M06!F41,[11]M07!F41,[11]M08!F41,[11]M09!F41,[11]M10!F41,[11]M11!F41,[11]M12!F41)</f>
        <v>390.75290502010887</v>
      </c>
      <c r="G57" s="300">
        <f>SUM([11]M01!G41,[11]M02!G41,[11]M03!G41,[11]M04!G41,[11]M05!G41,[11]M06!G41,[11]M07!G41,[11]M08!G41,[11]M09!G41,[11]M10!G41,[11]M11!G41,[11]M12!G41)</f>
        <v>927.50972126523504</v>
      </c>
      <c r="H57" s="300">
        <f>SUM([11]M01!H41,[11]M02!H41,[11]M03!H41,[11]M04!H41,[11]M05!H41,[11]M06!H41,[11]M07!H41,[11]M08!H41,[11]M09!H41,[11]M10!H41,[11]M11!H41,[11]M12!H41)</f>
        <v>1236.5534365548351</v>
      </c>
      <c r="I57" s="300">
        <f>SUM([11]M01!I41,[11]M02!I41,[11]M03!I41,[11]M04!I41,[11]M05!I41,[11]M06!I41,[11]M07!I41,[11]M08!I41,[11]M09!I41,[11]M10!I41,[11]M11!I41,[11]M12!I41)</f>
        <v>1640.493384550756</v>
      </c>
      <c r="J57" s="300">
        <f>SUM([11]M01!J41,[11]M02!J41,[11]M03!J41,[11]M04!J41,[11]M05!J41,[11]M06!J41,[11]M07!J41,[11]M08!J41,[11]M09!J41,[11]M10!J41,[11]M11!J41,[11]M12!J41)</f>
        <v>5000.5393156077334</v>
      </c>
      <c r="K57" s="301">
        <f>SUM([11]M01!K41,[11]M02!K41,[11]M03!K41,[11]M04!K41,[11]M05!K41,[11]M06!K41,[11]M07!K41,[11]M08!K41,[11]M09!K41,[11]M10!K41,[11]M11!K41,[11]M12!K41)</f>
        <v>1591.0892953160155</v>
      </c>
      <c r="L57" s="302">
        <f>SUM(B57:K57)</f>
        <v>18736.876262876634</v>
      </c>
      <c r="M57" s="303">
        <f>L57/(L58+L57)</f>
        <v>0.7</v>
      </c>
      <c r="N57" s="304"/>
    </row>
    <row r="58" spans="1:14" ht="15" customHeight="1" x14ac:dyDescent="0.25">
      <c r="A58" s="305" t="s">
        <v>225</v>
      </c>
      <c r="B58" s="306">
        <f>SUM([11]M01!B42,[11]M02!B42,[11]M03!B42,[11]M04!B42,[11]M05!B42,[11]M06!B42,[11]M07!B42,[11]M08!B42,[11]M09!B42,[11]M10!B42,[11]M11!B42,[11]M12!B42)</f>
        <v>168.12025909897085</v>
      </c>
      <c r="C58" s="307">
        <f>SUM([11]M01!C42,[11]M02!C42,[11]M03!C42,[11]M04!C42,[11]M05!C42,[11]M06!C42,[11]M07!C42,[11]M08!C42,[11]M09!C42,[11]M10!C42,[11]M11!C42,[11]M12!C42)</f>
        <v>0</v>
      </c>
      <c r="D58" s="307">
        <f>SUM([11]M01!D42,[11]M02!D42,[11]M03!D42,[11]M04!D42,[11]M05!D42,[11]M06!D42,[11]M07!D42,[11]M08!D42,[11]M09!D42,[11]M10!D42,[11]M11!D42,[11]M12!D42)</f>
        <v>0.47823192399500369</v>
      </c>
      <c r="E58" s="307">
        <f>SUM([11]M01!E42,[11]M02!E42,[11]M03!E42,[11]M04!E42,[11]M05!E42,[11]M06!E42,[11]M07!E42,[11]M08!E42,[11]M09!E42,[11]M10!E42,[11]M11!E42,[11]M12!E42)</f>
        <v>478.884058436815</v>
      </c>
      <c r="F58" s="307">
        <f>SUM([11]M01!F42,[11]M02!F42,[11]M03!F42,[11]M04!F42,[11]M05!F42,[11]M06!F42,[11]M07!F42,[11]M08!F42,[11]M09!F42,[11]M10!F42,[11]M11!F42,[11]M12!F42)</f>
        <v>1009.8512048959103</v>
      </c>
      <c r="G58" s="307">
        <f>SUM([11]M01!G42,[11]M02!G42,[11]M03!G42,[11]M04!G42,[11]M05!G42,[11]M06!G42,[11]M07!G42,[11]M08!G42,[11]M09!G42,[11]M10!G42,[11]M11!G42,[11]M12!G42)</f>
        <v>720.13901833642615</v>
      </c>
      <c r="H58" s="307">
        <f>SUM([11]M01!H42,[11]M02!H42,[11]M03!H42,[11]M04!H42,[11]M05!H42,[11]M06!H42,[11]M07!H42,[11]M08!H42,[11]M09!H42,[11]M10!H42,[11]M11!H42,[11]M12!H42)</f>
        <v>4664.3268570129158</v>
      </c>
      <c r="I58" s="307">
        <f>SUM([11]M01!I42,[11]M02!I42,[11]M03!I42,[11]M04!I42,[11]M05!I42,[11]M06!I42,[11]M07!I42,[11]M08!I42,[11]M09!I42,[11]M10!I42,[11]M11!I42,[11]M12!I42)</f>
        <v>0</v>
      </c>
      <c r="J58" s="307">
        <f>SUM([11]M01!J42,[11]M02!J42,[11]M03!J42,[11]M04!J42,[11]M05!J42,[11]M06!J42,[11]M07!J42,[11]M08!J42,[11]M09!J42,[11]M10!J42,[11]M11!J42,[11]M12!J42)</f>
        <v>595.31398260656738</v>
      </c>
      <c r="K58" s="308">
        <f>SUM([11]M01!K42,[11]M02!K42,[11]M03!K42,[11]M04!K42,[11]M05!K42,[11]M06!K42,[11]M07!K42,[11]M08!K42,[11]M09!K42,[11]M10!K42,[11]M11!K42,[11]M12!K42)</f>
        <v>392.97621463553082</v>
      </c>
      <c r="L58" s="309">
        <f>SUM(B58:K58)</f>
        <v>8030.0898269471309</v>
      </c>
      <c r="M58" s="310">
        <f>L58/(L57+L58)</f>
        <v>0.30000000000000004</v>
      </c>
      <c r="N58" s="241"/>
    </row>
    <row r="59" spans="1:14" ht="20.25" customHeight="1" x14ac:dyDescent="0.25">
      <c r="A59" s="289" t="s">
        <v>237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96">
        <f>L60+L61</f>
        <v>55642.05410548587</v>
      </c>
      <c r="M59" s="291">
        <f>IFERROR(L59/B7,0)</f>
        <v>0.99999999999999989</v>
      </c>
      <c r="N59" s="241"/>
    </row>
    <row r="60" spans="1:14" ht="15" customHeight="1" x14ac:dyDescent="0.25">
      <c r="A60" s="298" t="s">
        <v>238</v>
      </c>
      <c r="B60" s="299">
        <f>SUM([11]M01!B44,[11]M02!B44,[11]M03!B44,[11]M04!B44,[11]M05!B44,[11]M06!B44,[11]M07!B44,[11]M08!B44,[11]M09!B44,[11]M10!B44,[11]M11!B44,[11]M12!B44)</f>
        <v>0</v>
      </c>
      <c r="C60" s="300">
        <f>SUM([11]M01!C44,[11]M02!C44,[11]M03!C44,[11]M04!C44,[11]M05!C44,[11]M06!C44,[11]M07!C44,[11]M08!C44,[11]M09!C44,[11]M10!C44,[11]M11!C44,[11]M12!C44)</f>
        <v>0</v>
      </c>
      <c r="D60" s="300">
        <f>SUM([11]M01!D44,[11]M02!D44,[11]M03!D44,[11]M04!D44,[11]M05!D44,[11]M06!D44,[11]M07!D44,[11]M08!D44,[11]M09!D44,[11]M10!D44,[11]M11!D44,[11]M12!D44)</f>
        <v>0</v>
      </c>
      <c r="E60" s="300">
        <f>SUM([11]M01!E44,[11]M02!E44,[11]M03!E44,[11]M04!E44,[11]M05!E44,[11]M06!E44,[11]M07!E44,[11]M08!E44,[11]M09!E44,[11]M10!E44,[11]M11!E44,[11]M12!E44)</f>
        <v>0</v>
      </c>
      <c r="F60" s="300">
        <f>SUM([11]M01!F44,[11]M02!F44,[11]M03!F44,[11]M04!F44,[11]M05!F44,[11]M06!F44,[11]M07!F44,[11]M08!F44,[11]M09!F44,[11]M10!F44,[11]M11!F44,[11]M12!F44)</f>
        <v>1273.2048253367664</v>
      </c>
      <c r="G60" s="300">
        <f>SUM([11]M01!G44,[11]M02!G44,[11]M03!G44,[11]M04!G44,[11]M05!G44,[11]M06!G44,[11]M07!G44,[11]M08!G44,[11]M09!G44,[11]M10!G44,[11]M11!G44,[11]M12!G44)</f>
        <v>2170.3252749759249</v>
      </c>
      <c r="H60" s="300">
        <f>SUM([11]M01!H44,[11]M02!H44,[11]M03!H44,[11]M04!H44,[11]M05!H44,[11]M06!H44,[11]M07!H44,[11]M08!H44,[11]M09!H44,[11]M10!H44,[11]M11!H44,[11]M12!H44)</f>
        <v>14400.743504028498</v>
      </c>
      <c r="I60" s="300">
        <f>SUM([11]M01!I44,[11]M02!I44,[11]M03!I44,[11]M04!I44,[11]M05!I44,[11]M06!I44,[11]M07!I44,[11]M08!I44,[11]M09!I44,[11]M10!I44,[11]M11!I44,[11]M12!I44)</f>
        <v>0</v>
      </c>
      <c r="J60" s="300">
        <f>SUM([11]M01!J44,[11]M02!J44,[11]M03!J44,[11]M04!J44,[11]M05!J44,[11]M06!J44,[11]M07!J44,[11]M08!J44,[11]M09!J44,[11]M10!J44,[11]M11!J44,[11]M12!J44)</f>
        <v>594.27212715312419</v>
      </c>
      <c r="K60" s="301">
        <f>SUM([11]M01!K44,[11]M02!K44,[11]M03!K44,[11]M04!K44,[11]M05!K44,[11]M06!K44,[11]M07!K44,[11]M08!K44,[11]M09!K44,[11]M10!K44,[11]M11!K44,[11]M12!K44)</f>
        <v>0</v>
      </c>
      <c r="L60" s="302">
        <f>SUM(B60:K60)</f>
        <v>18438.545731494312</v>
      </c>
      <c r="M60" s="303">
        <f>L60/(L61+L60)</f>
        <v>0.33137787646262357</v>
      </c>
      <c r="N60" s="241"/>
    </row>
    <row r="61" spans="1:14" ht="15" customHeight="1" x14ac:dyDescent="0.25">
      <c r="A61" s="305" t="s">
        <v>239</v>
      </c>
      <c r="B61" s="306">
        <f>SUM([11]M01!B45,[11]M02!B45,[11]M03!B45,[11]M04!B45,[11]M05!B45,[11]M06!B45,[11]M07!B45,[11]M08!B45,[11]M09!B45,[11]M10!B45,[11]M11!B45,[11]M12!B45)</f>
        <v>778.9033002142744</v>
      </c>
      <c r="C61" s="307">
        <f>SUM([11]M01!C45,[11]M02!C45,[11]M03!C45,[11]M04!C45,[11]M05!C45,[11]M06!C45,[11]M07!C45,[11]M08!C45,[11]M09!C45,[11]M10!C45,[11]M11!C45,[11]M12!C45)</f>
        <v>0</v>
      </c>
      <c r="D61" s="307">
        <f>SUM([11]M01!D45,[11]M02!D45,[11]M03!D45,[11]M04!D45,[11]M05!D45,[11]M06!D45,[11]M07!D45,[11]M08!D45,[11]M09!D45,[11]M10!D45,[11]M11!D45,[11]M12!D45)</f>
        <v>2.2156545907310621</v>
      </c>
      <c r="E61" s="307">
        <f>SUM([11]M01!E45,[11]M02!E45,[11]M03!E45,[11]M04!E45,[11]M05!E45,[11]M06!E45,[11]M07!E45,[11]M08!E45,[11]M09!E45,[11]M10!E45,[11]M11!E45,[11]M12!E45)</f>
        <v>2218.6759379002406</v>
      </c>
      <c r="F61" s="307">
        <f>SUM([11]M01!F45,[11]M02!F45,[11]M03!F45,[11]M04!F45,[11]M05!F45,[11]M06!F45,[11]M07!F45,[11]M08!F45,[11]M09!F45,[11]M10!F45,[11]M11!F45,[11]M12!F45)</f>
        <v>4678.6534855132222</v>
      </c>
      <c r="G61" s="307">
        <f>SUM([11]M01!G45,[11]M02!G45,[11]M03!G45,[11]M04!G45,[11]M05!G45,[11]M06!G45,[11]M07!G45,[11]M08!G45,[11]M09!G45,[11]M10!G45,[11]M11!G45,[11]M12!G45)</f>
        <v>3336.4132377710794</v>
      </c>
      <c r="H61" s="307">
        <f>SUM([11]M01!H45,[11]M02!H45,[11]M03!H45,[11]M04!H45,[11]M05!H45,[11]M06!H45,[11]M07!H45,[11]M08!H45,[11]M09!H45,[11]M10!H45,[11]M11!H45,[11]M12!H45)</f>
        <v>21609.88569537408</v>
      </c>
      <c r="I61" s="307">
        <f>SUM([11]M01!I45,[11]M02!I45,[11]M03!I45,[11]M04!I45,[11]M05!I45,[11]M06!I45,[11]M07!I45,[11]M08!I45,[11]M09!I45,[11]M10!I45,[11]M11!I45,[11]M12!I45)</f>
        <v>0</v>
      </c>
      <c r="J61" s="307">
        <f>SUM([11]M01!J45,[11]M02!J45,[11]M03!J45,[11]M04!J45,[11]M05!J45,[11]M06!J45,[11]M07!J45,[11]M08!J45,[11]M09!J45,[11]M10!J45,[11]M11!J45,[11]M12!J45)</f>
        <v>2758.0972584808305</v>
      </c>
      <c r="K61" s="308">
        <f>SUM([11]M01!K45,[11]M02!K45,[11]M03!K45,[11]M04!K45,[11]M05!K45,[11]M06!K45,[11]M07!K45,[11]M08!K45,[11]M09!K45,[11]M10!K45,[11]M11!K45,[11]M12!K45)</f>
        <v>1820.6638041470974</v>
      </c>
      <c r="L61" s="309">
        <f>SUM(B61:K61)</f>
        <v>37203.508373991557</v>
      </c>
      <c r="M61" s="310">
        <f>L61/(L60+L61)</f>
        <v>0.66862212353737649</v>
      </c>
      <c r="N61" s="241"/>
    </row>
    <row r="62" spans="1:14" ht="20.25" hidden="1" customHeight="1" x14ac:dyDescent="0.25">
      <c r="A62" s="289" t="s">
        <v>240</v>
      </c>
      <c r="B62" s="311"/>
      <c r="C62" s="311"/>
      <c r="D62" s="311"/>
      <c r="E62" s="311"/>
      <c r="F62" s="311"/>
      <c r="G62" s="312">
        <f>SUM([11]M01!G46,[11]M02!G46,[11]M03!G46,[11]M04!G46,[11]M05!G46,[11]M06!G46,[11]M07!G46,[11]M08!G46,[11]M09!G46,[11]M10!G46,[11]M11!G46,[11]M12!G46)</f>
        <v>0</v>
      </c>
      <c r="H62" s="313">
        <f>G62/L51</f>
        <v>0</v>
      </c>
      <c r="I62" s="311"/>
      <c r="J62" s="311"/>
      <c r="K62" s="311"/>
      <c r="L62" s="288"/>
      <c r="N62" s="241"/>
    </row>
    <row r="63" spans="1:14" ht="15" customHeight="1" x14ac:dyDescent="0.2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288"/>
      <c r="N63" s="241"/>
    </row>
    <row r="64" spans="1:14" ht="20.25" customHeight="1" x14ac:dyDescent="0.25">
      <c r="A64" s="314" t="s">
        <v>241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296">
        <f>L65+L66</f>
        <v>106862.20587611102</v>
      </c>
      <c r="M64" s="316">
        <f>L64/(B3+B7)</f>
        <v>0.99999999999999978</v>
      </c>
      <c r="N64" s="317"/>
    </row>
    <row r="65" spans="1:14" ht="15" customHeight="1" x14ac:dyDescent="0.25">
      <c r="A65" s="318" t="s">
        <v>5</v>
      </c>
      <c r="B65" s="319">
        <f>B54+B57</f>
        <v>3607.0163919940915</v>
      </c>
      <c r="C65" s="320">
        <f t="shared" ref="C65:K65" si="2">C54+C57</f>
        <v>6167.0186706675595</v>
      </c>
      <c r="D65" s="320">
        <f t="shared" si="2"/>
        <v>3294.4257242404055</v>
      </c>
      <c r="E65" s="320">
        <f t="shared" si="2"/>
        <v>5982.5243801901979</v>
      </c>
      <c r="F65" s="320">
        <f t="shared" si="2"/>
        <v>1451.585859559023</v>
      </c>
      <c r="G65" s="320">
        <f t="shared" si="2"/>
        <v>927.50972126523504</v>
      </c>
      <c r="H65" s="320">
        <f t="shared" si="2"/>
        <v>1300.4790825445887</v>
      </c>
      <c r="I65" s="320">
        <f t="shared" si="2"/>
        <v>2411.0194111256251</v>
      </c>
      <c r="J65" s="320">
        <f t="shared" si="2"/>
        <v>5061.5332380834989</v>
      </c>
      <c r="K65" s="321">
        <f t="shared" si="2"/>
        <v>5650.9937597673888</v>
      </c>
      <c r="L65" s="302">
        <f>SUM(B65:K65)</f>
        <v>35854.106239437613</v>
      </c>
      <c r="M65" s="303">
        <f>L65/(L66+L65)</f>
        <v>0.3355171825762655</v>
      </c>
      <c r="N65" s="317"/>
    </row>
    <row r="66" spans="1:14" ht="15" customHeight="1" x14ac:dyDescent="0.25">
      <c r="A66" s="322" t="s">
        <v>225</v>
      </c>
      <c r="B66" s="323">
        <f>B55+B58+B60+B61</f>
        <v>947.20943148847618</v>
      </c>
      <c r="C66" s="324">
        <f t="shared" ref="C66:K66" si="3">C55+C58+C60+C61</f>
        <v>0</v>
      </c>
      <c r="D66" s="324">
        <f t="shared" si="3"/>
        <v>2.6938865147260658</v>
      </c>
      <c r="E66" s="324">
        <f t="shared" si="3"/>
        <v>2774.5362271234203</v>
      </c>
      <c r="F66" s="324">
        <f t="shared" si="3"/>
        <v>7853.6053536079826</v>
      </c>
      <c r="G66" s="324">
        <f t="shared" si="3"/>
        <v>6747.5385238265262</v>
      </c>
      <c r="H66" s="324">
        <f t="shared" si="3"/>
        <v>45939.349698936203</v>
      </c>
      <c r="I66" s="324">
        <f t="shared" si="3"/>
        <v>0</v>
      </c>
      <c r="J66" s="324">
        <f t="shared" si="3"/>
        <v>4525.094968853653</v>
      </c>
      <c r="K66" s="325">
        <f t="shared" si="3"/>
        <v>2218.0715463224333</v>
      </c>
      <c r="L66" s="309">
        <f>SUM(B66:K66)</f>
        <v>71008.099636673418</v>
      </c>
      <c r="M66" s="310">
        <f>L66/(L65+L66)</f>
        <v>0.66448281742373461</v>
      </c>
      <c r="N66" s="317"/>
    </row>
    <row r="67" spans="1:14" ht="15" customHeight="1" x14ac:dyDescent="0.25">
      <c r="B67" s="313">
        <f>B65/$L$64</f>
        <v>3.375390169444778E-2</v>
      </c>
      <c r="C67" s="313">
        <f t="shared" ref="C67:K67" si="4">C65/$L$64</f>
        <v>5.7710007201397219E-2</v>
      </c>
      <c r="D67" s="313">
        <f t="shared" si="4"/>
        <v>3.0828726557074304E-2</v>
      </c>
      <c r="E67" s="313">
        <f t="shared" si="4"/>
        <v>5.5983538156847902E-2</v>
      </c>
      <c r="F67" s="313">
        <f t="shared" si="4"/>
        <v>1.3583716035600983E-2</v>
      </c>
      <c r="G67" s="313">
        <f t="shared" si="4"/>
        <v>8.6794925639147712E-3</v>
      </c>
      <c r="H67" s="313">
        <f t="shared" si="4"/>
        <v>1.216968217979964E-2</v>
      </c>
      <c r="I67" s="313">
        <f t="shared" si="4"/>
        <v>2.2561946867546433E-2</v>
      </c>
      <c r="J67" s="313">
        <f t="shared" si="4"/>
        <v>4.7365045448823188E-2</v>
      </c>
      <c r="K67" s="313">
        <f t="shared" si="4"/>
        <v>5.288112587081327E-2</v>
      </c>
      <c r="N67" s="241"/>
    </row>
    <row r="68" spans="1:14" ht="15" customHeight="1" x14ac:dyDescent="0.25">
      <c r="B68" s="313">
        <f t="shared" ref="B68:K68" si="5">B66/$L$64</f>
        <v>8.8638394062968175E-3</v>
      </c>
      <c r="C68" s="313">
        <f t="shared" si="5"/>
        <v>0</v>
      </c>
      <c r="D68" s="313">
        <f t="shared" si="5"/>
        <v>2.520897348730738E-5</v>
      </c>
      <c r="E68" s="313">
        <f t="shared" si="5"/>
        <v>2.5963681026199611E-2</v>
      </c>
      <c r="F68" s="313">
        <f t="shared" si="5"/>
        <v>7.3492824607354013E-2</v>
      </c>
      <c r="G68" s="313">
        <f t="shared" si="5"/>
        <v>6.3142422229699957E-2</v>
      </c>
      <c r="H68" s="313">
        <f t="shared" si="5"/>
        <v>0.42989333153196602</v>
      </c>
      <c r="I68" s="313">
        <f t="shared" si="5"/>
        <v>0</v>
      </c>
      <c r="J68" s="313">
        <f t="shared" si="5"/>
        <v>4.2345139067218478E-2</v>
      </c>
      <c r="K68" s="313">
        <f t="shared" si="5"/>
        <v>2.0756370581512407E-2</v>
      </c>
      <c r="N68" s="241"/>
    </row>
    <row r="69" spans="1:14" ht="15" customHeight="1" x14ac:dyDescent="0.2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7"/>
      <c r="M69" s="328"/>
    </row>
    <row r="70" spans="1:14" ht="15" customHeight="1" x14ac:dyDescent="0.25">
      <c r="B70" s="326"/>
      <c r="C70" s="326"/>
      <c r="D70" s="326"/>
      <c r="E70" s="326"/>
      <c r="F70" s="326"/>
      <c r="G70" s="326"/>
      <c r="H70" s="326"/>
      <c r="I70" s="326"/>
      <c r="J70" s="326"/>
      <c r="K70" s="326"/>
    </row>
    <row r="71" spans="1:14" ht="15" customHeight="1" x14ac:dyDescent="0.25"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7"/>
    </row>
    <row r="72" spans="1:14" ht="15" customHeight="1" x14ac:dyDescent="0.25"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7"/>
    </row>
  </sheetData>
  <sheetProtection algorithmName="SHA-512" hashValue="JZd/Gto3+6JYMl+Vqm1NOdougE2ubINlxJ9LxIFODjJCgXODlJu4zKCBuGGIWdfm60ZJdJ7c643fbcSAJSLhqg==" saltValue="/iHB13z03l0Ax9LngPhEYg==" spinCount="100000" sheet="1" objects="1" scenarios="1"/>
  <conditionalFormatting sqref="B19:L20 B38:K38">
    <cfRule type="cellIs" dxfId="35" priority="18" operator="equal">
      <formula>0</formula>
    </cfRule>
  </conditionalFormatting>
  <conditionalFormatting sqref="B25:K27">
    <cfRule type="cellIs" dxfId="34" priority="17" operator="equal">
      <formula>0</formula>
    </cfRule>
  </conditionalFormatting>
  <conditionalFormatting sqref="B29:K30">
    <cfRule type="cellIs" dxfId="33" priority="16" operator="equal">
      <formula>0</formula>
    </cfRule>
  </conditionalFormatting>
  <conditionalFormatting sqref="B54:K55">
    <cfRule type="cellIs" dxfId="32" priority="15" operator="equal">
      <formula>0</formula>
    </cfRule>
  </conditionalFormatting>
  <conditionalFormatting sqref="L25:L27">
    <cfRule type="cellIs" dxfId="31" priority="14" operator="equal">
      <formula>0</formula>
    </cfRule>
  </conditionalFormatting>
  <conditionalFormatting sqref="B57:K58">
    <cfRule type="cellIs" dxfId="30" priority="13" operator="equal">
      <formula>0</formula>
    </cfRule>
  </conditionalFormatting>
  <conditionalFormatting sqref="B60:K61">
    <cfRule type="cellIs" dxfId="29" priority="12" operator="equal">
      <formula>0</formula>
    </cfRule>
  </conditionalFormatting>
  <conditionalFormatting sqref="B22:L23">
    <cfRule type="cellIs" dxfId="28" priority="11" operator="equal">
      <formula>0</formula>
    </cfRule>
  </conditionalFormatting>
  <conditionalFormatting sqref="N12:N13">
    <cfRule type="cellIs" dxfId="27" priority="10" stopIfTrue="1" operator="notEqual">
      <formula>8760</formula>
    </cfRule>
  </conditionalFormatting>
  <conditionalFormatting sqref="N14">
    <cfRule type="cellIs" dxfId="26" priority="9" stopIfTrue="1" operator="notEqual">
      <formula>1</formula>
    </cfRule>
  </conditionalFormatting>
  <conditionalFormatting sqref="L54:L55">
    <cfRule type="cellIs" dxfId="25" priority="7" operator="equal">
      <formula>0</formula>
    </cfRule>
  </conditionalFormatting>
  <conditionalFormatting sqref="M51">
    <cfRule type="cellIs" dxfId="24" priority="8" stopIfTrue="1" operator="notEqual">
      <formula>$L$51</formula>
    </cfRule>
  </conditionalFormatting>
  <conditionalFormatting sqref="L57:L58">
    <cfRule type="cellIs" dxfId="23" priority="6" operator="equal">
      <formula>0</formula>
    </cfRule>
  </conditionalFormatting>
  <conditionalFormatting sqref="L60:L61">
    <cfRule type="cellIs" dxfId="22" priority="5" operator="equal">
      <formula>0</formula>
    </cfRule>
  </conditionalFormatting>
  <conditionalFormatting sqref="B65:K66">
    <cfRule type="cellIs" dxfId="21" priority="4" operator="equal">
      <formula>0</formula>
    </cfRule>
  </conditionalFormatting>
  <conditionalFormatting sqref="L65:L66">
    <cfRule type="cellIs" dxfId="20" priority="3" operator="equal">
      <formula>0</formula>
    </cfRule>
  </conditionalFormatting>
  <conditionalFormatting sqref="L51">
    <cfRule type="cellIs" dxfId="19" priority="2" stopIfTrue="1" operator="notEqual">
      <formula>$M$51</formula>
    </cfRule>
  </conditionalFormatting>
  <conditionalFormatting sqref="B44:K45">
    <cfRule type="cellIs" dxfId="18" priority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Normal="100" workbookViewId="0">
      <selection activeCell="P61" sqref="P61"/>
    </sheetView>
  </sheetViews>
  <sheetFormatPr baseColWidth="10" defaultColWidth="10.7109375" defaultRowHeight="15" customHeight="1" x14ac:dyDescent="0.25"/>
  <cols>
    <col min="1" max="1" width="12.7109375" style="171" customWidth="1"/>
    <col min="2" max="256" width="10.7109375" style="171"/>
    <col min="257" max="257" width="12.7109375" style="171" customWidth="1"/>
    <col min="258" max="512" width="10.7109375" style="171"/>
    <col min="513" max="513" width="12.7109375" style="171" customWidth="1"/>
    <col min="514" max="768" width="10.7109375" style="171"/>
    <col min="769" max="769" width="12.7109375" style="171" customWidth="1"/>
    <col min="770" max="1024" width="10.7109375" style="171"/>
    <col min="1025" max="1025" width="12.7109375" style="171" customWidth="1"/>
    <col min="1026" max="1280" width="10.7109375" style="171"/>
    <col min="1281" max="1281" width="12.7109375" style="171" customWidth="1"/>
    <col min="1282" max="1536" width="10.7109375" style="171"/>
    <col min="1537" max="1537" width="12.7109375" style="171" customWidth="1"/>
    <col min="1538" max="1792" width="10.7109375" style="171"/>
    <col min="1793" max="1793" width="12.7109375" style="171" customWidth="1"/>
    <col min="1794" max="2048" width="10.7109375" style="171"/>
    <col min="2049" max="2049" width="12.7109375" style="171" customWidth="1"/>
    <col min="2050" max="2304" width="10.7109375" style="171"/>
    <col min="2305" max="2305" width="12.7109375" style="171" customWidth="1"/>
    <col min="2306" max="2560" width="10.7109375" style="171"/>
    <col min="2561" max="2561" width="12.7109375" style="171" customWidth="1"/>
    <col min="2562" max="2816" width="10.7109375" style="171"/>
    <col min="2817" max="2817" width="12.7109375" style="171" customWidth="1"/>
    <col min="2818" max="3072" width="10.7109375" style="171"/>
    <col min="3073" max="3073" width="12.7109375" style="171" customWidth="1"/>
    <col min="3074" max="3328" width="10.7109375" style="171"/>
    <col min="3329" max="3329" width="12.7109375" style="171" customWidth="1"/>
    <col min="3330" max="3584" width="10.7109375" style="171"/>
    <col min="3585" max="3585" width="12.7109375" style="171" customWidth="1"/>
    <col min="3586" max="3840" width="10.7109375" style="171"/>
    <col min="3841" max="3841" width="12.7109375" style="171" customWidth="1"/>
    <col min="3842" max="4096" width="10.7109375" style="171"/>
    <col min="4097" max="4097" width="12.7109375" style="171" customWidth="1"/>
    <col min="4098" max="4352" width="10.7109375" style="171"/>
    <col min="4353" max="4353" width="12.7109375" style="171" customWidth="1"/>
    <col min="4354" max="4608" width="10.7109375" style="171"/>
    <col min="4609" max="4609" width="12.7109375" style="171" customWidth="1"/>
    <col min="4610" max="4864" width="10.7109375" style="171"/>
    <col min="4865" max="4865" width="12.7109375" style="171" customWidth="1"/>
    <col min="4866" max="5120" width="10.7109375" style="171"/>
    <col min="5121" max="5121" width="12.7109375" style="171" customWidth="1"/>
    <col min="5122" max="5376" width="10.7109375" style="171"/>
    <col min="5377" max="5377" width="12.7109375" style="171" customWidth="1"/>
    <col min="5378" max="5632" width="10.7109375" style="171"/>
    <col min="5633" max="5633" width="12.7109375" style="171" customWidth="1"/>
    <col min="5634" max="5888" width="10.7109375" style="171"/>
    <col min="5889" max="5889" width="12.7109375" style="171" customWidth="1"/>
    <col min="5890" max="6144" width="10.7109375" style="171"/>
    <col min="6145" max="6145" width="12.7109375" style="171" customWidth="1"/>
    <col min="6146" max="6400" width="10.7109375" style="171"/>
    <col min="6401" max="6401" width="12.7109375" style="171" customWidth="1"/>
    <col min="6402" max="6656" width="10.7109375" style="171"/>
    <col min="6657" max="6657" width="12.7109375" style="171" customWidth="1"/>
    <col min="6658" max="6912" width="10.7109375" style="171"/>
    <col min="6913" max="6913" width="12.7109375" style="171" customWidth="1"/>
    <col min="6914" max="7168" width="10.7109375" style="171"/>
    <col min="7169" max="7169" width="12.7109375" style="171" customWidth="1"/>
    <col min="7170" max="7424" width="10.7109375" style="171"/>
    <col min="7425" max="7425" width="12.7109375" style="171" customWidth="1"/>
    <col min="7426" max="7680" width="10.7109375" style="171"/>
    <col min="7681" max="7681" width="12.7109375" style="171" customWidth="1"/>
    <col min="7682" max="7936" width="10.7109375" style="171"/>
    <col min="7937" max="7937" width="12.7109375" style="171" customWidth="1"/>
    <col min="7938" max="8192" width="10.7109375" style="171"/>
    <col min="8193" max="8193" width="12.7109375" style="171" customWidth="1"/>
    <col min="8194" max="8448" width="10.7109375" style="171"/>
    <col min="8449" max="8449" width="12.7109375" style="171" customWidth="1"/>
    <col min="8450" max="8704" width="10.7109375" style="171"/>
    <col min="8705" max="8705" width="12.7109375" style="171" customWidth="1"/>
    <col min="8706" max="8960" width="10.7109375" style="171"/>
    <col min="8961" max="8961" width="12.7109375" style="171" customWidth="1"/>
    <col min="8962" max="9216" width="10.7109375" style="171"/>
    <col min="9217" max="9217" width="12.7109375" style="171" customWidth="1"/>
    <col min="9218" max="9472" width="10.7109375" style="171"/>
    <col min="9473" max="9473" width="12.7109375" style="171" customWidth="1"/>
    <col min="9474" max="9728" width="10.7109375" style="171"/>
    <col min="9729" max="9729" width="12.7109375" style="171" customWidth="1"/>
    <col min="9730" max="9984" width="10.7109375" style="171"/>
    <col min="9985" max="9985" width="12.7109375" style="171" customWidth="1"/>
    <col min="9986" max="10240" width="10.7109375" style="171"/>
    <col min="10241" max="10241" width="12.7109375" style="171" customWidth="1"/>
    <col min="10242" max="10496" width="10.7109375" style="171"/>
    <col min="10497" max="10497" width="12.7109375" style="171" customWidth="1"/>
    <col min="10498" max="10752" width="10.7109375" style="171"/>
    <col min="10753" max="10753" width="12.7109375" style="171" customWidth="1"/>
    <col min="10754" max="11008" width="10.7109375" style="171"/>
    <col min="11009" max="11009" width="12.7109375" style="171" customWidth="1"/>
    <col min="11010" max="11264" width="10.7109375" style="171"/>
    <col min="11265" max="11265" width="12.7109375" style="171" customWidth="1"/>
    <col min="11266" max="11520" width="10.7109375" style="171"/>
    <col min="11521" max="11521" width="12.7109375" style="171" customWidth="1"/>
    <col min="11522" max="11776" width="10.7109375" style="171"/>
    <col min="11777" max="11777" width="12.7109375" style="171" customWidth="1"/>
    <col min="11778" max="12032" width="10.7109375" style="171"/>
    <col min="12033" max="12033" width="12.7109375" style="171" customWidth="1"/>
    <col min="12034" max="12288" width="10.7109375" style="171"/>
    <col min="12289" max="12289" width="12.7109375" style="171" customWidth="1"/>
    <col min="12290" max="12544" width="10.7109375" style="171"/>
    <col min="12545" max="12545" width="12.7109375" style="171" customWidth="1"/>
    <col min="12546" max="12800" width="10.7109375" style="171"/>
    <col min="12801" max="12801" width="12.7109375" style="171" customWidth="1"/>
    <col min="12802" max="13056" width="10.7109375" style="171"/>
    <col min="13057" max="13057" width="12.7109375" style="171" customWidth="1"/>
    <col min="13058" max="13312" width="10.7109375" style="171"/>
    <col min="13313" max="13313" width="12.7109375" style="171" customWidth="1"/>
    <col min="13314" max="13568" width="10.7109375" style="171"/>
    <col min="13569" max="13569" width="12.7109375" style="171" customWidth="1"/>
    <col min="13570" max="13824" width="10.7109375" style="171"/>
    <col min="13825" max="13825" width="12.7109375" style="171" customWidth="1"/>
    <col min="13826" max="14080" width="10.7109375" style="171"/>
    <col min="14081" max="14081" width="12.7109375" style="171" customWidth="1"/>
    <col min="14082" max="14336" width="10.7109375" style="171"/>
    <col min="14337" max="14337" width="12.7109375" style="171" customWidth="1"/>
    <col min="14338" max="14592" width="10.7109375" style="171"/>
    <col min="14593" max="14593" width="12.7109375" style="171" customWidth="1"/>
    <col min="14594" max="14848" width="10.7109375" style="171"/>
    <col min="14849" max="14849" width="12.7109375" style="171" customWidth="1"/>
    <col min="14850" max="15104" width="10.7109375" style="171"/>
    <col min="15105" max="15105" width="12.7109375" style="171" customWidth="1"/>
    <col min="15106" max="15360" width="10.7109375" style="171"/>
    <col min="15361" max="15361" width="12.7109375" style="171" customWidth="1"/>
    <col min="15362" max="15616" width="10.7109375" style="171"/>
    <col min="15617" max="15617" width="12.7109375" style="171" customWidth="1"/>
    <col min="15618" max="15872" width="10.7109375" style="171"/>
    <col min="15873" max="15873" width="12.7109375" style="171" customWidth="1"/>
    <col min="15874" max="16128" width="10.7109375" style="171"/>
    <col min="16129" max="16129" width="12.7109375" style="171" customWidth="1"/>
    <col min="16130" max="16384" width="10.7109375" style="171"/>
  </cols>
  <sheetData>
    <row r="1" spans="1:14" ht="22.15" customHeight="1" x14ac:dyDescent="0.25">
      <c r="A1" s="71" t="s">
        <v>12</v>
      </c>
      <c r="B1" s="38">
        <f>[5]Input!B1</f>
        <v>4</v>
      </c>
      <c r="C1" s="38" t="str">
        <f>[5]Input!C1</f>
        <v>2020-2021</v>
      </c>
    </row>
    <row r="2" spans="1:14" ht="15" customHeight="1" x14ac:dyDescent="0.25">
      <c r="A2" s="172"/>
      <c r="B2" s="173" t="s">
        <v>171</v>
      </c>
      <c r="C2" s="174"/>
      <c r="D2" s="173" t="s">
        <v>15</v>
      </c>
      <c r="E2" s="175"/>
      <c r="F2" s="176" t="s">
        <v>172</v>
      </c>
      <c r="L2" s="139"/>
      <c r="M2" s="139"/>
      <c r="N2" s="139"/>
    </row>
    <row r="3" spans="1:14" ht="15" customHeight="1" x14ac:dyDescent="0.25">
      <c r="A3" s="177" t="s">
        <v>17</v>
      </c>
      <c r="B3" s="178">
        <f>[5]Input!B3</f>
        <v>51220.151770625169</v>
      </c>
      <c r="C3" s="179">
        <f>C4+C5</f>
        <v>1</v>
      </c>
      <c r="D3" s="180">
        <f>[5]Input!D3</f>
        <v>2780.9600000000005</v>
      </c>
      <c r="E3" s="179">
        <f>E4+E5</f>
        <v>1</v>
      </c>
      <c r="F3" s="181" t="s">
        <v>18</v>
      </c>
      <c r="H3" s="182" t="s">
        <v>19</v>
      </c>
      <c r="I3" s="183">
        <v>0.7</v>
      </c>
      <c r="J3" s="184">
        <f>I3*B3</f>
        <v>35854.106239437613</v>
      </c>
      <c r="K3" s="185" t="s">
        <v>173</v>
      </c>
      <c r="L3" s="186">
        <f>L54+L57</f>
        <v>35854.106239437613</v>
      </c>
      <c r="M3" s="187">
        <f>L3/(L4+L3)</f>
        <v>0.7</v>
      </c>
      <c r="N3" s="139"/>
    </row>
    <row r="4" spans="1:14" ht="15" customHeight="1" x14ac:dyDescent="0.25">
      <c r="A4" s="188" t="s">
        <v>20</v>
      </c>
      <c r="B4" s="189">
        <f>[5]Input!B4</f>
        <v>43806.034477544112</v>
      </c>
      <c r="C4" s="190">
        <f>B4/B3</f>
        <v>0.85524999366883825</v>
      </c>
      <c r="D4" s="191">
        <f>[5]Input!D4</f>
        <v>2510.7600000000007</v>
      </c>
      <c r="E4" s="190">
        <f>D4/D3</f>
        <v>0.90283930728956918</v>
      </c>
      <c r="F4" s="192">
        <f>[5]Input!F4</f>
        <v>17.447320523484564</v>
      </c>
      <c r="H4" s="182" t="s">
        <v>21</v>
      </c>
      <c r="I4" s="183">
        <v>0.3</v>
      </c>
      <c r="J4" s="184">
        <f>I4*B3</f>
        <v>15366.04553118755</v>
      </c>
      <c r="K4" s="185" t="s">
        <v>173</v>
      </c>
      <c r="L4" s="186">
        <f>L55+L58</f>
        <v>15366.04553118755</v>
      </c>
      <c r="M4" s="187">
        <f>L4/(L3+L4)</f>
        <v>0.30000000000000004</v>
      </c>
      <c r="N4" s="139"/>
    </row>
    <row r="5" spans="1:14" ht="15" customHeight="1" x14ac:dyDescent="0.25">
      <c r="A5" s="193" t="s">
        <v>22</v>
      </c>
      <c r="B5" s="194">
        <f>[5]Input!B5</f>
        <v>7414.117293081059</v>
      </c>
      <c r="C5" s="195">
        <f>B5/B3</f>
        <v>0.14475000633116175</v>
      </c>
      <c r="D5" s="196">
        <f>[5]Input!D5</f>
        <v>270.2</v>
      </c>
      <c r="E5" s="195">
        <f>D5/D3</f>
        <v>9.7160692710430915E-2</v>
      </c>
      <c r="F5" s="197">
        <f>[5]Input!F5</f>
        <v>27.439368220137155</v>
      </c>
      <c r="L5" s="139"/>
      <c r="M5" s="139"/>
      <c r="N5" s="139"/>
    </row>
    <row r="6" spans="1:14" ht="15" customHeight="1" x14ac:dyDescent="0.25">
      <c r="B6" s="198"/>
    </row>
    <row r="7" spans="1:14" ht="15" customHeight="1" x14ac:dyDescent="0.25">
      <c r="A7" s="71" t="s">
        <v>174</v>
      </c>
      <c r="B7" s="178">
        <f>[5]Input!B7</f>
        <v>55642.054105485877</v>
      </c>
      <c r="C7" s="179">
        <f>[5]Input!C7</f>
        <v>1</v>
      </c>
      <c r="D7" s="180">
        <f>[5]Input!D7</f>
        <v>605.28</v>
      </c>
      <c r="E7" s="179">
        <f>[5]Input!E7</f>
        <v>1</v>
      </c>
      <c r="F7" s="199">
        <f>[5]Input!F7</f>
        <v>91.927792270496099</v>
      </c>
      <c r="G7" s="171" t="str">
        <f>[5]Input!G7</f>
        <v>(230 kV)</v>
      </c>
    </row>
    <row r="9" spans="1:14" ht="15" customHeight="1" x14ac:dyDescent="0.25">
      <c r="A9" s="200" t="s">
        <v>175</v>
      </c>
      <c r="B9" s="201" t="s">
        <v>176</v>
      </c>
      <c r="C9" s="202" t="s">
        <v>177</v>
      </c>
      <c r="D9" s="202" t="s">
        <v>178</v>
      </c>
      <c r="E9" s="202" t="s">
        <v>179</v>
      </c>
      <c r="F9" s="202" t="s">
        <v>180</v>
      </c>
      <c r="G9" s="202" t="s">
        <v>181</v>
      </c>
      <c r="H9" s="203" t="s">
        <v>182</v>
      </c>
      <c r="I9" s="203" t="s">
        <v>183</v>
      </c>
      <c r="J9" s="203" t="s">
        <v>184</v>
      </c>
      <c r="K9" s="203" t="s">
        <v>185</v>
      </c>
      <c r="L9" s="203" t="s">
        <v>186</v>
      </c>
      <c r="M9" s="204" t="s">
        <v>187</v>
      </c>
    </row>
    <row r="10" spans="1:14" ht="15" customHeight="1" x14ac:dyDescent="0.25">
      <c r="A10" s="205"/>
      <c r="B10" s="206" t="s">
        <v>188</v>
      </c>
      <c r="C10" s="207" t="s">
        <v>189</v>
      </c>
      <c r="D10" s="207" t="s">
        <v>190</v>
      </c>
      <c r="E10" s="207" t="s">
        <v>191</v>
      </c>
      <c r="F10" s="207" t="s">
        <v>192</v>
      </c>
      <c r="G10" s="207" t="s">
        <v>193</v>
      </c>
      <c r="H10" s="207" t="s">
        <v>194</v>
      </c>
      <c r="I10" s="207" t="s">
        <v>195</v>
      </c>
      <c r="J10" s="207" t="s">
        <v>196</v>
      </c>
      <c r="K10" s="207" t="s">
        <v>197</v>
      </c>
      <c r="L10" s="207" t="s">
        <v>198</v>
      </c>
      <c r="M10" s="208" t="s">
        <v>199</v>
      </c>
    </row>
    <row r="11" spans="1:14" ht="15" customHeight="1" x14ac:dyDescent="0.25">
      <c r="A11" s="200" t="s">
        <v>200</v>
      </c>
      <c r="B11" s="201" t="s">
        <v>201</v>
      </c>
      <c r="C11" s="202" t="s">
        <v>201</v>
      </c>
      <c r="D11" s="202" t="s">
        <v>201</v>
      </c>
      <c r="E11" s="202" t="s">
        <v>201</v>
      </c>
      <c r="F11" s="202" t="s">
        <v>201</v>
      </c>
      <c r="G11" s="202" t="s">
        <v>201</v>
      </c>
      <c r="H11" s="203" t="s">
        <v>202</v>
      </c>
      <c r="I11" s="203" t="s">
        <v>202</v>
      </c>
      <c r="J11" s="203" t="s">
        <v>202</v>
      </c>
      <c r="K11" s="203" t="s">
        <v>202</v>
      </c>
      <c r="L11" s="203" t="s">
        <v>202</v>
      </c>
      <c r="M11" s="204" t="s">
        <v>201</v>
      </c>
    </row>
    <row r="12" spans="1:14" ht="15" customHeight="1" x14ac:dyDescent="0.25">
      <c r="A12" s="209">
        <f>SUM(B12:M12)</f>
        <v>8760</v>
      </c>
      <c r="B12" s="210">
        <f>24*31</f>
        <v>744</v>
      </c>
      <c r="C12" s="211">
        <f>24*31</f>
        <v>744</v>
      </c>
      <c r="D12" s="211">
        <f>24*30</f>
        <v>720</v>
      </c>
      <c r="E12" s="211">
        <f>24*31</f>
        <v>744</v>
      </c>
      <c r="F12" s="211">
        <f>24*30</f>
        <v>720</v>
      </c>
      <c r="G12" s="211">
        <f>24*31</f>
        <v>744</v>
      </c>
      <c r="H12" s="211">
        <f>24*31</f>
        <v>744</v>
      </c>
      <c r="I12" s="211">
        <f>24*28</f>
        <v>672</v>
      </c>
      <c r="J12" s="211">
        <f>24*31</f>
        <v>744</v>
      </c>
      <c r="K12" s="211">
        <f>24*30</f>
        <v>720</v>
      </c>
      <c r="L12" s="211">
        <f>24*31</f>
        <v>744</v>
      </c>
      <c r="M12" s="212">
        <f>24*30</f>
        <v>720</v>
      </c>
      <c r="N12" s="213">
        <f>SUM(B12:M12)</f>
        <v>8760</v>
      </c>
    </row>
    <row r="13" spans="1:14" ht="15" customHeight="1" x14ac:dyDescent="0.25">
      <c r="A13" s="214" t="s">
        <v>203</v>
      </c>
      <c r="B13" s="188">
        <f>[12]M01!$H$13</f>
        <v>744</v>
      </c>
      <c r="C13" s="139">
        <f>[12]M02!$H$13</f>
        <v>744</v>
      </c>
      <c r="D13" s="139">
        <f>[12]M03!$H$13</f>
        <v>720</v>
      </c>
      <c r="E13" s="139">
        <f>[12]M04!$H$13</f>
        <v>744</v>
      </c>
      <c r="F13" s="139">
        <f>[12]M05!$H$13</f>
        <v>720</v>
      </c>
      <c r="G13" s="139">
        <f>[12]M06!$H$13</f>
        <v>744</v>
      </c>
      <c r="H13" s="139">
        <f>[12]M07!$H$13</f>
        <v>744</v>
      </c>
      <c r="I13" s="139">
        <f>[12]M08!$H$13</f>
        <v>672</v>
      </c>
      <c r="J13" s="139">
        <f>[12]M09!$H$13</f>
        <v>744</v>
      </c>
      <c r="K13" s="139">
        <f>[12]M10!$H$13</f>
        <v>720</v>
      </c>
      <c r="L13" s="139">
        <f>[12]M11!$H$13</f>
        <v>744</v>
      </c>
      <c r="M13" s="215">
        <f>[12]M12!$H$13</f>
        <v>720</v>
      </c>
      <c r="N13" s="213">
        <f>SUM(B13:M13)</f>
        <v>8760</v>
      </c>
    </row>
    <row r="14" spans="1:14" ht="15" customHeight="1" x14ac:dyDescent="0.25">
      <c r="A14" s="205" t="s">
        <v>204</v>
      </c>
      <c r="B14" s="216">
        <f>[12]M01!$I$13</f>
        <v>8.4931506849315067E-2</v>
      </c>
      <c r="C14" s="217">
        <f>[12]M02!$I$13</f>
        <v>8.493150684931508E-2</v>
      </c>
      <c r="D14" s="217">
        <f>[12]M03!$I$13</f>
        <v>8.2191780821917831E-2</v>
      </c>
      <c r="E14" s="217">
        <f>[12]M04!$I$13</f>
        <v>8.4931506849315067E-2</v>
      </c>
      <c r="F14" s="217">
        <f>[12]M05!$I$13</f>
        <v>8.2191780821917818E-2</v>
      </c>
      <c r="G14" s="217">
        <f>[12]M06!$I$13</f>
        <v>8.4931506849315067E-2</v>
      </c>
      <c r="H14" s="217">
        <f>[12]M07!$I$13</f>
        <v>8.4931506849315067E-2</v>
      </c>
      <c r="I14" s="217">
        <f>[12]M08!$I$13</f>
        <v>7.6712328767123306E-2</v>
      </c>
      <c r="J14" s="217">
        <f>[12]M09!$I$13</f>
        <v>8.4931506849315067E-2</v>
      </c>
      <c r="K14" s="217">
        <f>[12]M10!$I$13</f>
        <v>8.2191780821917804E-2</v>
      </c>
      <c r="L14" s="217">
        <f>[12]M11!$I$13</f>
        <v>8.4931506849315067E-2</v>
      </c>
      <c r="M14" s="218">
        <f>[12]M12!$I$13</f>
        <v>8.2191780821917804E-2</v>
      </c>
      <c r="N14" s="219">
        <f>SUM(B14:M14)</f>
        <v>1</v>
      </c>
    </row>
    <row r="16" spans="1:14" ht="20.25" customHeight="1" x14ac:dyDescent="0.25">
      <c r="A16" s="220" t="s">
        <v>34</v>
      </c>
      <c r="B16" s="221">
        <v>1</v>
      </c>
      <c r="C16" s="221">
        <v>2</v>
      </c>
      <c r="D16" s="221">
        <v>3</v>
      </c>
      <c r="E16" s="221">
        <v>4</v>
      </c>
      <c r="F16" s="221">
        <v>5</v>
      </c>
      <c r="G16" s="221">
        <v>6</v>
      </c>
      <c r="H16" s="221">
        <v>7</v>
      </c>
      <c r="I16" s="221">
        <v>8</v>
      </c>
      <c r="J16" s="221">
        <v>9</v>
      </c>
      <c r="K16" s="222">
        <v>10</v>
      </c>
      <c r="L16" s="223" t="s">
        <v>3</v>
      </c>
    </row>
    <row r="17" spans="1:14" ht="25.15" customHeight="1" x14ac:dyDescent="0.25">
      <c r="A17" s="224" t="s">
        <v>205</v>
      </c>
      <c r="B17" s="225" t="s">
        <v>206</v>
      </c>
      <c r="C17" s="225" t="s">
        <v>207</v>
      </c>
      <c r="D17" s="225" t="s">
        <v>208</v>
      </c>
      <c r="E17" s="225" t="s">
        <v>209</v>
      </c>
      <c r="F17" s="225" t="s">
        <v>210</v>
      </c>
      <c r="G17" s="225" t="s">
        <v>211</v>
      </c>
      <c r="H17" s="225" t="s">
        <v>212</v>
      </c>
      <c r="I17" s="225" t="s">
        <v>213</v>
      </c>
      <c r="J17" s="225" t="s">
        <v>214</v>
      </c>
      <c r="K17" s="226" t="s">
        <v>215</v>
      </c>
      <c r="L17" s="227"/>
    </row>
    <row r="18" spans="1:14" ht="20.25" customHeight="1" x14ac:dyDescent="0.25">
      <c r="A18" s="228" t="s">
        <v>216</v>
      </c>
      <c r="L18" s="229"/>
    </row>
    <row r="19" spans="1:14" ht="15" customHeight="1" x14ac:dyDescent="0.25">
      <c r="A19" s="200" t="s">
        <v>217</v>
      </c>
      <c r="B19" s="230">
        <f>[5]Input!B11</f>
        <v>294.5</v>
      </c>
      <c r="C19" s="231">
        <f>[5]Input!C11</f>
        <v>537.79999999999995</v>
      </c>
      <c r="D19" s="231">
        <f>[5]Input!D11</f>
        <v>155.26999999999998</v>
      </c>
      <c r="E19" s="231">
        <f>[5]Input!E11</f>
        <v>375.70699999999999</v>
      </c>
      <c r="F19" s="231">
        <f>[5]Input!F11</f>
        <v>606.81000000000006</v>
      </c>
      <c r="G19" s="231">
        <f>[5]Input!G11</f>
        <v>147</v>
      </c>
      <c r="H19" s="231">
        <f>[5]Input!H11</f>
        <v>195.98</v>
      </c>
      <c r="I19" s="231">
        <f>[5]Input!I11</f>
        <v>260</v>
      </c>
      <c r="J19" s="231">
        <f>[5]Input!J11</f>
        <v>2263.5299999999997</v>
      </c>
      <c r="K19" s="232">
        <f>[5]Input!K11</f>
        <v>252.17</v>
      </c>
      <c r="L19" s="233">
        <f>SUM(B19:K19)</f>
        <v>5088.7669999999998</v>
      </c>
    </row>
    <row r="20" spans="1:14" ht="15" customHeight="1" x14ac:dyDescent="0.25">
      <c r="A20" s="205" t="s">
        <v>31</v>
      </c>
      <c r="B20" s="234">
        <f>[5]Input!B12</f>
        <v>40.409999999999997</v>
      </c>
      <c r="C20" s="235">
        <f>[5]Input!C12</f>
        <v>0</v>
      </c>
      <c r="D20" s="235">
        <f>[5]Input!D12</f>
        <v>0.11</v>
      </c>
      <c r="E20" s="235">
        <f>[5]Input!E12</f>
        <v>114.53</v>
      </c>
      <c r="F20" s="235">
        <f>[5]Input!F12</f>
        <v>240.34983529537578</v>
      </c>
      <c r="G20" s="235">
        <f>[5]Input!G12</f>
        <v>171.22199929453993</v>
      </c>
      <c r="H20" s="235">
        <f>[5]Input!H12</f>
        <v>1109.707575574758</v>
      </c>
      <c r="I20" s="235">
        <f>[5]Input!I12</f>
        <v>0</v>
      </c>
      <c r="J20" s="235">
        <f>[5]Input!J12</f>
        <v>142.61050338355616</v>
      </c>
      <c r="K20" s="236">
        <f>[5]Input!K12</f>
        <v>92.82</v>
      </c>
      <c r="L20" s="237">
        <f>SUM(B20:K20)</f>
        <v>1911.7599135482299</v>
      </c>
    </row>
    <row r="21" spans="1:14" ht="20.25" customHeight="1" x14ac:dyDescent="0.25">
      <c r="A21" s="228" t="s">
        <v>218</v>
      </c>
      <c r="L21" s="229"/>
    </row>
    <row r="22" spans="1:14" ht="15" customHeight="1" x14ac:dyDescent="0.25">
      <c r="A22" s="200" t="s">
        <v>219</v>
      </c>
      <c r="B22" s="230">
        <f>SUM([12]M01!B21*$B$14,[12]M02!B21*$C$14,[12]M03!B21*$D$14,[12]M04!B21*$E$14,[12]M05!B21*$F$14,[12]M06!B21*$G$14,[12]M07!B21*$H$14,[12]M08!B21*$I$14,[12]M09!B21*$J$14,[12]M10!B21*$K$14,[12]M11!B21*$L$14,[12]M12!B21*$M$14)/$N$14</f>
        <v>114.37934360730594</v>
      </c>
      <c r="C22" s="231">
        <f>SUM([12]M01!C21*$B$14,[12]M02!C21*$C$14,[12]M03!C21*$D$14,[12]M04!C21*$E$14,[12]M05!C21*$F$14,[12]M06!C21*$G$14,[12]M07!C21*$H$14,[12]M08!C21*$I$14,[12]M09!C21*$J$14,[12]M10!C21*$K$14,[12]M11!C21*$L$14,[12]M12!C21*$M$14)/$N$14</f>
        <v>190.25392694063925</v>
      </c>
      <c r="D22" s="231">
        <f>SUM([12]M01!D21*$B$14,[12]M02!D21*$C$14,[12]M03!D21*$D$14,[12]M04!D21*$E$14,[12]M05!D21*$F$14,[12]M06!D21*$G$14,[12]M07!D21*$H$14,[12]M08!D21*$I$14,[12]M09!D21*$J$14,[12]M10!D21*$K$14,[12]M11!D21*$L$14,[12]M12!D21*$M$14)/$N$14</f>
        <v>111.60438356164386</v>
      </c>
      <c r="E22" s="231">
        <f>SUM([12]M01!E21*$B$14,[12]M02!E21*$C$14,[12]M03!E21*$D$14,[12]M04!E21*$E$14,[12]M05!E21*$F$14,[12]M06!E21*$G$14,[12]M07!E21*$H$14,[12]M08!E21*$I$14,[12]M09!E21*$J$14,[12]M10!E21*$K$14,[12]M11!E21*$L$14,[12]M12!E21*$M$14)/$N$14</f>
        <v>326.65232305936081</v>
      </c>
      <c r="F22" s="231">
        <f>SUM([12]M01!F21*$B$14,[12]M02!F21*$C$14,[12]M03!F21*$D$14,[12]M04!F21*$E$14,[12]M05!F21*$F$14,[12]M06!F21*$G$14,[12]M07!F21*$H$14,[12]M08!F21*$I$14,[12]M09!F21*$J$14,[12]M10!F21*$K$14,[12]M11!F21*$L$14,[12]M12!F21*$M$14)/$N$14</f>
        <v>189.9220091324201</v>
      </c>
      <c r="G22" s="231">
        <f>SUM([12]M01!G21*$B$14,[12]M02!G21*$C$14,[12]M03!G21*$D$14,[12]M04!G21*$E$14,[12]M05!G21*$F$14,[12]M06!G21*$G$14,[12]M07!G21*$H$14,[12]M08!G21*$I$14,[12]M09!G21*$J$14,[12]M10!G21*$K$14,[12]M11!G21*$L$14,[12]M12!G21*$M$14)/$N$14</f>
        <v>0</v>
      </c>
      <c r="H22" s="231">
        <f>SUM([12]M01!H21*$B$14,[12]M02!H21*$C$14,[12]M03!H21*$D$14,[12]M04!H21*$E$14,[12]M05!H21*$F$14,[12]M06!H21*$G$14,[12]M07!H21*$H$14,[12]M08!H21*$I$14,[12]M09!H21*$J$14,[12]M10!H21*$K$14,[12]M11!H21*$L$14,[12]M12!H21*$M$14)/$N$14</f>
        <v>24.162431506849316</v>
      </c>
      <c r="I22" s="231">
        <f>SUM([12]M01!I21*$B$14,[12]M02!I21*$C$14,[12]M03!I21*$D$14,[12]M04!I21*$E$14,[12]M05!I21*$F$14,[12]M06!I21*$G$14,[12]M07!I21*$H$14,[12]M08!I21*$I$14,[12]M09!I21*$J$14,[12]M10!I21*$K$14,[12]M11!I21*$L$14,[12]M12!I21*$M$14)/$N$14</f>
        <v>164.6040810502283</v>
      </c>
      <c r="J22" s="231">
        <f>SUM([12]M01!J21*$B$14,[12]M02!J21*$C$14,[12]M03!J21*$D$14,[12]M04!J21*$E$14,[12]M05!J21*$F$14,[12]M06!J21*$G$14,[12]M07!J21*$H$14,[12]M08!J21*$I$14,[12]M09!J21*$J$14,[12]M10!J21*$K$14,[12]M11!J21*$L$14,[12]M12!J21*$M$14)/$N$14</f>
        <v>163.5044406392694</v>
      </c>
      <c r="K22" s="232">
        <f>SUM([12]M01!K21*$B$14,[12]M02!K21*$C$14,[12]M03!K21*$D$14,[12]M04!K21*$E$14,[12]M05!K21*$F$14,[12]M06!K21*$G$14,[12]M07!K21*$H$14,[12]M08!K21*$I$14,[12]M09!K21*$J$14,[12]M10!K21*$K$14,[12]M11!K21*$L$14,[12]M12!K21*$M$14)/$N$14</f>
        <v>191.6307305936073</v>
      </c>
      <c r="L22" s="233">
        <f>SUM(B22:K22)</f>
        <v>1476.7136700913243</v>
      </c>
    </row>
    <row r="23" spans="1:14" ht="15" customHeight="1" x14ac:dyDescent="0.25">
      <c r="A23" s="205" t="s">
        <v>220</v>
      </c>
      <c r="B23" s="234">
        <f>SUM([12]M01!B22*$B$14,[12]M02!B22*$C$14,[12]M03!B22*$D$14,[12]M04!B22*$E$14,[12]M05!B22*$F$14,[12]M06!B22*$G$14,[12]M07!B22*$H$14,[12]M08!B22*$I$14,[12]M09!B22*$J$14,[12]M10!B22*$K$14,[12]M11!B22*$L$14,[12]M12!B22*$M$14)/$N$14</f>
        <v>9.6450684931506849</v>
      </c>
      <c r="C23" s="235">
        <f>SUM([12]M01!C22*$B$14,[12]M02!C22*$C$14,[12]M03!C22*$D$14,[12]M04!C22*$E$14,[12]M05!C22*$F$14,[12]M06!C22*$G$14,[12]M07!C22*$H$14,[12]M08!C22*$I$14,[12]M09!C22*$J$14,[12]M10!C22*$K$14,[12]M11!C22*$L$14,[12]M12!C22*$M$14)/$N$14</f>
        <v>0</v>
      </c>
      <c r="D23" s="235">
        <f>SUM([12]M01!D22*$B$14,[12]M02!D22*$C$14,[12]M03!D22*$D$14,[12]M04!D22*$E$14,[12]M05!D22*$F$14,[12]M06!D22*$G$14,[12]M07!D22*$H$14,[12]M08!D22*$I$14,[12]M09!D22*$J$14,[12]M10!D22*$K$14,[12]M11!D22*$L$14,[12]M12!D22*$M$14)/$N$14</f>
        <v>0.1543436073059361</v>
      </c>
      <c r="E23" s="235">
        <f>SUM([12]M01!E22*$B$14,[12]M02!E22*$C$14,[12]M03!E22*$D$14,[12]M04!E22*$E$14,[12]M05!E22*$F$14,[12]M06!E22*$G$14,[12]M07!E22*$H$14,[12]M08!E22*$I$14,[12]M09!E22*$J$14,[12]M10!E22*$K$14,[12]M11!E22*$L$14,[12]M12!E22*$M$14)/$N$14</f>
        <v>47.899286529680374</v>
      </c>
      <c r="F23" s="235">
        <f>SUM([12]M01!F22*$B$14,[12]M02!F22*$C$14,[12]M03!F22*$D$14,[12]M04!F22*$E$14,[12]M05!F22*$F$14,[12]M06!F22*$G$14,[12]M07!F22*$H$14,[12]M08!F22*$I$14,[12]M09!F22*$J$14,[12]M10!F22*$K$14,[12]M11!F22*$L$14,[12]M12!F22*$M$14)/$N$14</f>
        <v>362.51055365296804</v>
      </c>
      <c r="G23" s="235">
        <f>SUM([12]M01!G22*$B$14,[12]M02!G22*$C$14,[12]M03!G22*$D$14,[12]M04!G22*$E$14,[12]M05!G22*$F$14,[12]M06!G22*$G$14,[12]M07!G22*$H$14,[12]M08!G22*$I$14,[12]M09!G22*$J$14,[12]M10!G22*$K$14,[12]M11!G22*$L$14,[12]M12!G22*$M$14)/$N$14</f>
        <v>180.07865867579909</v>
      </c>
      <c r="H23" s="235">
        <f>SUM([12]M01!H22*$B$14,[12]M02!H22*$C$14,[12]M03!H22*$D$14,[12]M04!H22*$E$14,[12]M05!H22*$F$14,[12]M06!H22*$G$14,[12]M07!H22*$H$14,[12]M08!H22*$I$14,[12]M09!H22*$J$14,[12]M10!H22*$K$14,[12]M11!H22*$L$14,[12]M12!H22*$M$14)/$N$14</f>
        <v>689.01880136986313</v>
      </c>
      <c r="I23" s="235">
        <f>SUM([12]M01!I22*$B$14,[12]M02!I22*$C$14,[12]M03!I22*$D$14,[12]M04!I22*$E$14,[12]M05!I22*$F$14,[12]M06!I22*$G$14,[12]M07!I22*$H$14,[12]M08!I22*$I$14,[12]M09!I22*$J$14,[12]M10!I22*$K$14,[12]M11!I22*$L$14,[12]M12!I22*$M$14)/$N$14</f>
        <v>0</v>
      </c>
      <c r="J23" s="235">
        <f>SUM([12]M01!J22*$B$14,[12]M02!J22*$C$14,[12]M03!J22*$D$14,[12]M04!J22*$E$14,[12]M05!J22*$F$14,[12]M06!J22*$G$14,[12]M07!J22*$H$14,[12]M08!J22*$I$14,[12]M09!J22*$J$14,[12]M10!J22*$K$14,[12]M11!J22*$L$14,[12]M12!J22*$M$14)/$N$14</f>
        <v>173.27494863013698</v>
      </c>
      <c r="K23" s="236">
        <f>SUM([12]M01!K22*$B$14,[12]M02!K22*$C$14,[12]M03!K22*$D$14,[12]M04!K22*$E$14,[12]M05!K22*$F$14,[12]M06!K22*$G$14,[12]M07!K22*$H$14,[12]M08!K22*$I$14,[12]M09!K22*$J$14,[12]M10!K22*$K$14,[12]M11!K22*$L$14,[12]M12!K22*$M$14)/$N$14</f>
        <v>14.055644977168949</v>
      </c>
      <c r="L23" s="237">
        <f>SUM(B23:K23)</f>
        <v>1476.6373059360733</v>
      </c>
    </row>
    <row r="24" spans="1:14" ht="20.25" customHeight="1" x14ac:dyDescent="0.25">
      <c r="A24" s="228" t="s">
        <v>221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29"/>
    </row>
    <row r="25" spans="1:14" ht="15" customHeight="1" x14ac:dyDescent="0.25">
      <c r="A25" s="200" t="s">
        <v>222</v>
      </c>
      <c r="B25" s="230">
        <f>SUM([12]M01!B24,[12]M02!B24,[12]M03!B24,[12]M04!B24,[12]M05!B24,[12]M06!B24,[12]M07!B24,[12]M08!B24,[12]M09!B24,[12]M10!B24,[12]M11!B24,[12]M12!B24)</f>
        <v>1001.96305</v>
      </c>
      <c r="C25" s="231">
        <f>SUM([12]M01!C24,[12]M02!C24,[12]M03!C24,[12]M04!C24,[12]M05!C24,[12]M06!C24,[12]M07!C24,[12]M08!C24,[12]M09!C24,[12]M10!C24,[12]M11!C24,[12]M12!C24)</f>
        <v>1666.6243999999999</v>
      </c>
      <c r="D25" s="231">
        <f>SUM([12]M01!D24,[12]M02!D24,[12]M03!D24,[12]M04!D24,[12]M05!D24,[12]M06!D24,[12]M07!D24,[12]M08!D24,[12]M09!D24,[12]M10!D24,[12]M11!D24,[12]M12!D24)</f>
        <v>977.65440000000001</v>
      </c>
      <c r="E25" s="231">
        <f>SUM([12]M01!E24,[12]M02!E24,[12]M03!E24,[12]M04!E24,[12]M05!E24,[12]M06!E24,[12]M07!E24,[12]M08!E24,[12]M09!E24,[12]M10!E24,[12]M11!E24,[12]M12!E24)</f>
        <v>2861.47435</v>
      </c>
      <c r="F25" s="231">
        <f>SUM([12]M01!F24,[12]M02!F24,[12]M03!F24,[12]M04!F24,[12]M05!F24,[12]M06!F24,[12]M07!F24,[12]M08!F24,[12]M09!F24,[12]M10!F24,[12]M11!F24,[12]M12!F24)</f>
        <v>1663.7167999999999</v>
      </c>
      <c r="G25" s="231">
        <f>SUM([12]M01!G24,[12]M02!G24,[12]M03!G24,[12]M04!G24,[12]M05!G24,[12]M06!G24,[12]M07!G24,[12]M08!G24,[12]M09!G24,[12]M10!G24,[12]M11!G24,[12]M12!G24)</f>
        <v>0</v>
      </c>
      <c r="H25" s="231">
        <f>SUM([12]M01!H24,[12]M02!H24,[12]M03!H24,[12]M04!H24,[12]M05!H24,[12]M06!H24,[12]M07!H24,[12]M08!H24,[12]M09!H24,[12]M10!H24,[12]M11!H24,[12]M12!H24)</f>
        <v>211.66289999999998</v>
      </c>
      <c r="I25" s="231">
        <f>SUM([12]M01!I24,[12]M02!I24,[12]M03!I24,[12]M04!I24,[12]M05!I24,[12]M06!I24,[12]M07!I24,[12]M08!I24,[12]M09!I24,[12]M10!I24,[12]M11!I24,[12]M12!I24)</f>
        <v>1441.93175</v>
      </c>
      <c r="J25" s="231">
        <f>SUM([12]M01!J24,[12]M02!J24,[12]M03!J24,[12]M04!J24,[12]M05!J24,[12]M06!J24,[12]M07!J24,[12]M08!J24,[12]M09!J24,[12]M10!J24,[12]M11!J24,[12]M12!J24)</f>
        <v>1432.2989</v>
      </c>
      <c r="K25" s="232">
        <f>SUM([12]M01!K24,[12]M02!K24,[12]M03!K24,[12]M04!K24,[12]M05!K24,[12]M06!K24,[12]M07!K24,[12]M08!K24,[12]M09!K24,[12]M10!K24,[12]M11!K24,[12]M12!K24)</f>
        <v>1678.6852000000001</v>
      </c>
      <c r="L25" s="233">
        <f>SUM(B25:K25)</f>
        <v>12936.01175</v>
      </c>
    </row>
    <row r="26" spans="1:14" ht="15" customHeight="1" x14ac:dyDescent="0.25">
      <c r="A26" s="205" t="s">
        <v>223</v>
      </c>
      <c r="B26" s="234">
        <f>SUM([12]M01!B25,[12]M02!B25,[12]M03!B25,[12]M04!B25,[12]M05!B25,[12]M06!B25,[12]M07!B25,[12]M08!B25,[12]M09!B25,[12]M10!B25,[12]M11!B25,[12]M12!B25)</f>
        <v>84.490800000000007</v>
      </c>
      <c r="C26" s="235">
        <f>SUM([12]M01!C25,[12]M02!C25,[12]M03!C25,[12]M04!C25,[12]M05!C25,[12]M06!C25,[12]M07!C25,[12]M08!C25,[12]M09!C25,[12]M10!C25,[12]M11!C25,[12]M12!C25)</f>
        <v>0</v>
      </c>
      <c r="D26" s="235">
        <f>SUM([12]M01!D25,[12]M02!D25,[12]M03!D25,[12]M04!D25,[12]M05!D25,[12]M06!D25,[12]M07!D25,[12]M08!D25,[12]M09!D25,[12]M10!D25,[12]M11!D25,[12]M12!D25)</f>
        <v>1.3520500000000002</v>
      </c>
      <c r="E26" s="235">
        <f>SUM([12]M01!E25,[12]M02!E25,[12]M03!E25,[12]M04!E25,[12]M05!E25,[12]M06!E25,[12]M07!E25,[12]M08!E25,[12]M09!E25,[12]M10!E25,[12]M11!E25,[12]M12!E25)</f>
        <v>419.59775000000008</v>
      </c>
      <c r="F26" s="235">
        <f>SUM([12]M01!F25,[12]M02!F25,[12]M03!F25,[12]M04!F25,[12]M05!F25,[12]M06!F25,[12]M07!F25,[12]M08!F25,[12]M09!F25,[12]M10!F25,[12]M11!F25,[12]M12!F25)</f>
        <v>3175.5924499999996</v>
      </c>
      <c r="G26" s="235">
        <f>SUM([12]M01!G25,[12]M02!G25,[12]M03!G25,[12]M04!G25,[12]M05!G25,[12]M06!G25,[12]M07!G25,[12]M08!G25,[12]M09!G25,[12]M10!G25,[12]M11!G25,[12]M12!G25)</f>
        <v>1577.4890500000001</v>
      </c>
      <c r="H26" s="235">
        <f>SUM([12]M01!H25,[12]M02!H25,[12]M03!H25,[12]M04!H25,[12]M05!H25,[12]M06!H25,[12]M07!H25,[12]M08!H25,[12]M09!H25,[12]M10!H25,[12]M11!H25,[12]M12!H25)</f>
        <v>6035.8047000000006</v>
      </c>
      <c r="I26" s="235">
        <f>SUM([12]M01!I25,[12]M02!I25,[12]M03!I25,[12]M04!I25,[12]M05!I25,[12]M06!I25,[12]M07!I25,[12]M08!I25,[12]M09!I25,[12]M10!I25,[12]M11!I25,[12]M12!I25)</f>
        <v>0</v>
      </c>
      <c r="J26" s="235">
        <f>SUM([12]M01!J25,[12]M02!J25,[12]M03!J25,[12]M04!J25,[12]M05!J25,[12]M06!J25,[12]M07!J25,[12]M08!J25,[12]M09!J25,[12]M10!J25,[12]M11!J25,[12]M12!J25)</f>
        <v>1517.8885499999999</v>
      </c>
      <c r="K26" s="236">
        <f>SUM([12]M01!K25,[12]M02!K25,[12]M03!K25,[12]M04!K25,[12]M05!K25,[12]M06!K25,[12]M07!K25,[12]M08!K25,[12]M09!K25,[12]M10!K25,[12]M11!K25,[12]M12!K25)</f>
        <v>123.12745</v>
      </c>
      <c r="L26" s="237">
        <f>SUM(B26:K26)</f>
        <v>12935.3428</v>
      </c>
    </row>
    <row r="27" spans="1:14" ht="9.9499999999999993" customHeight="1" x14ac:dyDescent="0.25">
      <c r="A27" s="1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40"/>
      <c r="N27" s="241"/>
    </row>
    <row r="28" spans="1:14" ht="20.25" customHeight="1" x14ac:dyDescent="0.25">
      <c r="A28" s="228" t="s">
        <v>224</v>
      </c>
      <c r="L28" s="229"/>
      <c r="N28" s="241"/>
    </row>
    <row r="29" spans="1:14" ht="15" customHeight="1" x14ac:dyDescent="0.25">
      <c r="A29" s="242" t="s">
        <v>5</v>
      </c>
      <c r="B29" s="243">
        <f>SUM([12]M01!B27*$B$14,[12]M02!B27*$C$14,[12]M03!B27*$D$14,[12]M04!B27*$E$14,[12]M05!B27*$F$14,[12]M06!B27*$G$14,[12]M07!B27*$H$14,[12]M08!B27*$I$14,[12]M09!B27*$J$14,[12]M10!B27*$K$14,[12]M11!B27*$L$14,[12]M12!B27*$M$14)/$N$14</f>
        <v>2.1673682924553672</v>
      </c>
      <c r="C29" s="244">
        <f>SUM([12]M01!C27*$B$14,[12]M02!C27*$C$14,[12]M03!C27*$D$14,[12]M04!C27*$E$14,[12]M05!C27*$F$14,[12]M06!C27*$G$14,[12]M07!C27*$H$14,[12]M08!C27*$I$14,[12]M09!C27*$J$14,[12]M10!C27*$K$14,[12]M11!C27*$L$14,[12]M12!C27*$M$14)/$N$14</f>
        <v>2.012074986911053</v>
      </c>
      <c r="D29" s="244">
        <f>SUM([12]M01!D27*$B$14,[12]M02!D27*$C$14,[12]M03!D27*$D$14,[12]M04!D27*$E$14,[12]M05!D27*$F$14,[12]M06!D27*$G$14,[12]M07!D27*$H$14,[12]M08!D27*$I$14,[12]M09!D27*$J$14,[12]M10!D27*$K$14,[12]M11!D27*$L$14,[12]M12!D27*$M$14)/$N$14</f>
        <v>2.360809298425588</v>
      </c>
      <c r="E29" s="244">
        <f>SUM([12]M01!E27*$B$14,[12]M02!E27*$C$14,[12]M03!E27*$D$14,[12]M04!E27*$E$14,[12]M05!E27*$F$14,[12]M06!E27*$G$14,[12]M07!E27*$H$14,[12]M08!E27*$I$14,[12]M09!E27*$J$14,[12]M10!E27*$K$14,[12]M11!E27*$L$14,[12]M12!E27*$M$14)/$N$14</f>
        <v>1.9175355652515831</v>
      </c>
      <c r="F29" s="244">
        <f>SUM([12]M01!F27*$B$14,[12]M02!F27*$C$14,[12]M03!F27*$D$14,[12]M04!F27*$E$14,[12]M05!F27*$F$14,[12]M06!F27*$G$14,[12]M07!F27*$H$14,[12]M08!F27*$I$14,[12]M09!F27*$J$14,[12]M10!F27*$K$14,[12]M11!F27*$L$14,[12]M12!F27*$M$14)/$N$14</f>
        <v>0.59494581749463971</v>
      </c>
      <c r="G29" s="244">
        <f>SUM([12]M01!G27*$B$14,[12]M02!G27*$C$14,[12]M03!G27*$D$14,[12]M04!G27*$E$14,[12]M05!G27*$F$14,[12]M06!G27*$G$14,[12]M07!G27*$H$14,[12]M08!G27*$I$14,[12]M09!G27*$J$14,[12]M10!G27*$K$14,[12]M11!G27*$L$14,[12]M12!G27*$M$14)/$N$14</f>
        <v>0</v>
      </c>
      <c r="H29" s="244">
        <f>SUM([12]M01!H27*$B$14,[12]M02!H27*$C$14,[12]M03!H27*$D$14,[12]M04!H27*$E$14,[12]M05!H27*$F$14,[12]M06!H27*$G$14,[12]M07!H27*$H$14,[12]M08!H27*$I$14,[12]M09!H27*$J$14,[12]M10!H27*$K$14,[12]M11!H27*$L$14,[12]M12!H27*$M$14)/$N$14</f>
        <v>0.31338284889885598</v>
      </c>
      <c r="I29" s="244">
        <f>SUM([12]M01!I27*$B$14,[12]M02!I27*$C$14,[12]M03!I27*$D$14,[12]M04!I27*$E$14,[12]M05!I27*$F$14,[12]M06!I27*$G$14,[12]M07!I27*$H$14,[12]M08!I27*$I$14,[12]M09!I27*$J$14,[12]M10!I27*$K$14,[12]M11!I27*$L$14,[12]M12!I27*$M$14)/$N$14</f>
        <v>0.36468594301775709</v>
      </c>
      <c r="J29" s="244">
        <f>SUM([12]M01!J27*$B$14,[12]M02!J27*$C$14,[12]M03!J27*$D$14,[12]M04!J27*$E$14,[12]M05!J27*$F$14,[12]M06!J27*$G$14,[12]M07!J27*$H$14,[12]M08!J27*$I$14,[12]M09!J27*$J$14,[12]M10!J27*$K$14,[12]M11!J27*$L$14,[12]M12!J27*$M$14)/$N$14</f>
        <v>7.6618979437678397E-2</v>
      </c>
      <c r="K29" s="245">
        <f>SUM([12]M01!K27*$B$14,[12]M02!K27*$C$14,[12]M03!K27*$D$14,[12]M04!K27*$E$14,[12]M05!K27*$F$14,[12]M06!K27*$G$14,[12]M07!K27*$H$14,[12]M08!K27*$I$14,[12]M09!K27*$J$14,[12]M10!K27*$K$14,[12]M11!K27*$L$14,[12]M12!K27*$M$14)/$N$14</f>
        <v>2.6036027671592716</v>
      </c>
      <c r="L29" s="229"/>
      <c r="N29" s="241"/>
    </row>
    <row r="30" spans="1:14" ht="15" customHeight="1" x14ac:dyDescent="0.25">
      <c r="A30" s="246" t="s">
        <v>225</v>
      </c>
      <c r="B30" s="247">
        <f>SUM([12]M01!B28*$B$14,[12]M02!B28*$C$14,[12]M03!B28*$D$14,[12]M04!B28*$E$14,[12]M05!B28*$F$14,[12]M06!B28*$G$14,[12]M07!B28*$H$14,[12]M08!B28*$I$14,[12]M09!B28*$J$14,[12]M10!B28*$K$14,[12]M11!B28*$L$14,[12]M12!B28*$M$14)/$N$14</f>
        <v>7.7549114825246684E-3</v>
      </c>
      <c r="C30" s="248">
        <f>SUM([12]M01!C28*$B$14,[12]M02!C28*$C$14,[12]M03!C28*$D$14,[12]M04!C28*$E$14,[12]M05!C28*$F$14,[12]M06!C28*$G$14,[12]M07!C28*$H$14,[12]M08!C28*$I$14,[12]M09!C28*$J$14,[12]M10!C28*$K$14,[12]M11!C28*$L$14,[12]M12!C28*$M$14)/$N$14</f>
        <v>0</v>
      </c>
      <c r="D30" s="248">
        <f>SUM([12]M01!D28*$B$14,[12]M02!D28*$C$14,[12]M03!D28*$D$14,[12]M04!D28*$E$14,[12]M05!D28*$F$14,[12]M06!D28*$G$14,[12]M07!D28*$H$14,[12]M08!D28*$I$14,[12]M09!D28*$J$14,[12]M10!D28*$K$14,[12]M11!D28*$L$14,[12]M12!D28*$M$14)/$N$14</f>
        <v>0</v>
      </c>
      <c r="E30" s="248">
        <f>SUM([12]M01!E28*$B$14,[12]M02!E28*$C$14,[12]M03!E28*$D$14,[12]M04!E28*$E$14,[12]M05!E28*$F$14,[12]M06!E28*$G$14,[12]M07!E28*$H$14,[12]M08!E28*$I$14,[12]M09!E28*$J$14,[12]M10!E28*$K$14,[12]M11!E28*$L$14,[12]M12!E28*$M$14)/$N$14</f>
        <v>0.20275072055630095</v>
      </c>
      <c r="F30" s="248">
        <f>SUM([12]M01!F28*$B$14,[12]M02!F28*$C$14,[12]M03!F28*$D$14,[12]M04!F28*$E$14,[12]M05!F28*$F$14,[12]M06!F28*$G$14,[12]M07!F28*$H$14,[12]M08!F28*$I$14,[12]M09!F28*$J$14,[12]M10!F28*$K$14,[12]M11!F28*$L$14,[12]M12!F28*$M$14)/$N$14</f>
        <v>0.63207808256382658</v>
      </c>
      <c r="G30" s="248">
        <f>SUM([12]M01!G28*$B$14,[12]M02!G28*$C$14,[12]M03!G28*$D$14,[12]M04!G28*$E$14,[12]M05!G28*$F$14,[12]M06!G28*$G$14,[12]M07!G28*$H$14,[12]M08!G28*$I$14,[12]M09!G28*$J$14,[12]M10!G28*$K$14,[12]M11!G28*$L$14,[12]M12!G28*$M$14)/$N$14</f>
        <v>0.73953810818552146</v>
      </c>
      <c r="H30" s="248">
        <f>SUM([12]M01!H28*$B$14,[12]M02!H28*$C$14,[12]M03!H28*$D$14,[12]M04!H28*$E$14,[12]M05!H28*$F$14,[12]M06!H28*$G$14,[12]M07!H28*$H$14,[12]M08!H28*$I$14,[12]M09!H28*$J$14,[12]M10!H28*$K$14,[12]M11!H28*$L$14,[12]M12!H28*$M$14)/$N$14</f>
        <v>0.67863972426566976</v>
      </c>
      <c r="I30" s="248">
        <f>SUM([12]M01!I28*$B$14,[12]M02!I28*$C$14,[12]M03!I28*$D$14,[12]M04!I28*$E$14,[12]M05!I28*$F$14,[12]M06!I28*$G$14,[12]M07!I28*$H$14,[12]M08!I28*$I$14,[12]M09!I28*$J$14,[12]M10!I28*$K$14,[12]M11!I28*$L$14,[12]M12!I28*$M$14)/$N$14</f>
        <v>0</v>
      </c>
      <c r="J30" s="248">
        <f>SUM([12]M01!J28*$B$14,[12]M02!J28*$C$14,[12]M03!J28*$D$14,[12]M04!J28*$E$14,[12]M05!J28*$F$14,[12]M06!J28*$G$14,[12]M07!J28*$H$14,[12]M08!J28*$I$14,[12]M09!J28*$J$14,[12]M10!J28*$K$14,[12]M11!J28*$L$14,[12]M12!J28*$M$14)/$N$14</f>
        <v>0.70586683359843549</v>
      </c>
      <c r="K30" s="249">
        <f>SUM([12]M01!K28*$B$14,[12]M02!K28*$C$14,[12]M03!K28*$D$14,[12]M04!K28*$E$14,[12]M05!K28*$F$14,[12]M06!K28*$G$14,[12]M07!K28*$H$14,[12]M08!K28*$I$14,[12]M09!K28*$J$14,[12]M10!K28*$K$14,[12]M11!K28*$L$14,[12]M12!K28*$M$14)/$N$14</f>
        <v>3.338723862051747E-2</v>
      </c>
      <c r="L30" s="229"/>
      <c r="N30" s="241"/>
    </row>
    <row r="31" spans="1:14" ht="20.25" customHeight="1" x14ac:dyDescent="0.25">
      <c r="A31" s="228" t="s">
        <v>226</v>
      </c>
      <c r="L31" s="229"/>
      <c r="N31" s="241"/>
    </row>
    <row r="32" spans="1:14" ht="15" customHeight="1" x14ac:dyDescent="0.25">
      <c r="A32" s="250" t="s">
        <v>227</v>
      </c>
      <c r="B32" s="251">
        <f>SUM([12]M01!B30,[12]M02!B30,[12]M03!B30,[12]M04!B30,[12]M05!B30,[12]M06!B30,[12]M07!B30,[12]M08!B30,[12]M09!B30,[12]M10!B30,[12]M11!B30,[12]M12!B30)</f>
        <v>3.8639927068660027</v>
      </c>
      <c r="L32" s="229"/>
      <c r="N32" s="241"/>
    </row>
    <row r="33" spans="1:14" ht="15" customHeight="1" x14ac:dyDescent="0.25">
      <c r="A33" s="252" t="s">
        <v>228</v>
      </c>
      <c r="B33" s="253">
        <f>SUM([12]M01!B31,[12]M02!B31,[12]M03!B31,[12]M04!B31,[12]M05!B31,[12]M06!B31,[12]M07!B31,[12]M08!B31,[12]M09!B31,[12]M10!B31,[12]M11!B31,[12]M12!B31)</f>
        <v>3.7620860914848704</v>
      </c>
      <c r="L33" s="229"/>
      <c r="N33" s="241"/>
    </row>
    <row r="34" spans="1:14" ht="20.25" hidden="1" customHeight="1" x14ac:dyDescent="0.25">
      <c r="A34" s="228" t="s">
        <v>229</v>
      </c>
      <c r="L34" s="229"/>
      <c r="N34" s="241"/>
    </row>
    <row r="35" spans="1:14" ht="15" hidden="1" customHeight="1" x14ac:dyDescent="0.25">
      <c r="A35" s="250" t="s">
        <v>227</v>
      </c>
      <c r="B35" s="251" t="e">
        <f>SUM([12]M01!#REF!,[12]M02!#REF!,[12]M03!#REF!,[12]M04!#REF!,[12]M05!#REF!,[12]M06!#REF!,[12]M07!#REF!,[12]M08!#REF!,[12]M09!#REF!,[12]M10!#REF!,[12]M11!#REF!,[12]M12!#REF!)</f>
        <v>#REF!</v>
      </c>
      <c r="L35" s="229"/>
      <c r="N35" s="241"/>
    </row>
    <row r="36" spans="1:14" ht="15" hidden="1" customHeight="1" x14ac:dyDescent="0.25">
      <c r="A36" s="252" t="s">
        <v>228</v>
      </c>
      <c r="B36" s="253" t="e">
        <f>SUM([12]M01!#REF!,[12]M02!#REF!,[12]M03!#REF!,[12]M04!#REF!,[12]M05!#REF!,[12]M06!#REF!,[12]M07!#REF!,[12]M08!#REF!,[12]M09!#REF!,[12]M10!#REF!,[12]M11!#REF!,[12]M12!#REF!)</f>
        <v>#REF!</v>
      </c>
      <c r="L36" s="229"/>
      <c r="N36" s="241"/>
    </row>
    <row r="37" spans="1:14" ht="20.25" customHeight="1" x14ac:dyDescent="0.25">
      <c r="A37" s="228" t="s">
        <v>230</v>
      </c>
      <c r="L37" s="229"/>
      <c r="N37" s="241"/>
    </row>
    <row r="38" spans="1:14" ht="15" customHeight="1" x14ac:dyDescent="0.25">
      <c r="A38" s="254" t="s">
        <v>225</v>
      </c>
      <c r="B38" s="255">
        <f>SUM([12]M01!B33*$B$14,[12]M02!B33*$C$14,[12]M03!B33*$D$14,[12]M04!B33*$E$14,[12]M05!B33*$F$14,[12]M06!B33*$G$14,[12]M07!B33*$H$14,[12]M08!B33*$I$14,[12]M09!B33*$J$14,[12]M10!B33*$K$14,[12]M11!B33*$L$14,[12]M12!B33*$M$14)/$N$14</f>
        <v>0</v>
      </c>
      <c r="C38" s="256">
        <f>SUM([12]M01!C33*$B$14,[12]M02!C33*$C$14,[12]M03!C33*$D$14,[12]M04!C33*$E$14,[12]M05!C33*$F$14,[12]M06!C33*$G$14,[12]M07!C33*$H$14,[12]M08!C33*$I$14,[12]M09!C33*$J$14,[12]M10!C33*$K$14,[12]M11!C33*$L$14,[12]M12!C33*$M$14)/$N$14</f>
        <v>0</v>
      </c>
      <c r="D38" s="256">
        <f>SUM([12]M01!D33*$B$14,[12]M02!D33*$C$14,[12]M03!D33*$D$14,[12]M04!D33*$E$14,[12]M05!D33*$F$14,[12]M06!D33*$G$14,[12]M07!D33*$H$14,[12]M08!D33*$I$14,[12]M09!D33*$J$14,[12]M10!D33*$K$14,[12]M11!D33*$L$14,[12]M12!D33*$M$14)/$N$14</f>
        <v>0</v>
      </c>
      <c r="E38" s="256">
        <f>SUM([12]M01!E33*$B$14,[12]M02!E33*$C$14,[12]M03!E33*$D$14,[12]M04!E33*$E$14,[12]M05!E33*$F$14,[12]M06!E33*$G$14,[12]M07!E33*$H$14,[12]M08!E33*$I$14,[12]M09!E33*$J$14,[12]M10!E33*$K$14,[12]M11!E33*$L$14,[12]M12!E33*$M$14)/$N$14</f>
        <v>0</v>
      </c>
      <c r="F38" s="256">
        <f>SUM([12]M01!F33*$B$14,[12]M02!F33*$C$14,[12]M03!F33*$D$14,[12]M04!F33*$E$14,[12]M05!F33*$F$14,[12]M06!F33*$G$14,[12]M07!F33*$H$14,[12]M08!F33*$I$14,[12]M09!F33*$J$14,[12]M10!F33*$K$14,[12]M11!F33*$L$14,[12]M12!F33*$M$14)/$N$14</f>
        <v>1.2943928406508693</v>
      </c>
      <c r="G38" s="256">
        <f>SUM([12]M01!G33*$B$14,[12]M02!G33*$C$14,[12]M03!G33*$D$14,[12]M04!G33*$E$14,[12]M05!G33*$F$14,[12]M06!G33*$G$14,[12]M07!G33*$H$14,[12]M08!G33*$I$14,[12]M09!G33*$J$14,[12]M10!G33*$K$14,[12]M11!G33*$L$14,[12]M12!G33*$M$14)/$N$14</f>
        <v>2.4995476684408211</v>
      </c>
      <c r="H38" s="256">
        <f>SUM([12]M01!H33*$B$14,[12]M02!H33*$C$14,[12]M03!H33*$D$14,[12]M04!H33*$E$14,[12]M05!H33*$F$14,[12]M06!H33*$G$14,[12]M07!H33*$H$14,[12]M08!H33*$I$14,[12]M09!H33*$J$14,[12]M10!H33*$K$14,[12]M11!H33*$L$14,[12]M12!H33*$M$14)/$N$14</f>
        <v>1.8478245074487425</v>
      </c>
      <c r="I38" s="256">
        <f>SUM([12]M01!I33*$B$14,[12]M02!I33*$C$14,[12]M03!I33*$D$14,[12]M04!I33*$E$14,[12]M05!I33*$F$14,[12]M06!I33*$G$14,[12]M07!I33*$H$14,[12]M08!I33*$I$14,[12]M09!I33*$J$14,[12]M10!I33*$K$14,[12]M11!I33*$L$14,[12]M12!I33*$M$14)/$N$14</f>
        <v>0</v>
      </c>
      <c r="J38" s="256">
        <f>SUM([12]M01!J33*$B$14,[12]M02!J33*$C$14,[12]M03!J33*$D$14,[12]M04!J33*$E$14,[12]M05!J33*$F$14,[12]M06!J33*$G$14,[12]M07!J33*$H$14,[12]M08!J33*$I$14,[12]M09!J33*$J$14,[12]M10!J33*$K$14,[12]M11!J33*$L$14,[12]M12!J33*$M$14)/$N$14</f>
        <v>1.0777875574518989</v>
      </c>
      <c r="K38" s="257">
        <f>SUM([12]M01!K33*$B$14,[12]M02!K33*$C$14,[12]M03!K33*$D$14,[12]M04!K33*$E$14,[12]M05!K33*$F$14,[12]M06!K33*$G$14,[12]M07!K33*$H$14,[12]M08!K33*$I$14,[12]M09!K33*$J$14,[12]M10!K33*$K$14,[12]M11!K33*$L$14,[12]M12!K33*$M$14)/$N$14</f>
        <v>0</v>
      </c>
      <c r="L38" s="229"/>
      <c r="N38" s="241"/>
    </row>
    <row r="39" spans="1:14" ht="20.25" customHeight="1" x14ac:dyDescent="0.25">
      <c r="A39" s="228" t="s">
        <v>231</v>
      </c>
      <c r="L39" s="229"/>
      <c r="N39" s="241"/>
    </row>
    <row r="40" spans="1:14" ht="15" customHeight="1" x14ac:dyDescent="0.25">
      <c r="A40" s="252" t="s">
        <v>228</v>
      </c>
      <c r="B40" s="253">
        <f>SUM([12]M01!I34,[12]M02!I34,[12]M03!I34,[12]M04!I34,[12]M05!I34,[12]M06!I34,[12]M07!I34,[12]M08!I34,[12]M09!I34,[12]M10!I34,[12]M11!I34,[12]M12!I34)</f>
        <v>18.558149686044295</v>
      </c>
      <c r="L40" s="229"/>
      <c r="N40" s="241"/>
    </row>
    <row r="41" spans="1:14" ht="9.9499999999999993" customHeight="1" x14ac:dyDescent="0.25">
      <c r="L41" s="229"/>
      <c r="N41" s="241"/>
    </row>
    <row r="42" spans="1:14" ht="9.9499999999999993" customHeight="1" thickBot="1" x14ac:dyDescent="0.3">
      <c r="L42" s="258"/>
      <c r="N42" s="241"/>
    </row>
    <row r="43" spans="1:14" ht="20.25" customHeight="1" thickTop="1" x14ac:dyDescent="0.25">
      <c r="A43" s="259" t="s">
        <v>232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  <c r="L43" s="262"/>
      <c r="N43" s="241"/>
    </row>
    <row r="44" spans="1:14" ht="15" customHeight="1" x14ac:dyDescent="0.25">
      <c r="A44" s="263" t="s">
        <v>5</v>
      </c>
      <c r="B44" s="264">
        <f>SUM([12]M01!B51*$B$14,[12]M02!B51*$C$14,[12]M03!B51*$D$14,[12]M04!B51*$E$14,[12]M05!B51*$F$14,[12]M06!B51*$G$14,[12]M07!B51*$H$14,[12]M08!B51*$I$14,[12]M09!B51*$J$14,[12]M10!B51*$K$14,[12]M11!B51*$L$14,[12]M12!B51*$M$14)/$N$14</f>
        <v>2.1550319757269505</v>
      </c>
      <c r="C44" s="265">
        <f>SUM([12]M01!C51*$B$14,[12]M02!C51*$C$14,[12]M03!C51*$D$14,[12]M04!C51*$E$14,[12]M05!C51*$F$14,[12]M06!C51*$G$14,[12]M07!C51*$H$14,[12]M08!C51*$I$14,[12]M09!C51*$J$14,[12]M10!C51*$K$14,[12]M11!C51*$L$14,[12]M12!C51*$M$14)/$N$14</f>
        <v>1.9939199639990519</v>
      </c>
      <c r="D44" s="265">
        <f>SUM([12]M01!D51*$B$14,[12]M02!D51*$C$14,[12]M03!D51*$D$14,[12]M04!D51*$E$14,[12]M05!D51*$F$14,[12]M06!D51*$G$14,[12]M07!D51*$H$14,[12]M08!D51*$I$14,[12]M09!D51*$J$14,[12]M10!D51*$K$14,[12]M11!D51*$L$14,[12]M12!D51*$M$14)/$N$14</f>
        <v>2.3608092984255871</v>
      </c>
      <c r="E44" s="265">
        <f>SUM([12]M01!E51*$B$14,[12]M02!E51*$C$14,[12]M03!E51*$D$14,[12]M04!E51*$E$14,[12]M05!E51*$F$14,[12]M06!E51*$G$14,[12]M07!E51*$H$14,[12]M08!E51*$I$14,[12]M09!E51*$J$14,[12]M10!E51*$K$14,[12]M11!E51*$L$14,[12]M12!E51*$M$14)/$N$14</f>
        <v>1.9158459351875343</v>
      </c>
      <c r="F44" s="265">
        <f>SUM([12]M01!F51*$B$14,[12]M02!F51*$C$14,[12]M03!F51*$D$14,[12]M04!F51*$E$14,[12]M05!F51*$F$14,[12]M06!F51*$G$14,[12]M07!F51*$H$14,[12]M08!F51*$I$14,[12]M09!F51*$J$14,[12]M10!F51*$K$14,[12]M11!F51*$L$14,[12]M12!F51*$M$14)/$N$14</f>
        <v>0.56955139804471555</v>
      </c>
      <c r="G44" s="265">
        <f>SUM([12]M01!G51*$B$14,[12]M02!G51*$C$14,[12]M03!G51*$D$14,[12]M04!G51*$E$14,[12]M05!G51*$F$14,[12]M06!G51*$G$14,[12]M07!G51*$H$14,[12]M08!G51*$I$14,[12]M09!G51*$J$14,[12]M10!G51*$K$14,[12]M11!G51*$L$14,[12]M12!G51*$M$14)/$N$14</f>
        <v>0</v>
      </c>
      <c r="H44" s="265">
        <f>SUM([12]M01!H51*$B$14,[12]M02!H51*$C$14,[12]M03!H51*$D$14,[12]M04!H51*$E$14,[12]M05!H51*$F$14,[12]M06!H51*$G$14,[12]M07!H51*$H$14,[12]M08!H51*$I$14,[12]M09!H51*$J$14,[12]M10!H51*$K$14,[12]M11!H51*$L$14,[12]M12!H51*$M$14)/$N$14</f>
        <v>0.31396820857750368</v>
      </c>
      <c r="I44" s="265">
        <f>SUM([12]M01!I51*$B$14,[12]M02!I51*$C$14,[12]M03!I51*$D$14,[12]M04!I51*$E$14,[12]M05!I51*$F$14,[12]M06!I51*$G$14,[12]M07!I51*$H$14,[12]M08!I51*$I$14,[12]M09!I51*$J$14,[12]M10!I51*$K$14,[12]M11!I51*$L$14,[12]M12!I51*$M$14)/$N$14</f>
        <v>0.43268426466466309</v>
      </c>
      <c r="J44" s="265">
        <f>SUM([12]M01!J51*$B$14,[12]M02!J51*$C$14,[12]M03!J51*$D$14,[12]M04!J51*$E$14,[12]M05!J51*$F$14,[12]M06!J51*$G$14,[12]M07!J51*$H$14,[12]M08!J51*$I$14,[12]M09!J51*$J$14,[12]M10!J51*$K$14,[12]M11!J51*$L$14,[12]M12!J51*$M$14)/$N$14</f>
        <v>7.6883179035678928E-2</v>
      </c>
      <c r="K44" s="266">
        <f>SUM([12]M01!K51*$B$14,[12]M02!K51*$C$14,[12]M03!K51*$D$14,[12]M04!K51*$E$14,[12]M05!K51*$F$14,[12]M06!K51*$G$14,[12]M07!K51*$H$14,[12]M08!K51*$I$14,[12]M09!K51*$J$14,[12]M10!K51*$K$14,[12]M11!K51*$L$14,[12]M12!K51*$M$14)/$N$14</f>
        <v>2.5678173761816985</v>
      </c>
      <c r="L44" s="262"/>
      <c r="N44" s="241"/>
    </row>
    <row r="45" spans="1:14" ht="15" customHeight="1" x14ac:dyDescent="0.25">
      <c r="A45" s="267" t="s">
        <v>225</v>
      </c>
      <c r="B45" s="268">
        <f>SUM([12]M01!B52*$B$14,[12]M02!B52*$C$14,[12]M03!B52*$D$14,[12]M04!B52*$E$14,[12]M05!B52*$F$14,[12]M06!B52*$G$14,[12]M07!B52*$H$14,[12]M08!B52*$I$14,[12]M09!B52*$J$14,[12]M10!B52*$K$14,[12]M11!B52*$L$14,[12]M12!B52*$M$14)/$N$14</f>
        <v>7.8099335004439526E-3</v>
      </c>
      <c r="C45" s="268">
        <f>SUM([12]M01!C52*$B$14,[12]M02!C52*$C$14,[12]M03!C52*$D$14,[12]M04!C52*$E$14,[12]M05!C52*$F$14,[12]M06!C52*$G$14,[12]M07!C52*$H$14,[12]M08!C52*$I$14,[12]M09!C52*$J$14,[12]M10!C52*$K$14,[12]M11!C52*$L$14,[12]M12!C52*$M$14)/$N$14</f>
        <v>0</v>
      </c>
      <c r="D45" s="268">
        <f>SUM([12]M01!D52*$B$14,[12]M02!D52*$C$14,[12]M03!D52*$D$14,[12]M04!D52*$E$14,[12]M05!D52*$F$14,[12]M06!D52*$G$14,[12]M07!D52*$H$14,[12]M08!D52*$I$14,[12]M09!D52*$J$14,[12]M10!D52*$K$14,[12]M11!D52*$L$14,[12]M12!D52*$M$14)/$N$14</f>
        <v>0</v>
      </c>
      <c r="E45" s="268">
        <f>SUM([12]M01!E52*$B$14,[12]M02!E52*$C$14,[12]M03!E52*$D$14,[12]M04!E52*$E$14,[12]M05!E52*$F$14,[12]M06!E52*$G$14,[12]M07!E52*$H$14,[12]M08!E52*$I$14,[12]M09!E52*$J$14,[12]M10!E52*$K$14,[12]M11!E52*$L$14,[12]M12!E52*$M$14)/$N$14</f>
        <v>0.20317990200743632</v>
      </c>
      <c r="F45" s="268">
        <f>SUM([12]M01!F52*$B$14,[12]M02!F52*$C$14,[12]M03!F52*$D$14,[12]M04!F52*$E$14,[12]M05!F52*$F$14,[12]M06!F52*$G$14,[12]M07!F52*$H$14,[12]M08!F52*$I$14,[12]M09!F52*$J$14,[12]M10!F52*$K$14,[12]M11!F52*$L$14,[12]M12!F52*$M$14)/$N$14</f>
        <v>1.8939229304824048</v>
      </c>
      <c r="G45" s="268">
        <f>SUM([12]M01!G52*$B$14,[12]M02!G52*$C$14,[12]M03!G52*$D$14,[12]M04!G52*$E$14,[12]M05!G52*$F$14,[12]M06!G52*$G$14,[12]M07!G52*$H$14,[12]M08!G52*$I$14,[12]M09!G52*$J$14,[12]M10!G52*$K$14,[12]M11!G52*$L$14,[12]M12!G52*$M$14)/$N$14</f>
        <v>3.1864716134607134</v>
      </c>
      <c r="H45" s="268">
        <f>SUM([12]M01!H52*$B$14,[12]M02!H52*$C$14,[12]M03!H52*$D$14,[12]M04!H52*$E$14,[12]M05!H52*$F$14,[12]M06!H52*$G$14,[12]M07!H52*$H$14,[12]M08!H52*$I$14,[12]M09!H52*$J$14,[12]M10!H52*$K$14,[12]M11!H52*$L$14,[12]M12!H52*$M$14)/$N$14</f>
        <v>2.4410278522992721</v>
      </c>
      <c r="I45" s="268">
        <f>SUM([12]M01!I52*$B$14,[12]M02!I52*$C$14,[12]M03!I52*$D$14,[12]M04!I52*$E$14,[12]M05!I52*$F$14,[12]M06!I52*$G$14,[12]M07!I52*$H$14,[12]M08!I52*$I$14,[12]M09!I52*$J$14,[12]M10!I52*$K$14,[12]M11!I52*$L$14,[12]M12!I52*$M$14)/$N$14</f>
        <v>0</v>
      </c>
      <c r="J45" s="268">
        <f>SUM([12]M01!J52*$B$14,[12]M02!J52*$C$14,[12]M03!J52*$D$14,[12]M04!J52*$E$14,[12]M05!J52*$F$14,[12]M06!J52*$G$14,[12]M07!J52*$H$14,[12]M08!J52*$I$14,[12]M09!J52*$J$14,[12]M10!J52*$K$14,[12]M11!J52*$L$14,[12]M12!J52*$M$14)/$N$14</f>
        <v>1.7102012726103173</v>
      </c>
      <c r="K45" s="269">
        <f>SUM([12]M01!K52*$B$14,[12]M02!K52*$C$14,[12]M03!K52*$D$14,[12]M04!K52*$E$14,[12]M05!K52*$F$14,[12]M06!K52*$G$14,[12]M07!K52*$H$14,[12]M08!K52*$I$14,[12]M09!K52*$J$14,[12]M10!K52*$K$14,[12]M11!K52*$L$14,[12]M12!K52*$M$14)/$N$14</f>
        <v>3.332557760216872E-2</v>
      </c>
      <c r="L45" s="262"/>
      <c r="N45" s="241"/>
    </row>
    <row r="46" spans="1:14" ht="20.25" customHeight="1" x14ac:dyDescent="0.2">
      <c r="A46" s="270" t="s">
        <v>233</v>
      </c>
      <c r="B46" s="271"/>
      <c r="C46" s="271"/>
      <c r="D46" s="271"/>
      <c r="E46" s="271"/>
      <c r="F46" s="271"/>
      <c r="G46" s="271"/>
      <c r="H46" s="271"/>
      <c r="I46" s="272"/>
      <c r="J46" s="272"/>
      <c r="K46" s="273"/>
      <c r="L46" s="262"/>
      <c r="N46" s="274"/>
    </row>
    <row r="47" spans="1:14" ht="15" customHeight="1" x14ac:dyDescent="0.25">
      <c r="A47" s="275" t="s">
        <v>227</v>
      </c>
      <c r="B47" s="276">
        <f>B32</f>
        <v>3.8639927068660027</v>
      </c>
      <c r="C47" s="277"/>
      <c r="D47" s="277"/>
      <c r="E47" s="272"/>
      <c r="F47" s="272"/>
      <c r="G47" s="272"/>
      <c r="H47" s="271"/>
      <c r="I47" s="272"/>
      <c r="J47" s="272"/>
      <c r="K47" s="273"/>
      <c r="L47" s="262"/>
      <c r="N47" s="278"/>
    </row>
    <row r="48" spans="1:14" ht="15" customHeight="1" x14ac:dyDescent="0.25">
      <c r="A48" s="279" t="s">
        <v>228</v>
      </c>
      <c r="B48" s="280">
        <f>B33+B40</f>
        <v>22.320235777529167</v>
      </c>
      <c r="C48" s="277"/>
      <c r="D48" s="277"/>
      <c r="E48" s="272"/>
      <c r="F48" s="272"/>
      <c r="G48" s="272"/>
      <c r="H48" s="271"/>
      <c r="I48" s="272"/>
      <c r="J48" s="272"/>
      <c r="K48" s="273"/>
      <c r="L48" s="262"/>
      <c r="N48" s="278"/>
    </row>
    <row r="49" spans="1:14" ht="9.9499999999999993" customHeight="1" thickBot="1" x14ac:dyDescent="0.3">
      <c r="A49" s="281"/>
      <c r="B49" s="282"/>
      <c r="C49" s="283"/>
      <c r="D49" s="283"/>
      <c r="E49" s="283"/>
      <c r="F49" s="283"/>
      <c r="G49" s="283"/>
      <c r="H49" s="283"/>
      <c r="I49" s="283"/>
      <c r="J49" s="283"/>
      <c r="K49" s="284"/>
      <c r="L49" s="262"/>
      <c r="N49" s="241"/>
    </row>
    <row r="50" spans="1:14" ht="9.9499999999999993" customHeight="1" thickTop="1" x14ac:dyDescent="0.25">
      <c r="B50" s="285"/>
      <c r="L50" s="258"/>
      <c r="N50" s="241"/>
    </row>
    <row r="51" spans="1:14" ht="20.25" customHeight="1" x14ac:dyDescent="0.25">
      <c r="A51" s="286" t="s">
        <v>234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>
        <f>ROUND(SUM(L54:L55,L57:L58),3)</f>
        <v>51220.152000000002</v>
      </c>
      <c r="M51" s="288">
        <f>ROUND(B3,3)</f>
        <v>51220.152000000002</v>
      </c>
      <c r="N51" s="241"/>
    </row>
    <row r="52" spans="1:14" ht="20.25" customHeight="1" x14ac:dyDescent="0.25">
      <c r="A52" s="289" t="s">
        <v>235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90"/>
      <c r="M52" s="291">
        <f>M53+M56</f>
        <v>0.99999999552178531</v>
      </c>
      <c r="N52" s="241"/>
    </row>
    <row r="53" spans="1:14" ht="20.25" customHeight="1" x14ac:dyDescent="0.25">
      <c r="A53" s="292" t="s">
        <v>29</v>
      </c>
      <c r="B53" s="293">
        <v>1</v>
      </c>
      <c r="C53" s="294">
        <v>2</v>
      </c>
      <c r="D53" s="294">
        <v>3</v>
      </c>
      <c r="E53" s="294">
        <v>4</v>
      </c>
      <c r="F53" s="294">
        <v>5</v>
      </c>
      <c r="G53" s="294">
        <v>6</v>
      </c>
      <c r="H53" s="294">
        <v>7</v>
      </c>
      <c r="I53" s="294">
        <v>8</v>
      </c>
      <c r="J53" s="294">
        <v>9</v>
      </c>
      <c r="K53" s="295">
        <v>10</v>
      </c>
      <c r="L53" s="296">
        <f>L54+L55</f>
        <v>27315.511695460671</v>
      </c>
      <c r="M53" s="291">
        <f>L53/$M$51</f>
        <v>0.53329618575635362</v>
      </c>
      <c r="N53" s="297"/>
    </row>
    <row r="54" spans="1:14" ht="15" customHeight="1" x14ac:dyDescent="0.25">
      <c r="A54" s="298" t="s">
        <v>5</v>
      </c>
      <c r="B54" s="299">
        <f>SUM([12]M01!B38,[12]M02!B38,[12]M03!B38,[12]M04!B38,[12]M05!B38,[12]M06!B38,[12]M07!B38,[12]M08!B38,[12]M09!B38,[12]M10!B38,[12]M11!B38,[12]M12!B38)</f>
        <v>2120.9401612834149</v>
      </c>
      <c r="C54" s="300">
        <f>SUM([12]M01!C38,[12]M02!C38,[12]M03!C38,[12]M04!C38,[12]M05!C38,[12]M06!C38,[12]M07!C38,[12]M08!C38,[12]M09!C38,[12]M10!C38,[12]M11!C38,[12]M12!C38)</f>
        <v>3193.4697673254323</v>
      </c>
      <c r="D54" s="300">
        <f>SUM([12]M01!D38,[12]M02!D38,[12]M03!D38,[12]M04!D38,[12]M05!D38,[12]M06!D38,[12]M07!D38,[12]M08!D38,[12]M09!D38,[12]M10!D38,[12]M11!D38,[12]M12!D38)</f>
        <v>2285.2140720296152</v>
      </c>
      <c r="E54" s="300">
        <f>SUM([12]M01!E38,[12]M02!E38,[12]M03!E38,[12]M04!E38,[12]M05!E38,[12]M06!E38,[12]M07!E38,[12]M08!E38,[12]M09!E38,[12]M10!E38,[12]M11!E38,[12]M12!E38)</f>
        <v>5328.0336082423682</v>
      </c>
      <c r="F54" s="300">
        <f>SUM([12]M01!F38,[12]M02!F38,[12]M03!F38,[12]M04!F38,[12]M05!F38,[12]M06!F38,[12]M07!F38,[12]M08!F38,[12]M09!F38,[12]M10!F38,[12]M11!F38,[12]M12!F38)</f>
        <v>1023.7618973697779</v>
      </c>
      <c r="G54" s="300">
        <f>SUM([12]M01!G38,[12]M02!G38,[12]M03!G38,[12]M04!G38,[12]M05!G38,[12]M06!G38,[12]M07!G38,[12]M08!G38,[12]M09!G38,[12]M10!G38,[12]M11!G38,[12]M12!G38)</f>
        <v>0</v>
      </c>
      <c r="H54" s="300">
        <f>SUM([12]M01!H38,[12]M02!H38,[12]M03!H38,[12]M04!H38,[12]M05!H38,[12]M06!H38,[12]M07!H38,[12]M08!H38,[12]M09!H38,[12]M10!H38,[12]M11!H38,[12]M12!H38)</f>
        <v>69.854786470437787</v>
      </c>
      <c r="I54" s="300">
        <f>SUM([12]M01!I38,[12]M02!I38,[12]M03!I38,[12]M04!I38,[12]M05!I38,[12]M06!I38,[12]M07!I38,[12]M08!I38,[12]M09!I38,[12]M10!I38,[12]M11!I38,[12]M12!I38)</f>
        <v>589.91177514056221</v>
      </c>
      <c r="J54" s="300">
        <f>SUM([12]M01!J38,[12]M02!J38,[12]M03!J38,[12]M04!J38,[12]M05!J38,[12]M06!J38,[12]M07!J38,[12]M08!J38,[12]M09!J38,[12]M10!J38,[12]M11!J38,[12]M12!J38)</f>
        <v>233.82905917534987</v>
      </c>
      <c r="K54" s="301">
        <f>SUM([12]M01!K38,[12]M02!K38,[12]M03!K38,[12]M04!K38,[12]M05!K38,[12]M06!K38,[12]M07!K38,[12]M08!K38,[12]M09!K38,[12]M10!K38,[12]M11!K38,[12]M12!K38)</f>
        <v>4275.8430597855086</v>
      </c>
      <c r="L54" s="302">
        <f>SUM(B54:K54)</f>
        <v>19120.858186822468</v>
      </c>
      <c r="M54" s="303">
        <f>L54/(L55+L54)</f>
        <v>0.7</v>
      </c>
      <c r="N54" s="304"/>
    </row>
    <row r="55" spans="1:14" ht="15" customHeight="1" x14ac:dyDescent="0.25">
      <c r="A55" s="305" t="s">
        <v>225</v>
      </c>
      <c r="B55" s="306">
        <f>SUM([12]M01!B39,[12]M02!B39,[12]M03!B39,[12]M04!B39,[12]M05!B39,[12]M06!B39,[12]M07!B39,[12]M08!B39,[12]M09!B39,[12]M10!B39,[12]M11!B39,[12]M12!B39)</f>
        <v>0.66825825550580331</v>
      </c>
      <c r="C55" s="307">
        <f>SUM([12]M01!C39,[12]M02!C39,[12]M03!C39,[12]M04!C39,[12]M05!C39,[12]M06!C39,[12]M07!C39,[12]M08!C39,[12]M09!C39,[12]M10!C39,[12]M11!C39,[12]M12!C39)</f>
        <v>0</v>
      </c>
      <c r="D55" s="307">
        <f>SUM([12]M01!D39,[12]M02!D39,[12]M03!D39,[12]M04!D39,[12]M05!D39,[12]M06!D39,[12]M07!D39,[12]M08!D39,[12]M09!D39,[12]M10!D39,[12]M11!D39,[12]M12!D39)</f>
        <v>0</v>
      </c>
      <c r="E55" s="307">
        <f>SUM([12]M01!E39,[12]M02!E39,[12]M03!E39,[12]M04!E39,[12]M05!E39,[12]M06!E39,[12]M07!E39,[12]M08!E39,[12]M09!E39,[12]M10!E39,[12]M11!E39,[12]M12!E39)</f>
        <v>86.221948518009398</v>
      </c>
      <c r="F55" s="307">
        <f>SUM([12]M01!F39,[12]M02!F39,[12]M03!F39,[12]M04!F39,[12]M05!F39,[12]M06!F39,[12]M07!F39,[12]M08!F39,[12]M09!F39,[12]M10!F39,[12]M11!F39,[12]M12!F39)</f>
        <v>1990.7831884264424</v>
      </c>
      <c r="G55" s="307">
        <f>SUM([12]M01!G39,[12]M02!G39,[12]M03!G39,[12]M04!G39,[12]M05!G39,[12]M06!G39,[12]M07!G39,[12]M08!G39,[12]M09!G39,[12]M10!G39,[12]M11!G39,[12]M12!G39)</f>
        <v>1153.5708584631218</v>
      </c>
      <c r="H55" s="307">
        <f>SUM([12]M01!H39,[12]M02!H39,[12]M03!H39,[12]M04!H39,[12]M05!H39,[12]M06!H39,[12]M07!H39,[12]M08!H39,[12]M09!H39,[12]M10!H39,[12]M11!H39,[12]M12!H39)</f>
        <v>3952.3240060814874</v>
      </c>
      <c r="I55" s="307">
        <f>SUM([12]M01!I39,[12]M02!I39,[12]M03!I39,[12]M04!I39,[12]M05!I39,[12]M06!I39,[12]M07!I39,[12]M08!I39,[12]M09!I39,[12]M10!I39,[12]M11!I39,[12]M12!I39)</f>
        <v>0</v>
      </c>
      <c r="J55" s="307">
        <f>SUM([12]M01!J39,[12]M02!J39,[12]M03!J39,[12]M04!J39,[12]M05!J39,[12]M06!J39,[12]M07!J39,[12]M08!J39,[12]M09!J39,[12]M10!J39,[12]M11!J39,[12]M12!J39)</f>
        <v>1006.9612932415879</v>
      </c>
      <c r="K55" s="308">
        <f>SUM([12]M01!K39,[12]M02!K39,[12]M03!K39,[12]M04!K39,[12]M05!K39,[12]M06!K39,[12]M07!K39,[12]M08!K39,[12]M09!K39,[12]M10!K39,[12]M11!K39,[12]M12!K39)</f>
        <v>4.1239556520459884</v>
      </c>
      <c r="L55" s="309">
        <f>SUM(B55:K55)</f>
        <v>8194.6535086382009</v>
      </c>
      <c r="M55" s="310">
        <f>L55/(L54+L55)</f>
        <v>0.3</v>
      </c>
      <c r="N55" s="182"/>
    </row>
    <row r="56" spans="1:14" ht="20.25" customHeight="1" x14ac:dyDescent="0.25">
      <c r="A56" s="289" t="s">
        <v>236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96">
        <f>L57+L58</f>
        <v>23904.640075164494</v>
      </c>
      <c r="M56" s="291">
        <f>L56/$M$51</f>
        <v>0.46670380976543163</v>
      </c>
      <c r="N56" s="297"/>
    </row>
    <row r="57" spans="1:14" ht="15" customHeight="1" x14ac:dyDescent="0.25">
      <c r="A57" s="298" t="s">
        <v>5</v>
      </c>
      <c r="B57" s="299">
        <f>SUM([12]M01!B41,[12]M02!B41,[12]M03!B41,[12]M04!B41,[12]M05!B41,[12]M06!B41,[12]M07!B41,[12]M08!B41,[12]M09!B41,[12]M10!B41,[12]M11!B41,[12]M12!B41)</f>
        <v>1045.6484928597765</v>
      </c>
      <c r="C57" s="300">
        <f>SUM([12]M01!C41,[12]M02!C41,[12]M03!C41,[12]M04!C41,[12]M05!C41,[12]M06!C41,[12]M07!C41,[12]M08!C41,[12]M09!C41,[12]M10!C41,[12]M11!C41,[12]M12!C41)</f>
        <v>2078.0552777525359</v>
      </c>
      <c r="D57" s="300">
        <f>SUM([12]M01!D41,[12]M02!D41,[12]M03!D41,[12]M04!D41,[12]M05!D41,[12]M06!D41,[12]M07!D41,[12]M08!D41,[12]M09!D41,[12]M10!D41,[12]M11!D41,[12]M12!D41)</f>
        <v>599.96214759508405</v>
      </c>
      <c r="E57" s="300">
        <f>SUM([12]M01!E41,[12]M02!E41,[12]M03!E41,[12]M04!E41,[12]M05!E41,[12]M06!E41,[12]M07!E41,[12]M08!E41,[12]M09!E41,[12]M10!E41,[12]M11!E41,[12]M12!E41)</f>
        <v>1366.7212683674534</v>
      </c>
      <c r="F57" s="300">
        <f>SUM([12]M01!F41,[12]M02!F41,[12]M03!F41,[12]M04!F41,[12]M05!F41,[12]M06!F41,[12]M07!F41,[12]M08!F41,[12]M09!F41,[12]M10!F41,[12]M11!F41,[12]M12!F41)</f>
        <v>278.77397153566142</v>
      </c>
      <c r="G57" s="300">
        <f>SUM([12]M01!G41,[12]M02!G41,[12]M03!G41,[12]M04!G41,[12]M05!G41,[12]M06!G41,[12]M07!G41,[12]M08!G41,[12]M09!G41,[12]M10!G41,[12]M11!G41,[12]M12!G41)</f>
        <v>568.00692790930236</v>
      </c>
      <c r="H57" s="300">
        <f>SUM([12]M01!H41,[12]M02!H41,[12]M03!H41,[12]M04!H41,[12]M05!H41,[12]M06!H41,[12]M07!H41,[12]M08!H41,[12]M09!H41,[12]M10!H41,[12]M11!H41,[12]M12!H41)</f>
        <v>757.26529069159926</v>
      </c>
      <c r="I57" s="300">
        <f>SUM([12]M01!I41,[12]M02!I41,[12]M03!I41,[12]M04!I41,[12]M05!I41,[12]M06!I41,[12]M07!I41,[12]M08!I41,[12]M09!I41,[12]M10!I41,[12]M11!I41,[12]M12!I41)</f>
        <v>1004.6381037851606</v>
      </c>
      <c r="J57" s="300">
        <f>SUM([12]M01!J41,[12]M02!J41,[12]M03!J41,[12]M04!J41,[12]M05!J41,[12]M06!J41,[12]M07!J41,[12]M08!J41,[12]M09!J41,[12]M10!J41,[12]M11!J41,[12]M12!J41)</f>
        <v>8059.7935312281716</v>
      </c>
      <c r="K57" s="301">
        <f>SUM([12]M01!K41,[12]M02!K41,[12]M03!K41,[12]M04!K41,[12]M05!K41,[12]M06!K41,[12]M07!K41,[12]M08!K41,[12]M09!K41,[12]M10!K41,[12]M11!K41,[12]M12!K41)</f>
        <v>974.38304089039991</v>
      </c>
      <c r="L57" s="302">
        <f>SUM(B57:K57)</f>
        <v>16733.248052615145</v>
      </c>
      <c r="M57" s="303">
        <f>L57/(L58+L57)</f>
        <v>0.7</v>
      </c>
      <c r="N57" s="304"/>
    </row>
    <row r="58" spans="1:14" ht="15" customHeight="1" x14ac:dyDescent="0.25">
      <c r="A58" s="305" t="s">
        <v>225</v>
      </c>
      <c r="B58" s="306">
        <f>SUM([12]M01!B42,[12]M02!B42,[12]M03!B42,[12]M04!B42,[12]M05!B42,[12]M06!B42,[12]M07!B42,[12]M08!B42,[12]M09!B42,[12]M10!B42,[12]M11!B42,[12]M12!B42)</f>
        <v>151.46639545943489</v>
      </c>
      <c r="C58" s="307">
        <f>SUM([12]M01!C42,[12]M02!C42,[12]M03!C42,[12]M04!C42,[12]M05!C42,[12]M06!C42,[12]M07!C42,[12]M08!C42,[12]M09!C42,[12]M10!C42,[12]M11!C42,[12]M12!C42)</f>
        <v>0</v>
      </c>
      <c r="D58" s="307">
        <f>SUM([12]M01!D42,[12]M02!D42,[12]M03!D42,[12]M04!D42,[12]M05!D42,[12]M06!D42,[12]M07!D42,[12]M08!D42,[12]M09!D42,[12]M10!D42,[12]M11!D42,[12]M12!D42)</f>
        <v>0.4138294700633357</v>
      </c>
      <c r="E58" s="307">
        <f>SUM([12]M01!E42,[12]M02!E42,[12]M03!E42,[12]M04!E42,[12]M05!E42,[12]M06!E42,[12]M07!E42,[12]M08!E42,[12]M09!E42,[12]M10!E42,[12]M11!E42,[12]M12!E42)</f>
        <v>429.46331470206496</v>
      </c>
      <c r="F58" s="307">
        <f>SUM([12]M01!F42,[12]M02!F42,[12]M03!F42,[12]M04!F42,[12]M05!F42,[12]M06!F42,[12]M07!F42,[12]M08!F42,[12]M09!F42,[12]M10!F42,[12]M11!F42,[12]M12!F42)</f>
        <v>901.62183382060061</v>
      </c>
      <c r="G58" s="307">
        <f>SUM([12]M01!G42,[12]M02!G42,[12]M03!G42,[12]M04!G42,[12]M05!G42,[12]M06!G42,[12]M07!G42,[12]M08!G42,[12]M09!G42,[12]M10!G42,[12]M11!G42,[12]M12!G42)</f>
        <v>642.35763226551092</v>
      </c>
      <c r="H58" s="307">
        <f>SUM([12]M01!H42,[12]M02!H42,[12]M03!H42,[12]M04!H42,[12]M05!H42,[12]M06!H42,[12]M07!H42,[12]M08!H42,[12]M09!H42,[12]M10!H42,[12]M11!H42,[12]M12!H42)</f>
        <v>4162.9669953252951</v>
      </c>
      <c r="I58" s="307">
        <f>SUM([12]M01!I42,[12]M02!I42,[12]M03!I42,[12]M04!I42,[12]M05!I42,[12]M06!I42,[12]M07!I42,[12]M08!I42,[12]M09!I42,[12]M10!I42,[12]M11!I42,[12]M12!I42)</f>
        <v>0</v>
      </c>
      <c r="J58" s="307">
        <f>SUM([12]M01!J42,[12]M02!J42,[12]M03!J42,[12]M04!J42,[12]M05!J42,[12]M06!J42,[12]M07!J42,[12]M08!J42,[12]M09!J42,[12]M10!J42,[12]M11!J42,[12]M12!J42)</f>
        <v>534.68656606880495</v>
      </c>
      <c r="K58" s="308">
        <f>SUM([12]M01!K42,[12]M02!K42,[12]M03!K42,[12]M04!K42,[12]M05!K42,[12]M06!K42,[12]M07!K42,[12]M08!K42,[12]M09!K42,[12]M10!K42,[12]M11!K42,[12]M12!K42)</f>
        <v>348.41545543757451</v>
      </c>
      <c r="L58" s="309">
        <f>SUM(B58:K58)</f>
        <v>7171.3920225493493</v>
      </c>
      <c r="M58" s="310">
        <f>L58/(L57+L58)</f>
        <v>0.30000000000000004</v>
      </c>
      <c r="N58" s="241"/>
    </row>
    <row r="59" spans="1:14" ht="20.25" customHeight="1" x14ac:dyDescent="0.25">
      <c r="A59" s="289" t="s">
        <v>237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96">
        <f>L60+L61</f>
        <v>55642.054105485862</v>
      </c>
      <c r="M59" s="291">
        <f>IFERROR(L59/B7,0)</f>
        <v>0.99999999999999978</v>
      </c>
      <c r="N59" s="241"/>
    </row>
    <row r="60" spans="1:14" ht="15" customHeight="1" x14ac:dyDescent="0.25">
      <c r="A60" s="298" t="s">
        <v>238</v>
      </c>
      <c r="B60" s="299">
        <f>SUM([12]M01!B44,[12]M02!B44,[12]M03!B44,[12]M04!B44,[12]M05!B44,[12]M06!B44,[12]M07!B44,[12]M08!B44,[12]M09!B44,[12]M10!B44,[12]M11!B44,[12]M12!B44)</f>
        <v>0</v>
      </c>
      <c r="C60" s="300">
        <f>SUM([12]M01!C44,[12]M02!C44,[12]M03!C44,[12]M04!C44,[12]M05!C44,[12]M06!C44,[12]M07!C44,[12]M08!C44,[12]M09!C44,[12]M10!C44,[12]M11!C44,[12]M12!C44)</f>
        <v>0</v>
      </c>
      <c r="D60" s="300">
        <f>SUM([12]M01!D44,[12]M02!D44,[12]M03!D44,[12]M04!D44,[12]M05!D44,[12]M06!D44,[12]M07!D44,[12]M08!D44,[12]M09!D44,[12]M10!D44,[12]M11!D44,[12]M12!D44)</f>
        <v>0</v>
      </c>
      <c r="E60" s="300">
        <f>SUM([12]M01!E44,[12]M02!E44,[12]M03!E44,[12]M04!E44,[12]M05!E44,[12]M06!E44,[12]M07!E44,[12]M08!E44,[12]M09!E44,[12]M10!E44,[12]M11!E44,[12]M12!E44)</f>
        <v>0</v>
      </c>
      <c r="F60" s="300">
        <f>SUM([12]M01!F44,[12]M02!F44,[12]M03!F44,[12]M04!F44,[12]M05!F44,[12]M06!F44,[12]M07!F44,[12]M08!F44,[12]M09!F44,[12]M10!F44,[12]M11!F44,[12]M12!F44)</f>
        <v>4134.2038993428623</v>
      </c>
      <c r="G60" s="300">
        <f>SUM([12]M01!G44,[12]M02!G44,[12]M03!G44,[12]M04!G44,[12]M05!G44,[12]M06!G44,[12]M07!G44,[12]M08!G44,[12]M09!G44,[12]M10!G44,[12]M11!G44,[12]M12!G44)</f>
        <v>3889.3867129788246</v>
      </c>
      <c r="H60" s="300">
        <f>SUM([12]M01!H44,[12]M02!H44,[12]M03!H44,[12]M04!H44,[12]M05!H44,[12]M06!H44,[12]M07!H44,[12]M08!H44,[12]M09!H44,[12]M10!H44,[12]M11!H44,[12]M12!H44)</f>
        <v>10714.777466224774</v>
      </c>
      <c r="I60" s="300">
        <f>SUM([12]M01!I44,[12]M02!I44,[12]M03!I44,[12]M04!I44,[12]M05!I44,[12]M06!I44,[12]M07!I44,[12]M08!I44,[12]M09!I44,[12]M10!I44,[12]M11!I44,[12]M12!I44)</f>
        <v>0</v>
      </c>
      <c r="J60" s="300">
        <f>SUM([12]M01!J44,[12]M02!J44,[12]M03!J44,[12]M04!J44,[12]M05!J44,[12]M06!J44,[12]M07!J44,[12]M08!J44,[12]M09!J44,[12]M10!J44,[12]M11!J44,[12]M12!J44)</f>
        <v>1534.1587042721626</v>
      </c>
      <c r="K60" s="301">
        <f>SUM([12]M01!K44,[12]M02!K44,[12]M03!K44,[12]M04!K44,[12]M05!K44,[12]M06!K44,[12]M07!K44,[12]M08!K44,[12]M09!K44,[12]M10!K44,[12]M11!K44,[12]M12!K44)</f>
        <v>0</v>
      </c>
      <c r="L60" s="302">
        <f>SUM(B60:K60)</f>
        <v>20272.526782818622</v>
      </c>
      <c r="M60" s="303">
        <f>L60/(L61+L60)</f>
        <v>0.36433821699655611</v>
      </c>
      <c r="N60" s="241"/>
    </row>
    <row r="61" spans="1:14" ht="15" customHeight="1" x14ac:dyDescent="0.25">
      <c r="A61" s="305" t="s">
        <v>239</v>
      </c>
      <c r="B61" s="306">
        <f>SUM([12]M01!B45,[12]M02!B45,[12]M03!B45,[12]M04!B45,[12]M05!B45,[12]M06!B45,[12]M07!B45,[12]M08!B45,[12]M09!B45,[12]M10!B45,[12]M11!B45,[12]M12!B45)</f>
        <v>746.99933910201344</v>
      </c>
      <c r="C61" s="307">
        <f>SUM([12]M01!C45,[12]M02!C45,[12]M03!C45,[12]M04!C45,[12]M05!C45,[12]M06!C45,[12]M07!C45,[12]M08!C45,[12]M09!C45,[12]M10!C45,[12]M11!C45,[12]M12!C45)</f>
        <v>0</v>
      </c>
      <c r="D61" s="307">
        <f>SUM([12]M01!D45,[12]M02!D45,[12]M03!D45,[12]M04!D45,[12]M05!D45,[12]M06!D45,[12]M07!D45,[12]M08!D45,[12]M09!D45,[12]M10!D45,[12]M11!D45,[12]M12!D45)</f>
        <v>2.0413964654648726</v>
      </c>
      <c r="E61" s="307">
        <f>SUM([12]M01!E45,[12]M02!E45,[12]M03!E45,[12]M04!E45,[12]M05!E45,[12]M06!E45,[12]M07!E45,[12]M08!E45,[12]M09!E45,[12]M10!E45,[12]M11!E45,[12]M12!E45)</f>
        <v>2118.0755473734926</v>
      </c>
      <c r="F61" s="307">
        <f>SUM([12]M01!F45,[12]M02!F45,[12]M03!F45,[12]M04!F45,[12]M05!F45,[12]M06!F45,[12]M07!F45,[12]M08!F45,[12]M09!F45,[12]M10!F45,[12]M11!F45,[12]M12!F45)</f>
        <v>4446.833621595455</v>
      </c>
      <c r="G61" s="307">
        <f>SUM([12]M01!G45,[12]M02!G45,[12]M03!G45,[12]M04!G45,[12]M05!G45,[12]M06!G45,[12]M07!G45,[12]M08!G45,[12]M09!G45,[12]M10!G45,[12]M11!G45,[12]M12!G45)</f>
        <v>3168.1496806198984</v>
      </c>
      <c r="H61" s="307">
        <f>SUM([12]M01!H45,[12]M02!H45,[12]M03!H45,[12]M04!H45,[12]M05!H45,[12]M06!H45,[12]M07!H45,[12]M08!H45,[12]M09!H45,[12]M10!H45,[12]M11!H45,[12]M12!H45)</f>
        <v>20531.955296412445</v>
      </c>
      <c r="I61" s="307">
        <f>SUM([12]M01!I45,[12]M02!I45,[12]M03!I45,[12]M04!I45,[12]M05!I45,[12]M06!I45,[12]M07!I45,[12]M08!I45,[12]M09!I45,[12]M10!I45,[12]M11!I45,[12]M12!I45)</f>
        <v>0</v>
      </c>
      <c r="J61" s="307">
        <f>SUM([12]M01!J45,[12]M02!J45,[12]M03!J45,[12]M04!J45,[12]M05!J45,[12]M06!J45,[12]M07!J45,[12]M08!J45,[12]M09!J45,[12]M10!J45,[12]M11!J45,[12]M12!J45)</f>
        <v>2637.0045504569857</v>
      </c>
      <c r="K61" s="308">
        <f>SUM([12]M01!K45,[12]M02!K45,[12]M03!K45,[12]M04!K45,[12]M05!K45,[12]M06!K45,[12]M07!K45,[12]M08!K45,[12]M09!K45,[12]M10!K45,[12]M11!K45,[12]M12!K45)</f>
        <v>1718.4678906414945</v>
      </c>
      <c r="L61" s="309">
        <f>SUM(B61:K61)</f>
        <v>35369.527322667243</v>
      </c>
      <c r="M61" s="310">
        <f>L61/(L60+L61)</f>
        <v>0.635661783003444</v>
      </c>
      <c r="N61" s="241"/>
    </row>
    <row r="62" spans="1:14" ht="20.25" hidden="1" customHeight="1" x14ac:dyDescent="0.25">
      <c r="A62" s="289" t="s">
        <v>240</v>
      </c>
      <c r="B62" s="311"/>
      <c r="C62" s="311"/>
      <c r="D62" s="311"/>
      <c r="E62" s="311"/>
      <c r="F62" s="311"/>
      <c r="G62" s="312">
        <f>SUM([12]M01!G46,[12]M02!G46,[12]M03!G46,[12]M04!G46,[12]M05!G46,[12]M06!G46,[12]M07!G46,[12]M08!G46,[12]M09!G46,[12]M10!G46,[12]M11!G46,[12]M12!G46)</f>
        <v>0</v>
      </c>
      <c r="H62" s="313">
        <f>G62/L51</f>
        <v>0</v>
      </c>
      <c r="I62" s="311"/>
      <c r="J62" s="311"/>
      <c r="K62" s="311"/>
      <c r="L62" s="288"/>
      <c r="N62" s="241"/>
    </row>
    <row r="63" spans="1:14" ht="15" customHeight="1" x14ac:dyDescent="0.2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288"/>
      <c r="N63" s="241"/>
    </row>
    <row r="64" spans="1:14" ht="20.25" customHeight="1" x14ac:dyDescent="0.25">
      <c r="A64" s="314" t="s">
        <v>241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296">
        <f>L65+L66</f>
        <v>106862.20587611105</v>
      </c>
      <c r="M64" s="316">
        <f>L64/(B3+B7)</f>
        <v>1</v>
      </c>
      <c r="N64" s="317"/>
    </row>
    <row r="65" spans="1:14" ht="15" customHeight="1" x14ac:dyDescent="0.25">
      <c r="A65" s="318" t="s">
        <v>5</v>
      </c>
      <c r="B65" s="319">
        <f>B54+B57</f>
        <v>3166.5886541431914</v>
      </c>
      <c r="C65" s="320">
        <f t="shared" ref="C65:K65" si="0">C54+C57</f>
        <v>5271.5250450779677</v>
      </c>
      <c r="D65" s="320">
        <f t="shared" si="0"/>
        <v>2885.1762196246991</v>
      </c>
      <c r="E65" s="320">
        <f t="shared" si="0"/>
        <v>6694.7548766098216</v>
      </c>
      <c r="F65" s="320">
        <f t="shared" si="0"/>
        <v>1302.5358689054392</v>
      </c>
      <c r="G65" s="320">
        <f t="shared" si="0"/>
        <v>568.00692790930236</v>
      </c>
      <c r="H65" s="320">
        <f t="shared" si="0"/>
        <v>827.12007716203709</v>
      </c>
      <c r="I65" s="320">
        <f t="shared" si="0"/>
        <v>1594.5498789257229</v>
      </c>
      <c r="J65" s="320">
        <f t="shared" si="0"/>
        <v>8293.6225904035218</v>
      </c>
      <c r="K65" s="321">
        <f t="shared" si="0"/>
        <v>5250.2261006759081</v>
      </c>
      <c r="L65" s="302">
        <f>SUM(B65:K65)</f>
        <v>35854.106239437613</v>
      </c>
      <c r="M65" s="303">
        <f>L65/(L66+L65)</f>
        <v>0.33551718257626539</v>
      </c>
      <c r="N65" s="317"/>
    </row>
    <row r="66" spans="1:14" ht="15" customHeight="1" x14ac:dyDescent="0.25">
      <c r="A66" s="322" t="s">
        <v>225</v>
      </c>
      <c r="B66" s="323">
        <f>B55+B58+B60+B61</f>
        <v>899.13399281695411</v>
      </c>
      <c r="C66" s="324">
        <f t="shared" ref="C66:K66" si="1">C55+C58+C60+C61</f>
        <v>0</v>
      </c>
      <c r="D66" s="324">
        <f t="shared" si="1"/>
        <v>2.4552259355282082</v>
      </c>
      <c r="E66" s="324">
        <f t="shared" si="1"/>
        <v>2633.7608105935669</v>
      </c>
      <c r="F66" s="324">
        <f t="shared" si="1"/>
        <v>11473.44254318536</v>
      </c>
      <c r="G66" s="324">
        <f t="shared" si="1"/>
        <v>8853.4648843273571</v>
      </c>
      <c r="H66" s="324">
        <f t="shared" si="1"/>
        <v>39362.023764044003</v>
      </c>
      <c r="I66" s="324">
        <f t="shared" si="1"/>
        <v>0</v>
      </c>
      <c r="J66" s="324">
        <f t="shared" si="1"/>
        <v>5712.8111140395413</v>
      </c>
      <c r="K66" s="325">
        <f t="shared" si="1"/>
        <v>2071.0073017311151</v>
      </c>
      <c r="L66" s="309">
        <f>SUM(B66:K66)</f>
        <v>71008.099636673433</v>
      </c>
      <c r="M66" s="310">
        <f>L66/(L65+L66)</f>
        <v>0.6644828174237345</v>
      </c>
      <c r="N66" s="317"/>
    </row>
    <row r="67" spans="1:14" ht="15" customHeight="1" x14ac:dyDescent="0.25">
      <c r="B67" s="313">
        <f>B65/$L$64</f>
        <v>2.963244702073925E-2</v>
      </c>
      <c r="C67" s="313">
        <f t="shared" ref="C67:K67" si="2">C65/$L$64</f>
        <v>4.9330116310619898E-2</v>
      </c>
      <c r="D67" s="313">
        <f t="shared" si="2"/>
        <v>2.6999032969332308E-2</v>
      </c>
      <c r="E67" s="313">
        <f t="shared" si="2"/>
        <v>6.2648481020233446E-2</v>
      </c>
      <c r="F67" s="313">
        <f t="shared" si="2"/>
        <v>1.2188929268552745E-2</v>
      </c>
      <c r="G67" s="313">
        <f t="shared" si="2"/>
        <v>5.3153210085126997E-3</v>
      </c>
      <c r="H67" s="313">
        <f t="shared" si="2"/>
        <v>7.7400617962251799E-3</v>
      </c>
      <c r="I67" s="313">
        <f t="shared" si="2"/>
        <v>1.4921551224334056E-2</v>
      </c>
      <c r="J67" s="313">
        <f t="shared" si="2"/>
        <v>7.7610437875656413E-2</v>
      </c>
      <c r="K67" s="313">
        <f t="shared" si="2"/>
        <v>4.9130804082059394E-2</v>
      </c>
      <c r="N67" s="241"/>
    </row>
    <row r="68" spans="1:14" ht="15" customHeight="1" x14ac:dyDescent="0.25">
      <c r="B68" s="313">
        <f t="shared" ref="B68:K68" si="3">B66/$L$64</f>
        <v>8.4139568844325587E-3</v>
      </c>
      <c r="C68" s="313">
        <f t="shared" si="3"/>
        <v>0</v>
      </c>
      <c r="D68" s="313">
        <f t="shared" si="3"/>
        <v>2.297562468787734E-5</v>
      </c>
      <c r="E68" s="313">
        <f t="shared" si="3"/>
        <v>2.4646326444421093E-2</v>
      </c>
      <c r="F68" s="313">
        <f t="shared" si="3"/>
        <v>0.10736670134328789</v>
      </c>
      <c r="G68" s="313">
        <f t="shared" si="3"/>
        <v>8.2849355501714766E-2</v>
      </c>
      <c r="H68" s="313">
        <f t="shared" si="3"/>
        <v>0.36834373239195267</v>
      </c>
      <c r="I68" s="313">
        <f t="shared" si="3"/>
        <v>0</v>
      </c>
      <c r="J68" s="313">
        <f t="shared" si="3"/>
        <v>5.3459603114150531E-2</v>
      </c>
      <c r="K68" s="313">
        <f t="shared" si="3"/>
        <v>1.9380166119087074E-2</v>
      </c>
      <c r="N68" s="241"/>
    </row>
    <row r="69" spans="1:14" ht="15" customHeight="1" x14ac:dyDescent="0.25">
      <c r="N69" s="241"/>
    </row>
    <row r="70" spans="1:14" ht="15" customHeight="1" x14ac:dyDescent="0.25">
      <c r="B70" s="329"/>
      <c r="C70" s="330"/>
      <c r="D70" s="330"/>
      <c r="E70" s="330"/>
      <c r="F70" s="330"/>
      <c r="G70" s="330"/>
      <c r="H70" s="330"/>
      <c r="I70" s="330"/>
      <c r="J70" s="330"/>
      <c r="K70" s="330"/>
      <c r="N70" s="241"/>
    </row>
    <row r="71" spans="1:14" ht="15" customHeight="1" x14ac:dyDescent="0.25">
      <c r="A71" s="327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7"/>
      <c r="M71" s="331"/>
      <c r="N71" s="241"/>
    </row>
    <row r="72" spans="1:14" ht="15" customHeight="1" x14ac:dyDescent="0.25">
      <c r="A72" s="327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7"/>
      <c r="M72" s="328"/>
      <c r="N72" s="241"/>
    </row>
    <row r="73" spans="1:14" ht="15" customHeight="1" x14ac:dyDescent="0.25"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N73" s="241"/>
    </row>
    <row r="74" spans="1:14" ht="15" customHeight="1" x14ac:dyDescent="0.25"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7"/>
      <c r="M74" s="331"/>
      <c r="N74" s="332"/>
    </row>
    <row r="75" spans="1:14" ht="15" customHeight="1" x14ac:dyDescent="0.25"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7"/>
      <c r="M75" s="328"/>
    </row>
    <row r="76" spans="1:14" ht="15" customHeight="1" x14ac:dyDescent="0.25">
      <c r="B76" s="326"/>
      <c r="C76" s="326"/>
      <c r="D76" s="326"/>
      <c r="E76" s="326"/>
      <c r="F76" s="326"/>
      <c r="G76" s="326"/>
      <c r="H76" s="326"/>
      <c r="I76" s="326"/>
      <c r="J76" s="326"/>
      <c r="K76" s="326"/>
    </row>
    <row r="77" spans="1:14" ht="15" customHeight="1" x14ac:dyDescent="0.25"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7"/>
    </row>
    <row r="78" spans="1:14" ht="15" customHeight="1" x14ac:dyDescent="0.25"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7"/>
    </row>
  </sheetData>
  <sheetProtection algorithmName="SHA-512" hashValue="UzKaIa6YEZpS3eIm/VqXJzq32x6CBh+eOdy7l+7jG3Xs6spq99/NfQzm+ew6UXGSdidw1bWTIXBUCFAPNhp3xA==" saltValue="eZnHyu+Isao1dn2IMMpZsA==" spinCount="100000" sheet="1" objects="1" scenarios="1"/>
  <conditionalFormatting sqref="B19:L20 B38:K38">
    <cfRule type="cellIs" dxfId="17" priority="18" operator="equal">
      <formula>0</formula>
    </cfRule>
  </conditionalFormatting>
  <conditionalFormatting sqref="B25:K27">
    <cfRule type="cellIs" dxfId="16" priority="17" operator="equal">
      <formula>0</formula>
    </cfRule>
  </conditionalFormatting>
  <conditionalFormatting sqref="B29:K30">
    <cfRule type="cellIs" dxfId="15" priority="16" operator="equal">
      <formula>0</formula>
    </cfRule>
  </conditionalFormatting>
  <conditionalFormatting sqref="B54:K55">
    <cfRule type="cellIs" dxfId="14" priority="15" operator="equal">
      <formula>0</formula>
    </cfRule>
  </conditionalFormatting>
  <conditionalFormatting sqref="L25:L27">
    <cfRule type="cellIs" dxfId="13" priority="14" operator="equal">
      <formula>0</formula>
    </cfRule>
  </conditionalFormatting>
  <conditionalFormatting sqref="B57:K58">
    <cfRule type="cellIs" dxfId="12" priority="13" operator="equal">
      <formula>0</formula>
    </cfRule>
  </conditionalFormatting>
  <conditionalFormatting sqref="B60:K61">
    <cfRule type="cellIs" dxfId="11" priority="12" operator="equal">
      <formula>0</formula>
    </cfRule>
  </conditionalFormatting>
  <conditionalFormatting sqref="B22:L23">
    <cfRule type="cellIs" dxfId="10" priority="11" operator="equal">
      <formula>0</formula>
    </cfRule>
  </conditionalFormatting>
  <conditionalFormatting sqref="N12:N13">
    <cfRule type="cellIs" dxfId="9" priority="10" stopIfTrue="1" operator="notEqual">
      <formula>8760</formula>
    </cfRule>
  </conditionalFormatting>
  <conditionalFormatting sqref="N14">
    <cfRule type="cellIs" dxfId="8" priority="9" stopIfTrue="1" operator="notEqual">
      <formula>1</formula>
    </cfRule>
  </conditionalFormatting>
  <conditionalFormatting sqref="L54:L55">
    <cfRule type="cellIs" dxfId="7" priority="7" operator="equal">
      <formula>0</formula>
    </cfRule>
  </conditionalFormatting>
  <conditionalFormatting sqref="M51">
    <cfRule type="cellIs" dxfId="6" priority="8" stopIfTrue="1" operator="notEqual">
      <formula>$L$51</formula>
    </cfRule>
  </conditionalFormatting>
  <conditionalFormatting sqref="L57:L58">
    <cfRule type="cellIs" dxfId="5" priority="6" operator="equal">
      <formula>0</formula>
    </cfRule>
  </conditionalFormatting>
  <conditionalFormatting sqref="L60:L61">
    <cfRule type="cellIs" dxfId="4" priority="5" operator="equal">
      <formula>0</formula>
    </cfRule>
  </conditionalFormatting>
  <conditionalFormatting sqref="B65:K66">
    <cfRule type="cellIs" dxfId="3" priority="4" operator="equal">
      <formula>0</formula>
    </cfRule>
  </conditionalFormatting>
  <conditionalFormatting sqref="L65:L66">
    <cfRule type="cellIs" dxfId="2" priority="3" operator="equal">
      <formula>0</formula>
    </cfRule>
  </conditionalFormatting>
  <conditionalFormatting sqref="L51">
    <cfRule type="cellIs" dxfId="1" priority="2" stopIfTrue="1" operator="notEqual">
      <formula>$M$51</formula>
    </cfRule>
  </conditionalFormatting>
  <conditionalFormatting sqref="B44:K45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26"/>
  <sheetViews>
    <sheetView showGridLines="0" tabSelected="1" zoomScale="70" zoomScaleNormal="70" workbookViewId="0">
      <selection activeCell="A4" sqref="A4:XFD4"/>
    </sheetView>
  </sheetViews>
  <sheetFormatPr baseColWidth="10" defaultRowHeight="15.75" x14ac:dyDescent="0.25"/>
  <cols>
    <col min="1" max="1" width="26.85546875" style="4" customWidth="1"/>
    <col min="2" max="2" width="12.140625" style="4" customWidth="1"/>
    <col min="3" max="3" width="14.140625" style="4" bestFit="1" customWidth="1"/>
    <col min="4" max="4" width="15.28515625" style="4" customWidth="1"/>
    <col min="5" max="7" width="14.140625" style="4" bestFit="1" customWidth="1"/>
    <col min="8" max="10" width="12.85546875" style="4" bestFit="1" customWidth="1"/>
    <col min="11" max="12" width="14.140625" style="4" bestFit="1" customWidth="1"/>
    <col min="13" max="13" width="15.85546875" style="36" bestFit="1" customWidth="1"/>
    <col min="14" max="15" width="15.85546875" style="2" bestFit="1" customWidth="1"/>
    <col min="16" max="16" width="9" style="2" customWidth="1"/>
    <col min="17" max="17" width="15.140625" style="2" customWidth="1"/>
    <col min="18" max="18" width="11.42578125" style="2"/>
    <col min="19" max="19" width="13.42578125" style="2" customWidth="1"/>
    <col min="20" max="20" width="13.7109375" style="2" customWidth="1"/>
    <col min="21" max="21" width="11.5703125" style="2" bestFit="1" customWidth="1"/>
    <col min="22" max="22" width="11.85546875" style="2" bestFit="1" customWidth="1"/>
    <col min="23" max="24" width="13.42578125" style="2" bestFit="1" customWidth="1"/>
    <col min="25" max="26" width="11.5703125" style="2" bestFit="1" customWidth="1"/>
    <col min="27" max="27" width="11.85546875" style="2" bestFit="1" customWidth="1"/>
    <col min="28" max="28" width="11.5703125" style="2" bestFit="1" customWidth="1"/>
    <col min="29" max="29" width="12.85546875" style="2" bestFit="1" customWidth="1"/>
    <col min="30" max="30" width="15.85546875" style="2" customWidth="1"/>
    <col min="31" max="40" width="11.42578125" style="2"/>
    <col min="41" max="16384" width="11.42578125" style="4"/>
  </cols>
  <sheetData>
    <row r="2" spans="1:40" ht="25.5" customHeight="1" x14ac:dyDescent="0.25">
      <c r="A2" s="334" t="s">
        <v>246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1"/>
      <c r="R2" s="3"/>
      <c r="S2" s="3"/>
    </row>
    <row r="3" spans="1:40" x14ac:dyDescent="0.25">
      <c r="A3" s="334" t="s">
        <v>245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1"/>
      <c r="R3" s="3"/>
      <c r="S3" s="3"/>
    </row>
    <row r="4" spans="1:40" s="6" customFormat="1" ht="21.75" hidden="1" customHeight="1" x14ac:dyDescent="0.25">
      <c r="A4" s="334" t="s">
        <v>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5"/>
      <c r="AF4" s="7"/>
      <c r="AG4" s="7"/>
      <c r="AH4" s="7"/>
      <c r="AI4" s="7"/>
      <c r="AJ4" s="7"/>
      <c r="AK4" s="7"/>
      <c r="AL4" s="7"/>
      <c r="AM4" s="7"/>
      <c r="AN4" s="7"/>
    </row>
    <row r="5" spans="1:40" x14ac:dyDescent="0.25">
      <c r="A5" s="334" t="s">
        <v>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1"/>
    </row>
    <row r="6" spans="1:40" ht="21" customHeight="1" thickBot="1" x14ac:dyDescent="0.3">
      <c r="A6" s="8" t="s">
        <v>2</v>
      </c>
      <c r="B6" s="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 t="s">
        <v>3</v>
      </c>
      <c r="N6" s="10"/>
    </row>
    <row r="7" spans="1:40" ht="20.25" customHeight="1" thickTop="1" thickBot="1" x14ac:dyDescent="0.4">
      <c r="A7" s="14" t="s">
        <v>4</v>
      </c>
      <c r="B7" s="14" t="s">
        <v>5</v>
      </c>
      <c r="C7" s="15">
        <f>+'CUSPT AÑO 1'!B54+'CUSPT AÑO 1'!B57</f>
        <v>3396.0525609387269</v>
      </c>
      <c r="D7" s="15">
        <f>+'CUSPT AÑO 1'!C54+'CUSPT AÑO 1'!C57</f>
        <v>6106.967907288702</v>
      </c>
      <c r="E7" s="15">
        <f>+'CUSPT AÑO 1'!D54+'CUSPT AÑO 1'!D57</f>
        <v>3310.7705709551242</v>
      </c>
      <c r="F7" s="15">
        <f>+'CUSPT AÑO 1'!E54+'CUSPT AÑO 1'!E57</f>
        <v>4987.3234442930716</v>
      </c>
      <c r="G7" s="15">
        <f>+'CUSPT AÑO 1'!F54+'CUSPT AÑO 1'!F57</f>
        <v>1482.6680378102383</v>
      </c>
      <c r="H7" s="15">
        <f>+'CUSPT AÑO 1'!G54+'CUSPT AÑO 1'!G57</f>
        <v>764.49259339173841</v>
      </c>
      <c r="I7" s="15">
        <f>+'CUSPT AÑO 1'!H54+'CUSPT AÑO 1'!H57</f>
        <v>2997.1292205498853</v>
      </c>
      <c r="J7" s="15">
        <f>+'CUSPT AÑO 1'!I54+'CUSPT AÑO 1'!I57</f>
        <v>2301.8945609696598</v>
      </c>
      <c r="K7" s="15">
        <f>+'CUSPT AÑO 1'!J54+'CUSPT AÑO 1'!J57</f>
        <v>4271.3281100782706</v>
      </c>
      <c r="L7" s="15">
        <f>+'CUSPT AÑO 1'!K54+'CUSPT AÑO 1'!K57</f>
        <v>6235.4792331621957</v>
      </c>
      <c r="M7" s="15">
        <f>SUM(C7:L7)</f>
        <v>35854.10623943762</v>
      </c>
      <c r="N7" s="10"/>
      <c r="O7" s="335" t="s">
        <v>242</v>
      </c>
      <c r="P7" s="335"/>
      <c r="Q7" s="335"/>
      <c r="R7" s="335"/>
    </row>
    <row r="8" spans="1:40" ht="18.75" customHeight="1" thickTop="1" thickBot="1" x14ac:dyDescent="0.3">
      <c r="A8" s="11" t="s">
        <v>6</v>
      </c>
      <c r="B8" s="12" t="s">
        <v>5</v>
      </c>
      <c r="C8" s="13">
        <f>+'CUSPT AÑO 2'!B54+'CUSPT AÑO 2'!B57</f>
        <v>3553.3963389845003</v>
      </c>
      <c r="D8" s="13">
        <f>+'CUSPT AÑO 2'!C54+'CUSPT AÑO 2'!C57</f>
        <v>6102.4399459239012</v>
      </c>
      <c r="E8" s="13">
        <f>+'CUSPT AÑO 2'!D54+'CUSPT AÑO 2'!D57</f>
        <v>3360.2851929329927</v>
      </c>
      <c r="F8" s="13">
        <f>+'CUSPT AÑO 2'!E54+'CUSPT AÑO 2'!E57</f>
        <v>5204.5977596851353</v>
      </c>
      <c r="G8" s="13">
        <f>+'CUSPT AÑO 2'!F54+'CUSPT AÑO 2'!F57</f>
        <v>1375.9583713098064</v>
      </c>
      <c r="H8" s="13">
        <f>+'CUSPT AÑO 2'!G54+'CUSPT AÑO 2'!G57</f>
        <v>749.28969175645523</v>
      </c>
      <c r="I8" s="13">
        <f>+'CUSPT AÑO 2'!H54+'CUSPT AÑO 2'!H57</f>
        <v>3018.4452275801382</v>
      </c>
      <c r="J8" s="13">
        <f>+'CUSPT AÑO 2'!I54+'CUSPT AÑO 2'!I57</f>
        <v>2172.6781917619069</v>
      </c>
      <c r="K8" s="13">
        <f>+'CUSPT AÑO 2'!J54+'CUSPT AÑO 2'!J57</f>
        <v>4255.8864800147248</v>
      </c>
      <c r="L8" s="13">
        <f>+'CUSPT AÑO 2'!K54+'CUSPT AÑO 2'!K57</f>
        <v>6061.1290394880489</v>
      </c>
      <c r="M8" s="13">
        <f>SUM(C8:L8)</f>
        <v>35854.106239437606</v>
      </c>
      <c r="N8" s="10"/>
      <c r="O8" s="335"/>
      <c r="P8" s="335"/>
      <c r="Q8" s="335"/>
      <c r="R8" s="335"/>
    </row>
    <row r="9" spans="1:40" ht="18.75" customHeight="1" thickTop="1" thickBot="1" x14ac:dyDescent="0.3">
      <c r="A9" s="11" t="s">
        <v>7</v>
      </c>
      <c r="B9" s="12" t="s">
        <v>5</v>
      </c>
      <c r="C9" s="13">
        <f>+'CUSPT AÑO 3'!B54+'CUSPT AÑO 3'!B57</f>
        <v>3607.0163919940915</v>
      </c>
      <c r="D9" s="13">
        <f>+'CUSPT AÑO 3'!C54+'CUSPT AÑO 3'!C57</f>
        <v>6167.0186706675595</v>
      </c>
      <c r="E9" s="13">
        <f>+'CUSPT AÑO 3'!D54+'CUSPT AÑO 3'!D57</f>
        <v>3294.4257242404055</v>
      </c>
      <c r="F9" s="13">
        <f>+'CUSPT AÑO 3'!E54+'CUSPT AÑO 3'!E57</f>
        <v>5982.5243801901979</v>
      </c>
      <c r="G9" s="13">
        <f>+'CUSPT AÑO 3'!F54+'CUSPT AÑO 3'!F57</f>
        <v>1451.585859559023</v>
      </c>
      <c r="H9" s="13">
        <f>+'CUSPT AÑO 3'!G54+'CUSPT AÑO 3'!G57</f>
        <v>927.50972126523504</v>
      </c>
      <c r="I9" s="13">
        <f>+'CUSPT AÑO 3'!H54+'CUSPT AÑO 3'!H57</f>
        <v>1300.4790825445887</v>
      </c>
      <c r="J9" s="13">
        <f>+'CUSPT AÑO 3'!I54+'CUSPT AÑO 3'!I57</f>
        <v>2411.0194111256251</v>
      </c>
      <c r="K9" s="13">
        <f>+'CUSPT AÑO 3'!J54+'CUSPT AÑO 3'!J57</f>
        <v>5061.5332380834989</v>
      </c>
      <c r="L9" s="13">
        <f>+'CUSPT AÑO 3'!K54+'CUSPT AÑO 3'!K57</f>
        <v>5650.9937597673888</v>
      </c>
      <c r="M9" s="13">
        <f>SUM(C9:L9)</f>
        <v>35854.106239437613</v>
      </c>
      <c r="N9" s="10"/>
      <c r="O9" s="335"/>
      <c r="P9" s="335"/>
      <c r="Q9" s="335"/>
      <c r="R9" s="335"/>
    </row>
    <row r="10" spans="1:40" s="6" customFormat="1" ht="17.25" thickTop="1" thickBot="1" x14ac:dyDescent="0.3">
      <c r="A10" s="11" t="s">
        <v>8</v>
      </c>
      <c r="B10" s="12" t="s">
        <v>5</v>
      </c>
      <c r="C10" s="13">
        <f>+'CUSPT AÑO 4'!B54+'CUSPT AÑO 4'!B57</f>
        <v>3166.5886541431914</v>
      </c>
      <c r="D10" s="13">
        <f>+'CUSPT AÑO 4'!C54+'CUSPT AÑO 4'!C57</f>
        <v>5271.5250450779677</v>
      </c>
      <c r="E10" s="13">
        <f>+'CUSPT AÑO 4'!D54+'CUSPT AÑO 4'!D57</f>
        <v>2885.1762196246991</v>
      </c>
      <c r="F10" s="13">
        <f>+'CUSPT AÑO 4'!E54+'CUSPT AÑO 4'!E57</f>
        <v>6694.7548766098216</v>
      </c>
      <c r="G10" s="13">
        <f>+'CUSPT AÑO 4'!F54+'CUSPT AÑO 4'!F57</f>
        <v>1302.5358689054392</v>
      </c>
      <c r="H10" s="13">
        <f>+'CUSPT AÑO 4'!G54+'CUSPT AÑO 4'!G57</f>
        <v>568.00692790930236</v>
      </c>
      <c r="I10" s="13">
        <f>+'CUSPT AÑO 4'!H54+'CUSPT AÑO 4'!H57</f>
        <v>827.12007716203709</v>
      </c>
      <c r="J10" s="13">
        <f>+'CUSPT AÑO 4'!I54+'CUSPT AÑO 4'!I57</f>
        <v>1594.5498789257229</v>
      </c>
      <c r="K10" s="13">
        <f>+'CUSPT AÑO 4'!J54+'CUSPT AÑO 4'!J57</f>
        <v>8293.6225904035218</v>
      </c>
      <c r="L10" s="13">
        <f>+'CUSPT AÑO 4'!K54+'CUSPT AÑO 4'!K57</f>
        <v>5250.2261006759081</v>
      </c>
      <c r="M10" s="13">
        <f>SUM(C10:L10)</f>
        <v>35854.106239437613</v>
      </c>
      <c r="N10" s="5"/>
      <c r="O10" s="335"/>
      <c r="P10" s="335"/>
      <c r="Q10" s="335"/>
      <c r="R10" s="335"/>
      <c r="AF10" s="7"/>
      <c r="AG10" s="7"/>
      <c r="AH10" s="7"/>
      <c r="AI10" s="7"/>
      <c r="AJ10" s="7"/>
      <c r="AK10" s="7"/>
      <c r="AL10" s="7"/>
      <c r="AM10" s="7"/>
      <c r="AN10" s="7"/>
    </row>
    <row r="11" spans="1:40" s="6" customFormat="1" ht="16.5" thickTop="1" x14ac:dyDescent="0.2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5"/>
      <c r="O11" s="335"/>
      <c r="P11" s="335"/>
      <c r="Q11" s="335"/>
      <c r="R11" s="335"/>
      <c r="AF11" s="7"/>
      <c r="AG11" s="7"/>
      <c r="AH11" s="7"/>
      <c r="AI11" s="7"/>
      <c r="AJ11" s="7"/>
      <c r="AK11" s="7"/>
      <c r="AL11" s="7"/>
      <c r="AM11" s="7"/>
      <c r="AN11" s="7"/>
    </row>
    <row r="12" spans="1:40" x14ac:dyDescent="0.25">
      <c r="A12" s="334" t="s">
        <v>9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1"/>
      <c r="O12" s="335"/>
      <c r="P12" s="335"/>
      <c r="Q12" s="335"/>
      <c r="R12" s="335"/>
    </row>
    <row r="13" spans="1:40" ht="16.5" thickBot="1" x14ac:dyDescent="0.3">
      <c r="A13" s="8" t="s">
        <v>2</v>
      </c>
      <c r="B13" s="9"/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 t="s">
        <v>3</v>
      </c>
      <c r="N13" s="10"/>
      <c r="O13" s="335"/>
      <c r="P13" s="335"/>
      <c r="Q13" s="335"/>
      <c r="R13" s="335"/>
    </row>
    <row r="14" spans="1:40" ht="21" thickTop="1" thickBot="1" x14ac:dyDescent="0.4">
      <c r="A14" s="14" t="s">
        <v>4</v>
      </c>
      <c r="B14" s="14" t="s">
        <v>10</v>
      </c>
      <c r="C14" s="15">
        <f>+'Datos Fijos Año 1'!B11</f>
        <v>218.9</v>
      </c>
      <c r="D14" s="15">
        <f>+'Datos Fijos Año 1'!C11</f>
        <v>537.79999999999995</v>
      </c>
      <c r="E14" s="15">
        <f>+'Datos Fijos Año 1'!D11</f>
        <v>155.26999999999998</v>
      </c>
      <c r="F14" s="15">
        <f>+'Datos Fijos Año 1'!E11</f>
        <v>326.15999999999997</v>
      </c>
      <c r="G14" s="15">
        <f>+'Datos Fijos Año 1'!F11</f>
        <v>359.97</v>
      </c>
      <c r="H14" s="15">
        <f>+'Datos Fijos Año 1'!G11</f>
        <v>147</v>
      </c>
      <c r="I14" s="15">
        <f>+'Datos Fijos Año 1'!H11</f>
        <v>576.98</v>
      </c>
      <c r="J14" s="15">
        <f>+'Datos Fijos Año 1'!I11</f>
        <v>260</v>
      </c>
      <c r="K14" s="15">
        <f>+'Datos Fijos Año 1'!J11</f>
        <v>792.53</v>
      </c>
      <c r="L14" s="15">
        <f>+'Datos Fijos Año 1'!K11</f>
        <v>252.17</v>
      </c>
      <c r="M14" s="15">
        <f>SUM(C14:L14)</f>
        <v>3626.7799999999997</v>
      </c>
      <c r="N14" s="10"/>
    </row>
    <row r="15" spans="1:40" ht="17.25" thickTop="1" thickBot="1" x14ac:dyDescent="0.3">
      <c r="A15" s="11" t="s">
        <v>6</v>
      </c>
      <c r="B15" s="12" t="s">
        <v>10</v>
      </c>
      <c r="C15" s="13">
        <f>+'Datos Fijos Año 2'!B11</f>
        <v>229.20000000000002</v>
      </c>
      <c r="D15" s="13">
        <f>+'Datos Fijos Año 2'!C11</f>
        <v>537.79999999999995</v>
      </c>
      <c r="E15" s="13">
        <f>+'Datos Fijos Año 2'!D11</f>
        <v>155.26999999999998</v>
      </c>
      <c r="F15" s="13">
        <f>+'Datos Fijos Año 2'!E11</f>
        <v>375.70699999999999</v>
      </c>
      <c r="G15" s="13">
        <f>+'Datos Fijos Año 2'!F11</f>
        <v>595.19000000000005</v>
      </c>
      <c r="H15" s="13">
        <f>+'Datos Fijos Año 2'!G11</f>
        <v>147</v>
      </c>
      <c r="I15" s="13">
        <f>+'Datos Fijos Año 2'!H11</f>
        <v>576.98</v>
      </c>
      <c r="J15" s="13">
        <f>+'Datos Fijos Año 2'!I11</f>
        <v>260</v>
      </c>
      <c r="K15" s="13">
        <f>+'Datos Fijos Año 2'!J11</f>
        <v>792.53</v>
      </c>
      <c r="L15" s="13">
        <f>+'Datos Fijos Año 2'!K11</f>
        <v>252.17</v>
      </c>
      <c r="M15" s="13">
        <f>SUM(C15:L15)</f>
        <v>3921.8469999999998</v>
      </c>
      <c r="N15" s="10"/>
      <c r="AF15" s="20"/>
    </row>
    <row r="16" spans="1:40" ht="18.75" customHeight="1" thickTop="1" thickBot="1" x14ac:dyDescent="0.3">
      <c r="A16" s="11" t="s">
        <v>7</v>
      </c>
      <c r="B16" s="12" t="s">
        <v>10</v>
      </c>
      <c r="C16" s="13">
        <f>+'Datos Fijos Año 3'!B11</f>
        <v>294.5</v>
      </c>
      <c r="D16" s="13">
        <f>+'Datos Fijos Año 3'!C11</f>
        <v>537.79999999999995</v>
      </c>
      <c r="E16" s="13">
        <f>+'Datos Fijos Año 3'!D11</f>
        <v>155.26999999999998</v>
      </c>
      <c r="F16" s="13">
        <f>+'Datos Fijos Año 3'!E11</f>
        <v>375.70699999999999</v>
      </c>
      <c r="G16" s="13">
        <f>+'Datos Fijos Año 3'!F11</f>
        <v>606.81000000000006</v>
      </c>
      <c r="H16" s="13">
        <f>+'Datos Fijos Año 3'!G11</f>
        <v>147</v>
      </c>
      <c r="I16" s="13">
        <f>+'Datos Fijos Año 3'!H11</f>
        <v>195.98</v>
      </c>
      <c r="J16" s="13">
        <f>+'Datos Fijos Año 3'!I11</f>
        <v>260</v>
      </c>
      <c r="K16" s="13">
        <f>+'Datos Fijos Año 3'!J11</f>
        <v>792.53</v>
      </c>
      <c r="L16" s="13">
        <f>+'Datos Fijos Año 3'!K11</f>
        <v>252.17</v>
      </c>
      <c r="M16" s="13">
        <f>SUM(C16:L16)</f>
        <v>3617.7669999999998</v>
      </c>
      <c r="N16" s="10"/>
    </row>
    <row r="17" spans="1:40" ht="20.25" customHeight="1" thickTop="1" thickBot="1" x14ac:dyDescent="0.3">
      <c r="A17" s="11" t="s">
        <v>8</v>
      </c>
      <c r="B17" s="12" t="s">
        <v>10</v>
      </c>
      <c r="C17" s="13">
        <f>+'Datos Fijos Año 4'!B11</f>
        <v>294.5</v>
      </c>
      <c r="D17" s="13">
        <f>+'Datos Fijos Año 4'!C11</f>
        <v>537.79999999999995</v>
      </c>
      <c r="E17" s="13">
        <f>+'Datos Fijos Año 4'!D11</f>
        <v>155.26999999999998</v>
      </c>
      <c r="F17" s="13">
        <f>+'Datos Fijos Año 4'!E11</f>
        <v>375.70699999999999</v>
      </c>
      <c r="G17" s="13">
        <f>+'Datos Fijos Año 4'!F11</f>
        <v>606.81000000000006</v>
      </c>
      <c r="H17" s="13">
        <f>+'Datos Fijos Año 4'!G11</f>
        <v>147</v>
      </c>
      <c r="I17" s="13">
        <f>+'Datos Fijos Año 4'!H11</f>
        <v>195.98</v>
      </c>
      <c r="J17" s="13">
        <f>+'Datos Fijos Año 4'!I11</f>
        <v>260</v>
      </c>
      <c r="K17" s="13">
        <f>+'Datos Fijos Año 4'!J11</f>
        <v>2263.5299999999997</v>
      </c>
      <c r="L17" s="13">
        <f>+'Datos Fijos Año 4'!K11</f>
        <v>252.17</v>
      </c>
      <c r="M17" s="13">
        <f>SUM(C17:L17)</f>
        <v>5088.7669999999998</v>
      </c>
      <c r="N17" s="23"/>
    </row>
    <row r="18" spans="1:40" s="6" customFormat="1" ht="16.5" thickTop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6" customFormat="1" ht="17.25" customHeight="1" x14ac:dyDescent="0.25">
      <c r="A19" s="334" t="s">
        <v>243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24"/>
      <c r="N19" s="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x14ac:dyDescent="0.25">
      <c r="A20" s="334" t="s">
        <v>11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25"/>
      <c r="N20" s="1"/>
    </row>
    <row r="21" spans="1:40" ht="16.5" thickBot="1" x14ac:dyDescent="0.3">
      <c r="A21" s="26" t="s">
        <v>2</v>
      </c>
      <c r="B21" s="27"/>
      <c r="C21" s="27">
        <v>1</v>
      </c>
      <c r="D21" s="27">
        <v>2</v>
      </c>
      <c r="E21" s="27">
        <v>3</v>
      </c>
      <c r="F21" s="27">
        <v>4</v>
      </c>
      <c r="G21" s="27">
        <v>5</v>
      </c>
      <c r="H21" s="27">
        <v>6</v>
      </c>
      <c r="I21" s="27">
        <v>7</v>
      </c>
      <c r="J21" s="27">
        <v>8</v>
      </c>
      <c r="K21" s="27">
        <v>9</v>
      </c>
      <c r="L21" s="28">
        <v>10</v>
      </c>
      <c r="M21" s="25"/>
      <c r="N21" s="30"/>
      <c r="O21" s="25"/>
      <c r="P21" s="25"/>
      <c r="Q21" s="25"/>
      <c r="R21" s="25"/>
      <c r="S21" s="25"/>
      <c r="T21" s="25"/>
      <c r="U21" s="25"/>
      <c r="V21" s="25"/>
    </row>
    <row r="22" spans="1:40" ht="21" thickTop="1" thickBot="1" x14ac:dyDescent="0.4">
      <c r="A22" s="14" t="s">
        <v>4</v>
      </c>
      <c r="B22" s="14" t="s">
        <v>5</v>
      </c>
      <c r="C22" s="33">
        <f t="shared" ref="C22:L22" si="0">IF(C14&gt;0,C7/(C14*6),0)</f>
        <v>2.5856955694675854</v>
      </c>
      <c r="D22" s="33">
        <f t="shared" si="0"/>
        <v>1.8925771375011475</v>
      </c>
      <c r="E22" s="33">
        <f t="shared" si="0"/>
        <v>3.5537779040328941</v>
      </c>
      <c r="F22" s="33">
        <f t="shared" si="0"/>
        <v>2.5485055618372741</v>
      </c>
      <c r="G22" s="33">
        <f t="shared" si="0"/>
        <v>0.6864775943413054</v>
      </c>
      <c r="H22" s="33">
        <f t="shared" si="0"/>
        <v>0.86677164783643812</v>
      </c>
      <c r="I22" s="33">
        <f t="shared" si="0"/>
        <v>0.86575190952600467</v>
      </c>
      <c r="J22" s="33">
        <f t="shared" si="0"/>
        <v>1.4755734365190127</v>
      </c>
      <c r="K22" s="33">
        <f t="shared" si="0"/>
        <v>0.89824740810616432</v>
      </c>
      <c r="L22" s="33">
        <f t="shared" si="0"/>
        <v>4.1212140177672438</v>
      </c>
      <c r="M22" s="25"/>
      <c r="N22" s="30"/>
      <c r="O22" s="25"/>
      <c r="P22" s="25"/>
      <c r="Q22" s="25"/>
      <c r="R22" s="25"/>
      <c r="S22" s="25"/>
      <c r="T22" s="25"/>
      <c r="U22" s="25"/>
      <c r="V22" s="25"/>
    </row>
    <row r="23" spans="1:40" ht="17.25" thickTop="1" thickBot="1" x14ac:dyDescent="0.3">
      <c r="A23" s="11" t="s">
        <v>6</v>
      </c>
      <c r="B23" s="12" t="s">
        <v>5</v>
      </c>
      <c r="C23" s="29">
        <f t="shared" ref="C23:L25" si="1">IF(C15&gt;0,C8/(C15*12),0)</f>
        <v>1.2919562023649287</v>
      </c>
      <c r="D23" s="29">
        <f t="shared" si="1"/>
        <v>0.9455869508373469</v>
      </c>
      <c r="E23" s="29">
        <f t="shared" si="1"/>
        <v>1.803463425502347</v>
      </c>
      <c r="F23" s="29">
        <f t="shared" si="1"/>
        <v>1.1544008495283857</v>
      </c>
      <c r="G23" s="29">
        <f t="shared" si="1"/>
        <v>0.19264973808220992</v>
      </c>
      <c r="H23" s="29">
        <f t="shared" si="1"/>
        <v>0.42476739895490662</v>
      </c>
      <c r="I23" s="29">
        <f t="shared" si="1"/>
        <v>0.43595462979365807</v>
      </c>
      <c r="J23" s="29">
        <f t="shared" si="1"/>
        <v>0.69637121530830348</v>
      </c>
      <c r="K23" s="29">
        <f t="shared" si="1"/>
        <v>0.44750003995797472</v>
      </c>
      <c r="L23" s="29">
        <f t="shared" si="1"/>
        <v>2.002990389911584</v>
      </c>
      <c r="M23" s="31"/>
      <c r="N23" s="30"/>
      <c r="O23" s="25"/>
      <c r="P23" s="25"/>
      <c r="Q23" s="25"/>
      <c r="R23" s="25"/>
      <c r="S23" s="25"/>
      <c r="T23" s="25"/>
      <c r="U23" s="25"/>
      <c r="V23" s="25"/>
    </row>
    <row r="24" spans="1:40" ht="17.25" thickTop="1" thickBot="1" x14ac:dyDescent="0.3">
      <c r="A24" s="11" t="s">
        <v>7</v>
      </c>
      <c r="B24" s="12" t="s">
        <v>5</v>
      </c>
      <c r="C24" s="29">
        <f t="shared" si="1"/>
        <v>1.020661118277898</v>
      </c>
      <c r="D24" s="29">
        <f t="shared" si="1"/>
        <v>0.95559357113356269</v>
      </c>
      <c r="E24" s="29">
        <f t="shared" si="1"/>
        <v>1.7681166807498798</v>
      </c>
      <c r="F24" s="29">
        <f t="shared" si="1"/>
        <v>1.3269481227370881</v>
      </c>
      <c r="G24" s="29">
        <f t="shared" si="1"/>
        <v>0.19934656366339584</v>
      </c>
      <c r="H24" s="29">
        <f t="shared" si="1"/>
        <v>0.52579916171498586</v>
      </c>
      <c r="I24" s="29">
        <f t="shared" si="1"/>
        <v>0.55298120664718708</v>
      </c>
      <c r="J24" s="29">
        <f t="shared" si="1"/>
        <v>0.77276263177103366</v>
      </c>
      <c r="K24" s="29">
        <f t="shared" si="1"/>
        <v>0.53221258060509791</v>
      </c>
      <c r="L24" s="29">
        <f t="shared" si="1"/>
        <v>1.8674550765248936</v>
      </c>
      <c r="M24" s="32"/>
      <c r="N24" s="1"/>
    </row>
    <row r="25" spans="1:40" ht="17.25" thickTop="1" thickBot="1" x14ac:dyDescent="0.3">
      <c r="A25" s="11" t="s">
        <v>8</v>
      </c>
      <c r="B25" s="12" t="s">
        <v>5</v>
      </c>
      <c r="C25" s="29">
        <f t="shared" si="1"/>
        <v>0.89603527281923923</v>
      </c>
      <c r="D25" s="29">
        <f t="shared" si="1"/>
        <v>0.81683479686964922</v>
      </c>
      <c r="E25" s="29">
        <f t="shared" si="1"/>
        <v>1.5484726710593908</v>
      </c>
      <c r="F25" s="29">
        <f t="shared" si="1"/>
        <v>1.484923729708217</v>
      </c>
      <c r="G25" s="29">
        <f t="shared" si="1"/>
        <v>0.17887749994581487</v>
      </c>
      <c r="H25" s="29">
        <f t="shared" si="1"/>
        <v>0.32199939223883356</v>
      </c>
      <c r="I25" s="29">
        <f t="shared" si="1"/>
        <v>0.35170258749278716</v>
      </c>
      <c r="J25" s="29">
        <f t="shared" si="1"/>
        <v>0.51107367914285984</v>
      </c>
      <c r="K25" s="29">
        <f t="shared" si="1"/>
        <v>0.30533512516598421</v>
      </c>
      <c r="L25" s="29">
        <f>IF(L17&gt;0,L10/(L17*12),0)</f>
        <v>1.7350154329341014</v>
      </c>
      <c r="M25" s="34"/>
    </row>
    <row r="26" spans="1:40" ht="16.5" thickTop="1" x14ac:dyDescent="0.25">
      <c r="A26" s="336" t="s">
        <v>244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5"/>
    </row>
  </sheetData>
  <sheetProtection algorithmName="SHA-512" hashValue="2a4VuF8auXKdTAB9L0JJTMIiXoB56hTFwlyKnswUgq4I2m7yJaIx42sxDV8yJbBqz/VX9bIAAsYizHTemLKVwg==" saltValue="NkgB4MLg/HwVVR7JUtYIRQ==" spinCount="100000" sheet="1" objects="1" scenarios="1"/>
  <mergeCells count="9">
    <mergeCell ref="A19:L19"/>
    <mergeCell ref="A20:L20"/>
    <mergeCell ref="A26:L26"/>
    <mergeCell ref="A3:M3"/>
    <mergeCell ref="A2:M2"/>
    <mergeCell ref="A4:M4"/>
    <mergeCell ref="A5:M5"/>
    <mergeCell ref="O7:R13"/>
    <mergeCell ref="A12:M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Datos Fijos Año 2</vt:lpstr>
      <vt:lpstr>Datos Fijos Año 1</vt:lpstr>
      <vt:lpstr>Datos Fijos Año 3</vt:lpstr>
      <vt:lpstr>Datos Fijos Año 4</vt:lpstr>
      <vt:lpstr>CUSPT AÑO 1</vt:lpstr>
      <vt:lpstr>CUSPT AÑO 2</vt:lpstr>
      <vt:lpstr>CUSPT AÑO 3</vt:lpstr>
      <vt:lpstr>CUSPT AÑO 4</vt:lpstr>
      <vt:lpstr>CUSPT Equivalente - Generadores</vt:lpstr>
      <vt:lpstr>'CUSPT AÑO 1'!Área_de_impresión</vt:lpstr>
      <vt:lpstr>'CUSPT AÑO 2'!Área_de_impresión</vt:lpstr>
      <vt:lpstr>'CUSPT AÑO 3'!Área_de_impresión</vt:lpstr>
      <vt:lpstr>'CUSPT AÑO 4'!Área_de_impresión</vt:lpstr>
      <vt:lpstr>'CUSPT Equivalente - Generadores'!Área_de_impresión</vt:lpstr>
      <vt:lpstr>'Datos Fijos Año 1'!Área_de_impresión</vt:lpstr>
      <vt:lpstr>'Datos Fijos Año 2'!Área_de_impresión</vt:lpstr>
      <vt:lpstr>'Datos Fijos Año 3'!Área_de_impresión</vt:lpstr>
      <vt:lpstr>'Datos Fijos Año 4'!Área_de_impresión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Vargas</dc:creator>
  <cp:lastModifiedBy>rebecaf</cp:lastModifiedBy>
  <dcterms:created xsi:type="dcterms:W3CDTF">2018-01-08T20:55:53Z</dcterms:created>
  <dcterms:modified xsi:type="dcterms:W3CDTF">2018-01-17T14:08:38Z</dcterms:modified>
</cp:coreProperties>
</file>