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becaf\Disco F\2018\Pliegos ETESA 16 de enero\"/>
    </mc:Choice>
  </mc:AlternateContent>
  <bookViews>
    <workbookView xWindow="0" yWindow="0" windowWidth="24000" windowHeight="8700" tabRatio="938" firstSheet="1" activeTab="4"/>
  </bookViews>
  <sheets>
    <sheet name="Resumen" sheetId="48" r:id="rId1"/>
    <sheet name=" IMP Existente 2017 2021" sheetId="69" r:id="rId2"/>
    <sheet name="VNR consulta (015 17)" sheetId="66" r:id="rId3"/>
    <sheet name="IPCT VNR_FA" sheetId="68" r:id="rId4"/>
    <sheet name="Activos Reconocidos" sheetId="71" r:id="rId5"/>
    <sheet name="N de Instalaciones" sheetId="3" r:id="rId6"/>
    <sheet name=" VNR" sheetId="1" r:id="rId7"/>
    <sheet name="SALIDAS Y TRANSFORMACION" sheetId="20" r:id="rId8"/>
    <sheet name="CX cxj Año1 " sheetId="13" r:id="rId9"/>
    <sheet name="CX cxj Año2" sheetId="62" r:id="rId10"/>
    <sheet name="CX cxj Año3" sheetId="63" r:id="rId11"/>
    <sheet name="CX cxj Año4" sheetId="61" r:id="rId12"/>
    <sheet name="CHORRERA CONEX 230" sheetId="75" r:id="rId13"/>
    <sheet name="LL.SANCHEZ CONEX 230" sheetId="76" r:id="rId14"/>
    <sheet name="CH. AZUL CONEX 115" sheetId="77" r:id="rId15"/>
    <sheet name="Parámetros de eficiencia" sheetId="5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m">#REF!</definedName>
    <definedName name="\r">#REF!</definedName>
    <definedName name="\w">#REF!</definedName>
    <definedName name="\z">#REF!</definedName>
    <definedName name="__CFP1">#REF!</definedName>
    <definedName name="__COP1">#REF!</definedName>
    <definedName name="__ERP1">#REF!</definedName>
    <definedName name="__ESP1">#REF!</definedName>
    <definedName name="__OAP1">#REF!</definedName>
    <definedName name="__PRO2">#REF!</definedName>
    <definedName name="__PRO3">#REF!</definedName>
    <definedName name="__PRO4">#REF!</definedName>
    <definedName name="__RFP1">#REF!</definedName>
    <definedName name="__SE1">#REF!</definedName>
    <definedName name="__SE11">#REF!</definedName>
    <definedName name="__SE12">#REF!</definedName>
    <definedName name="__SE13">#REF!</definedName>
    <definedName name="__SE14">#REF!</definedName>
    <definedName name="__SE15">#REF!</definedName>
    <definedName name="__SE16">#REF!</definedName>
    <definedName name="__SE2">#REF!</definedName>
    <definedName name="__SE3">#REF!</definedName>
    <definedName name="__SE4">#REF!</definedName>
    <definedName name="__SE5">#REF!</definedName>
    <definedName name="__SE6">#REF!</definedName>
    <definedName name="__TST1">#REF!</definedName>
    <definedName name="__TST2">#REF!</definedName>
    <definedName name="__TST3">#REF!</definedName>
    <definedName name="_2">#REF!</definedName>
    <definedName name="_CFP1">#REF!</definedName>
    <definedName name="_COP1">#REF!</definedName>
    <definedName name="_ERP1">#REF!</definedName>
    <definedName name="_ESP1">#REF!</definedName>
    <definedName name="_Fill" localSheetId="1" hidden="1">#REF!</definedName>
    <definedName name="_Fill" localSheetId="2" hidden="1">#REF!</definedName>
    <definedName name="_Fill" hidden="1">#REF!</definedName>
    <definedName name="_OAP1">#REF!</definedName>
    <definedName name="_PRO2">#REF!</definedName>
    <definedName name="_PRO3">#REF!</definedName>
    <definedName name="_PRO4">#REF!</definedName>
    <definedName name="_RFP1">#REF!</definedName>
    <definedName name="_SE1">#REF!</definedName>
    <definedName name="_SE11">#REF!</definedName>
    <definedName name="_SE12">#REF!</definedName>
    <definedName name="_SE13">#REF!</definedName>
    <definedName name="_SE14">#REF!</definedName>
    <definedName name="_SE15">#REF!</definedName>
    <definedName name="_SE16">#REF!</definedName>
    <definedName name="_SE2">#REF!</definedName>
    <definedName name="_SE3">#REF!</definedName>
    <definedName name="_SE4">#REF!</definedName>
    <definedName name="_SE5">#REF!</definedName>
    <definedName name="_SE6">#REF!</definedName>
    <definedName name="_TST1">#REF!</definedName>
    <definedName name="_TST2">#REF!</definedName>
    <definedName name="_TST3">#REF!</definedName>
    <definedName name="A_IMPRESIÓN_IM">#REF!</definedName>
    <definedName name="ActNetoHidro" localSheetId="1">' IMP Existente 2017 2021'!$D$26:$I$26</definedName>
    <definedName name="ActNetoHidro">'[1]IMPA Indicativo'!$D$26:$I$26</definedName>
    <definedName name="ACTUAL">#REF!</definedName>
    <definedName name="ANOS">#REF!</definedName>
    <definedName name="ANOSHIS">#REF!</definedName>
    <definedName name="ANOUNO">#REF!</definedName>
    <definedName name="_xlnm.Extract">#REF!</definedName>
    <definedName name="_xlnm.Print_Area" localSheetId="1">' IMP Existente 2017 2021'!$B$62:$I$122</definedName>
    <definedName name="_xlnm.Print_Area" localSheetId="6">' VNR'!$A$63:$I$76</definedName>
    <definedName name="_xlnm.Print_Area" localSheetId="8">'CX cxj Año1 '!$A$1:$K$34</definedName>
    <definedName name="_xlnm.Print_Area" localSheetId="5">'N de Instalaciones'!$B$1:$L$22</definedName>
    <definedName name="_xlnm.Print_Area" localSheetId="15">'Parámetros de eficiencia'!$A$1:$H$10</definedName>
    <definedName name="_xlnm.Print_Area" localSheetId="0">Resumen!$B$1:$E$54</definedName>
    <definedName name="_xlnm.Print_Area" localSheetId="7">'SALIDAS Y TRANSFORMACION'!$B$2:$N$60</definedName>
    <definedName name="ASSUMPTIONS">#REF!</definedName>
    <definedName name="BALANCE_SH">#REF!</definedName>
    <definedName name="Base_datos_IM">#REF!</definedName>
    <definedName name="_xlnm.Database">#REF!</definedName>
    <definedName name="BASIC_DATA">#REF!</definedName>
    <definedName name="BASICO">#REF!</definedName>
    <definedName name="BLANK">#REF!</definedName>
    <definedName name="Blev">#REF!</definedName>
    <definedName name="Bu">#REF!</definedName>
    <definedName name="CALCULAR">#REF!</definedName>
    <definedName name="CASH_FL">#REF!</definedName>
    <definedName name="CASH_FLOW_RPT">#REF!</definedName>
    <definedName name="CASH_RPT_BR_ROW">#REF!</definedName>
    <definedName name="CASH_RPT_HEADER">#REF!</definedName>
    <definedName name="CASHFLOW">#REF!</definedName>
    <definedName name="CBASE">#REF!</definedName>
    <definedName name="CCC">#REF!</definedName>
    <definedName name="CF_CY">#REF!</definedName>
    <definedName name="CFP">#REF!</definedName>
    <definedName name="CFPC">#REF!</definedName>
    <definedName name="CFPDATA">#REF!</definedName>
    <definedName name="CFPTITLES">#REF!</definedName>
    <definedName name="CFTITLE">#REF!</definedName>
    <definedName name="CFUNIT">#REF!</definedName>
    <definedName name="CHANGES">#REF!</definedName>
    <definedName name="CHECAMAC">#REF!</definedName>
    <definedName name="CHECAOPT">#REF!</definedName>
    <definedName name="CO_CY">#REF!</definedName>
    <definedName name="COLTOTAL">#REF!</definedName>
    <definedName name="COLWIDE">#REF!</definedName>
    <definedName name="CON_ACC_REC">#REF!</definedName>
    <definedName name="CON_ALL_REPORT">#REF!</definedName>
    <definedName name="CON_NETWORTH">#REF!</definedName>
    <definedName name="CON_PAS_COR">#REF!</definedName>
    <definedName name="CON_REPT_FOOTER">#REF!</definedName>
    <definedName name="CON_REPT_HEADER">#REF!</definedName>
    <definedName name="CON_REVENUE">#REF!</definedName>
    <definedName name="CON_RPT_BOR_COL">#REF!</definedName>
    <definedName name="CON_RPT_BOR_ROW">#REF!</definedName>
    <definedName name="CON_VOLUMES">#REF!</definedName>
    <definedName name="CONEX">#REF!</definedName>
    <definedName name="CONSOL_FIXED_AS">#REF!</definedName>
    <definedName name="CONSOL_FUENTE_I">#REF!</definedName>
    <definedName name="CONSOL_RPT">#REF!</definedName>
    <definedName name="CONSOLIDA">#REF!</definedName>
    <definedName name="CONSOLIDATION">#REF!</definedName>
    <definedName name="COP">#REF!</definedName>
    <definedName name="COPDATA">#REF!</definedName>
    <definedName name="COTITLE">#REF!</definedName>
    <definedName name="COUNIT">#REF!</definedName>
    <definedName name="_xlnm.Criteria">#REF!</definedName>
    <definedName name="Criterios_IM">#REF!</definedName>
    <definedName name="CSD">#REF!</definedName>
    <definedName name="CY_DOLAR">#REF!</definedName>
    <definedName name="CY_LOCAL">#REF!</definedName>
    <definedName name="DATOSE">#REF!</definedName>
    <definedName name="DBHH">#REF!</definedName>
    <definedName name="DBPC">#REF!</definedName>
    <definedName name="DBT">#REF!</definedName>
    <definedName name="DCOL">#REF!</definedName>
    <definedName name="DE">#REF!</definedName>
    <definedName name="DECI">#REF!</definedName>
    <definedName name="DENOMINATION">#REF!</definedName>
    <definedName name="DEPRINT">#REF!</definedName>
    <definedName name="DEUDA">#REF!</definedName>
    <definedName name="DEUDAL">#REF!</definedName>
    <definedName name="DV">#REF!</definedName>
    <definedName name="ENTRY">#REF!</definedName>
    <definedName name="ER_CY">#REF!</definedName>
    <definedName name="ERHACTUAL">#REF!</definedName>
    <definedName name="ERHDATA10YEARS">#REF!</definedName>
    <definedName name="ERHDATA5">#REF!</definedName>
    <definedName name="ERHTITLES">#REF!</definedName>
    <definedName name="ERP">#REF!</definedName>
    <definedName name="ERP_LAST">#REF!</definedName>
    <definedName name="ERP0">#REF!</definedName>
    <definedName name="ERPC">#REF!</definedName>
    <definedName name="ERPDATA">#REF!</definedName>
    <definedName name="ERPTITLES">#REF!</definedName>
    <definedName name="ERPUNO">#REF!</definedName>
    <definedName name="ERPWP">#REF!</definedName>
    <definedName name="ERTITLE">#REF!</definedName>
    <definedName name="ERUNIT">#REF!</definedName>
    <definedName name="ES_CY">#REF!</definedName>
    <definedName name="ESP">#REF!</definedName>
    <definedName name="ESP_LAST">#REF!</definedName>
    <definedName name="ESP0">#REF!</definedName>
    <definedName name="ESPACTUAL">#REF!</definedName>
    <definedName name="ESPANOL">#REF!</definedName>
    <definedName name="ESPC">#REF!</definedName>
    <definedName name="ESPDATA">#REF!</definedName>
    <definedName name="ESPTITLES">#REF!</definedName>
    <definedName name="ESPUNO">#REF!</definedName>
    <definedName name="ESTITLE">#REF!</definedName>
    <definedName name="ESUNIT">#REF!</definedName>
    <definedName name="EXIT">#REF!</definedName>
    <definedName name="Extracción_IM">#REF!</definedName>
    <definedName name="FACEL">#REF!</definedName>
    <definedName name="FACWA">#REF!</definedName>
    <definedName name="FILE1">#REF!</definedName>
    <definedName name="FILE2">#REF!</definedName>
    <definedName name="FILE3">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NAME">#REF!</definedName>
    <definedName name="FILES">#REF!</definedName>
    <definedName name="FILESET_UP">#REF!</definedName>
    <definedName name="FIN">#REF!</definedName>
    <definedName name="FORMAT">#REF!</definedName>
    <definedName name="FRAME">#REF!</definedName>
    <definedName name="FREEZE">#REF!</definedName>
    <definedName name="GINC">#REF!</definedName>
    <definedName name="GINCL">#REF!</definedName>
    <definedName name="GWH">#REF!</definedName>
    <definedName name="HISTORY">#REF!</definedName>
    <definedName name="HOJAT">#REF!</definedName>
    <definedName name="i">#REF!</definedName>
    <definedName name="IMPANO0">#REF!</definedName>
    <definedName name="INCOME_ST">#REF!</definedName>
    <definedName name="INDSAVE">#REF!</definedName>
    <definedName name="INGLES">#REF!</definedName>
    <definedName name="INICIO">#REF!</definedName>
    <definedName name="INSTRUCCONSOL">#REF!</definedName>
    <definedName name="ITER">#REF!</definedName>
    <definedName name="JKL">#REF!</definedName>
    <definedName name="LANGUAGE">#REF!</definedName>
    <definedName name="LASER">#REF!</definedName>
    <definedName name="LAST_YEAR">#REF!</definedName>
    <definedName name="LEARN">#REF!</definedName>
    <definedName name="LINE_">#REF!</definedName>
    <definedName name="LINES_ML">#REF!</definedName>
    <definedName name="LOGO">#REF!</definedName>
    <definedName name="MAIN">#REF!</definedName>
    <definedName name="MENSAJ">#REF!</definedName>
    <definedName name="MENSAJ1">#REF!</definedName>
    <definedName name="MENSAJE">#REF!</definedName>
    <definedName name="MENSAJE1">#REF!</definedName>
    <definedName name="MESES">#REF!</definedName>
    <definedName name="MESESL">#REF!</definedName>
    <definedName name="MIL">#REF!</definedName>
    <definedName name="MILLON">#REF!</definedName>
    <definedName name="MODINFO">#REF!</definedName>
    <definedName name="MODULES">#REF!</definedName>
    <definedName name="MSGCALC">#REF!</definedName>
    <definedName name="MSGDEBT">#REF!</definedName>
    <definedName name="MSGFILES">#REF!</definedName>
    <definedName name="MSGINVEST">#REF!</definedName>
    <definedName name="MSGNAMES">#REF!</definedName>
    <definedName name="MSGPRINTG">#REF!</definedName>
    <definedName name="MSGTRANSFER">#REF!</definedName>
    <definedName name="MWH">#REF!</definedName>
    <definedName name="NAME">#REF!</definedName>
    <definedName name="NAMES">#REF!</definedName>
    <definedName name="NOPRO">#REF!</definedName>
    <definedName name="OA_CY">#REF!</definedName>
    <definedName name="OAP">#REF!</definedName>
    <definedName name="OAP_LAST">#REF!</definedName>
    <definedName name="OAP0">#REF!</definedName>
    <definedName name="OAPACTUAL">#REF!</definedName>
    <definedName name="OAPC">#REF!</definedName>
    <definedName name="OAPDATA">#REF!</definedName>
    <definedName name="OAPTITLES">#REF!</definedName>
    <definedName name="OAPUNO">#REF!</definedName>
    <definedName name="OATITLE">#REF!</definedName>
    <definedName name="OAUNIT">#REF!</definedName>
    <definedName name="OPCFLAG">#REF!</definedName>
    <definedName name="OPCION">#REF!</definedName>
    <definedName name="OPSELC">#REF!</definedName>
    <definedName name="OUTPUT">#REF!</definedName>
    <definedName name="OUTPUTDE">#REF!</definedName>
    <definedName name="OUTPUTE">#REF!</definedName>
    <definedName name="OUTPUTE_HEADER">#REF!</definedName>
    <definedName name="OUTPUTEBODY">#REF!</definedName>
    <definedName name="OUTPUTECOL">#REF!</definedName>
    <definedName name="OUTPUTEHEAD">#REF!</definedName>
    <definedName name="OUTPUTNOS">#REF!</definedName>
    <definedName name="OUTPUTPR">#REF!</definedName>
    <definedName name="OUTPUTWS">#REF!</definedName>
    <definedName name="PANTALLA">#REF!</definedName>
    <definedName name="PAPEL">#REF!</definedName>
    <definedName name="PFLAG">#REF!</definedName>
    <definedName name="PGIC">#REF!</definedName>
    <definedName name="PREST">#REF!</definedName>
    <definedName name="PRESTAMO">#REF!</definedName>
    <definedName name="PRESTTOT">#REF!</definedName>
    <definedName name="PRINTER">#REF!</definedName>
    <definedName name="PRODUC2">#REF!</definedName>
    <definedName name="PRODUC3">#REF!</definedName>
    <definedName name="PRODUC4">#REF!</definedName>
    <definedName name="PTOEF">#REF!</definedName>
    <definedName name="PTOER">#REF!</definedName>
    <definedName name="RANGES">#REF!</definedName>
    <definedName name="RATIOS">#REF!</definedName>
    <definedName name="RCC">#REF!</definedName>
    <definedName name="RCCOBR">#REF!</definedName>
    <definedName name="rd">#REF!</definedName>
    <definedName name="rdn">[2]Hidrometeorología!$D$14</definedName>
    <definedName name="rdx">[2]Hidrometeorología!$D$14</definedName>
    <definedName name="re">#REF!</definedName>
    <definedName name="RENTA">#REF!</definedName>
    <definedName name="RENTAL">#REF!</definedName>
    <definedName name="REPO">#REF!</definedName>
    <definedName name="REPOCALC">#REF!</definedName>
    <definedName name="REPOPRO">#REF!</definedName>
    <definedName name="REPSUB">#REF!</definedName>
    <definedName name="REPSUBWYS">#REF!</definedName>
    <definedName name="RESUMEN">#REF!</definedName>
    <definedName name="rf">#REF!</definedName>
    <definedName name="RF_CY">#REF!</definedName>
    <definedName name="RFP">#REF!</definedName>
    <definedName name="RFPACTUAL">#REF!</definedName>
    <definedName name="RFPC">#REF!</definedName>
    <definedName name="RFPDATA">#REF!</definedName>
    <definedName name="RFPTITLES">#REF!</definedName>
    <definedName name="RFTITLE">#REF!</definedName>
    <definedName name="RFUNIT">#REF!</definedName>
    <definedName name="rm_rf">#REF!</definedName>
    <definedName name="rp">#REF!</definedName>
    <definedName name="RPTSFOOTER">#REF!</definedName>
    <definedName name="RPTSHEADER">#REF!</definedName>
    <definedName name="rrd">[3]RRT!$D$14</definedName>
    <definedName name="RRT" localSheetId="1">' IMP Existente 2017 2021'!$D$13</definedName>
    <definedName name="RRT" localSheetId="2">'[1]IMPA Indicativo'!$D$13</definedName>
    <definedName name="RRT">#REF!</definedName>
    <definedName name="RRTg">#REF!</definedName>
    <definedName name="RRTT">#REF!</definedName>
    <definedName name="SCREEN">#REF!</definedName>
    <definedName name="Sd">#REF!</definedName>
    <definedName name="SE0">#REF!</definedName>
    <definedName name="SENOP">#REF!</definedName>
    <definedName name="SENPRI">#REF!</definedName>
    <definedName name="SENSITIVITY">#REF!</definedName>
    <definedName name="SENSTA">#REF!</definedName>
    <definedName name="SENT">#REF!</definedName>
    <definedName name="SENUNI">#REF!</definedName>
    <definedName name="SER">#REF!</definedName>
    <definedName name="solver_adj" localSheetId="8" hidden="1">'CX cxj Año1 '!$L$10</definedName>
    <definedName name="solver_cvg" localSheetId="8" hidden="1">0.0001</definedName>
    <definedName name="solver_drv" localSheetId="8" hidden="1">1</definedName>
    <definedName name="solver_est" localSheetId="8" hidden="1">1</definedName>
    <definedName name="solver_itr" localSheetId="8" hidden="1">100</definedName>
    <definedName name="solver_lin" localSheetId="8" hidden="1">2</definedName>
    <definedName name="solver_neg" localSheetId="8" hidden="1">2</definedName>
    <definedName name="solver_num" localSheetId="8" hidden="1">0</definedName>
    <definedName name="solver_nwt" localSheetId="8" hidden="1">1</definedName>
    <definedName name="solver_opt" localSheetId="8" hidden="1">'CX cxj Año1 '!$L$1</definedName>
    <definedName name="solver_pre" localSheetId="8" hidden="1">0.000001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0.05</definedName>
    <definedName name="solver_typ" localSheetId="8" hidden="1">3</definedName>
    <definedName name="solver_val" localSheetId="8" hidden="1">16135</definedName>
    <definedName name="SOURCE_APPL">#REF!</definedName>
    <definedName name="STAMP">#REF!</definedName>
    <definedName name="START">#REF!</definedName>
    <definedName name="SUMARIA">#REF!</definedName>
    <definedName name="SUPUESTOS">#REF!</definedName>
    <definedName name="t">#REF!</definedName>
    <definedName name="TASA">#REF!</definedName>
    <definedName name="TASAI">#REF!</definedName>
    <definedName name="TASATOT">#REF!</definedName>
    <definedName name="TIPO">#REF!</definedName>
    <definedName name="TITLE">#REF!</definedName>
    <definedName name="TITLEENG">#REF!</definedName>
    <definedName name="TITLES">#REF!</definedName>
    <definedName name="TITLESPAN">#REF!</definedName>
    <definedName name="_xlnm.Print_Titles" localSheetId="8">'CX cxj Año1 '!$3:$8</definedName>
    <definedName name="_xlnm.Print_Titles" localSheetId="0">Resumen!$2:$5</definedName>
    <definedName name="TRAF">#REF!</definedName>
    <definedName name="TSFR1">#REF!</definedName>
    <definedName name="TSFR2">#REF!</definedName>
    <definedName name="TSFR3">#REF!</definedName>
    <definedName name="UNDERLINE">#REF!</definedName>
    <definedName name="UNFREEZE">#REF!</definedName>
    <definedName name="UNITS">#REF!</definedName>
    <definedName name="VNR_Lineas" localSheetId="1">[4]VNR!$Q$62</definedName>
    <definedName name="VNR_Lineas" localSheetId="2">'VNR consulta (015 17)'!$R$62</definedName>
    <definedName name="VNR_Lineas">#REF!</definedName>
    <definedName name="VNR_Subestaciones_Conexión" localSheetId="1">[4]VNR!$G$46</definedName>
    <definedName name="VNR_Subestaciones_Conexión" localSheetId="2">'VNR consulta (015 17)'!$G$46</definedName>
    <definedName name="VNR_Subestaciones_Conexión">#REF!</definedName>
    <definedName name="VNR_Subestaciones_Estrategicas" localSheetId="1">[4]VNR!$F$36</definedName>
    <definedName name="VNR_Subestaciones_Estrategicas" localSheetId="2">'VNR consulta (015 17)'!$F$36</definedName>
    <definedName name="VNR_Subestaciones_Estrategicas">#REF!</definedName>
    <definedName name="VNR_Subestaciones_SPT" localSheetId="1">[4]VNR!$F$30</definedName>
    <definedName name="VNR_Subestaciones_SPT" localSheetId="2">'VNR consulta (015 17)'!$F$30</definedName>
    <definedName name="VNR_Subestaciones_SPT">#REF!</definedName>
    <definedName name="vvvv">[5]IMP!$D$14</definedName>
    <definedName name="WACCna">#REF!</definedName>
    <definedName name="WACCnd">#REF!</definedName>
    <definedName name="WACCr">#REF!</definedName>
    <definedName name="WACCra">#REF!</definedName>
    <definedName name="WH">#REF!</definedName>
    <definedName name="WHC">#REF!</definedName>
    <definedName name="WHCO">#REF!</definedName>
    <definedName name="WHCR">#REF!</definedName>
    <definedName name="WHCS">#REF!</definedName>
    <definedName name="WHG">#REF!</definedName>
    <definedName name="WHH">#REF!</definedName>
    <definedName name="WORKSHEET">#REF!</definedName>
    <definedName name="WP">#REF!</definedName>
    <definedName name="WPC">#REF!</definedName>
    <definedName name="WPG">#REF!</definedName>
    <definedName name="WPH">#REF!</definedName>
    <definedName name="WSANO0PR">#REF!</definedName>
    <definedName name="WSANO0S">#REF!</definedName>
    <definedName name="WSGRID">#REF!</definedName>
    <definedName name="WSGRID0">#REF!</definedName>
    <definedName name="WSGRID10">#REF!</definedName>
    <definedName name="WSPRINT">#REF!</definedName>
  </definedNames>
  <calcPr calcId="162913"/>
</workbook>
</file>

<file path=xl/calcChain.xml><?xml version="1.0" encoding="utf-8"?>
<calcChain xmlns="http://schemas.openxmlformats.org/spreadsheetml/2006/main">
  <c r="E15" i="68" l="1"/>
  <c r="D22" i="61" l="1"/>
  <c r="D23" i="61"/>
  <c r="E23" i="61"/>
  <c r="H23" i="61" s="1"/>
  <c r="F23" i="61"/>
  <c r="G23" i="61"/>
  <c r="I23" i="61"/>
  <c r="D24" i="61"/>
  <c r="E24" i="61"/>
  <c r="F24" i="61" s="1"/>
  <c r="I24" i="61"/>
  <c r="D22" i="63"/>
  <c r="D23" i="63"/>
  <c r="E23" i="63"/>
  <c r="H23" i="63" s="1"/>
  <c r="F23" i="63"/>
  <c r="G23" i="63"/>
  <c r="I23" i="63"/>
  <c r="D24" i="63"/>
  <c r="E24" i="63"/>
  <c r="F24" i="63" s="1"/>
  <c r="I24" i="63"/>
  <c r="E23" i="62"/>
  <c r="E24" i="62"/>
  <c r="D22" i="62"/>
  <c r="D23" i="62"/>
  <c r="D24" i="62"/>
  <c r="D25" i="62"/>
  <c r="E31" i="20"/>
  <c r="D31" i="20"/>
  <c r="B31" i="20"/>
  <c r="E37" i="20"/>
  <c r="D37" i="20"/>
  <c r="B37" i="20"/>
  <c r="E50" i="20"/>
  <c r="E48" i="20"/>
  <c r="E42" i="20"/>
  <c r="E41" i="20"/>
  <c r="F29" i="20"/>
  <c r="F30" i="20"/>
  <c r="E29" i="20"/>
  <c r="D29" i="20"/>
  <c r="B29" i="20"/>
  <c r="G76" i="66"/>
  <c r="H76" i="66"/>
  <c r="G75" i="66"/>
  <c r="H74" i="66"/>
  <c r="G74" i="66"/>
  <c r="G73" i="66"/>
  <c r="H75" i="66"/>
  <c r="H73" i="66"/>
  <c r="E8" i="20"/>
  <c r="E7" i="20"/>
  <c r="G68" i="77"/>
  <c r="E66" i="77"/>
  <c r="E40" i="77"/>
  <c r="E39" i="77"/>
  <c r="E38" i="77"/>
  <c r="E37" i="77"/>
  <c r="E36" i="77"/>
  <c r="E35" i="77"/>
  <c r="E34" i="77"/>
  <c r="E33" i="77"/>
  <c r="E32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6" i="77"/>
  <c r="E5" i="77"/>
  <c r="A5" i="77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5" i="77" s="1"/>
  <c r="A46" i="77" s="1"/>
  <c r="A47" i="77" s="1"/>
  <c r="A48" i="77" s="1"/>
  <c r="A49" i="77" s="1"/>
  <c r="A50" i="77" s="1"/>
  <c r="A54" i="77" s="1"/>
  <c r="A55" i="77" s="1"/>
  <c r="A59" i="77" s="1"/>
  <c r="A60" i="77" s="1"/>
  <c r="A61" i="77" s="1"/>
  <c r="A62" i="77" s="1"/>
  <c r="A63" i="77" s="1"/>
  <c r="A64" i="77" s="1"/>
  <c r="A65" i="77" s="1"/>
  <c r="A66" i="77" s="1"/>
  <c r="A4" i="77"/>
  <c r="E3" i="77"/>
  <c r="E40" i="76"/>
  <c r="E39" i="76"/>
  <c r="E38" i="76"/>
  <c r="E37" i="76"/>
  <c r="E36" i="76"/>
  <c r="E35" i="76"/>
  <c r="E34" i="76"/>
  <c r="E33" i="76"/>
  <c r="E32" i="76"/>
  <c r="E30" i="76"/>
  <c r="E29" i="76"/>
  <c r="E28" i="76"/>
  <c r="E27" i="76"/>
  <c r="E26" i="76"/>
  <c r="E25" i="76"/>
  <c r="H71" i="76" s="1"/>
  <c r="H76" i="76" s="1"/>
  <c r="E24" i="76"/>
  <c r="E23" i="76"/>
  <c r="H70" i="76" s="1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A6" i="76"/>
  <c r="A7" i="76" s="1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5" i="76" s="1"/>
  <c r="A46" i="76" s="1"/>
  <c r="A47" i="76" s="1"/>
  <c r="A48" i="76" s="1"/>
  <c r="A49" i="76" s="1"/>
  <c r="A50" i="76" s="1"/>
  <c r="A54" i="76" s="1"/>
  <c r="A55" i="76" s="1"/>
  <c r="A59" i="76" s="1"/>
  <c r="A60" i="76" s="1"/>
  <c r="A61" i="76" s="1"/>
  <c r="A62" i="76" s="1"/>
  <c r="A63" i="76" s="1"/>
  <c r="A64" i="76" s="1"/>
  <c r="A65" i="76" s="1"/>
  <c r="A66" i="76" s="1"/>
  <c r="E5" i="76"/>
  <c r="A4" i="76"/>
  <c r="A5" i="76" s="1"/>
  <c r="E3" i="76"/>
  <c r="E42" i="76" s="1"/>
  <c r="J68" i="75"/>
  <c r="E40" i="75"/>
  <c r="E39" i="75"/>
  <c r="E38" i="75"/>
  <c r="E37" i="75"/>
  <c r="E36" i="75"/>
  <c r="E35" i="75"/>
  <c r="E34" i="75"/>
  <c r="E33" i="75"/>
  <c r="E32" i="75"/>
  <c r="E30" i="75"/>
  <c r="E29" i="75"/>
  <c r="E28" i="75"/>
  <c r="E27" i="75"/>
  <c r="E26" i="75"/>
  <c r="H74" i="75" s="1"/>
  <c r="H79" i="75" s="1"/>
  <c r="E25" i="75"/>
  <c r="G68" i="75" s="1"/>
  <c r="E24" i="75"/>
  <c r="E23" i="75"/>
  <c r="E22" i="75"/>
  <c r="E21" i="75"/>
  <c r="E20" i="75"/>
  <c r="E19" i="75"/>
  <c r="E18" i="75"/>
  <c r="E17" i="75"/>
  <c r="C17" i="75"/>
  <c r="E16" i="75"/>
  <c r="E15" i="75"/>
  <c r="C14" i="75"/>
  <c r="E14" i="75" s="1"/>
  <c r="E13" i="75"/>
  <c r="E12" i="75"/>
  <c r="E11" i="75"/>
  <c r="E10" i="75"/>
  <c r="E9" i="75"/>
  <c r="E8" i="75"/>
  <c r="E7" i="75"/>
  <c r="E6" i="75"/>
  <c r="E5" i="75"/>
  <c r="E42" i="75" s="1"/>
  <c r="A5" i="75"/>
  <c r="A6" i="75" s="1"/>
  <c r="A7" i="75" s="1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5" i="75" s="1"/>
  <c r="A46" i="75" s="1"/>
  <c r="A47" i="75" s="1"/>
  <c r="A48" i="75" s="1"/>
  <c r="A49" i="75" s="1"/>
  <c r="A50" i="75" s="1"/>
  <c r="A54" i="75" s="1"/>
  <c r="A55" i="75" s="1"/>
  <c r="A59" i="75" s="1"/>
  <c r="A60" i="75" s="1"/>
  <c r="A61" i="75" s="1"/>
  <c r="A62" i="75" s="1"/>
  <c r="A63" i="75" s="1"/>
  <c r="A64" i="75" s="1"/>
  <c r="A65" i="75" s="1"/>
  <c r="A66" i="75" s="1"/>
  <c r="A4" i="75"/>
  <c r="E3" i="75"/>
  <c r="H24" i="61" l="1"/>
  <c r="G24" i="61"/>
  <c r="H24" i="63"/>
  <c r="G24" i="63"/>
  <c r="E43" i="75"/>
  <c r="E43" i="76"/>
  <c r="H75" i="76"/>
  <c r="E42" i="77"/>
  <c r="H73" i="75"/>
  <c r="E50" i="75" l="1"/>
  <c r="E48" i="75"/>
  <c r="E46" i="75"/>
  <c r="E49" i="75"/>
  <c r="E45" i="75"/>
  <c r="E52" i="75" s="1"/>
  <c r="E47" i="75"/>
  <c r="H78" i="75"/>
  <c r="E43" i="77"/>
  <c r="E49" i="76"/>
  <c r="E50" i="76"/>
  <c r="E48" i="76"/>
  <c r="E46" i="76"/>
  <c r="E45" i="76"/>
  <c r="E47" i="76"/>
  <c r="E55" i="75" l="1"/>
  <c r="E57" i="75" s="1"/>
  <c r="E54" i="75"/>
  <c r="E52" i="76"/>
  <c r="E50" i="77"/>
  <c r="E49" i="77"/>
  <c r="E47" i="77"/>
  <c r="E45" i="77"/>
  <c r="E48" i="77"/>
  <c r="E46" i="77"/>
  <c r="E65" i="75" l="1"/>
  <c r="E63" i="75"/>
  <c r="E61" i="75"/>
  <c r="E59" i="75"/>
  <c r="E64" i="75"/>
  <c r="E67" i="75"/>
  <c r="E60" i="75"/>
  <c r="E62" i="75"/>
  <c r="E55" i="76"/>
  <c r="E57" i="76" s="1"/>
  <c r="E54" i="76"/>
  <c r="E52" i="77"/>
  <c r="E64" i="76" l="1"/>
  <c r="E62" i="76"/>
  <c r="E60" i="76"/>
  <c r="E65" i="76"/>
  <c r="E63" i="76"/>
  <c r="E61" i="76"/>
  <c r="E59" i="76"/>
  <c r="E67" i="76" s="1"/>
  <c r="H72" i="76" s="1"/>
  <c r="H75" i="75"/>
  <c r="G69" i="75"/>
  <c r="E55" i="77"/>
  <c r="E54" i="77"/>
  <c r="E57" i="77" s="1"/>
  <c r="E65" i="77" l="1"/>
  <c r="E63" i="77"/>
  <c r="E67" i="77" s="1"/>
  <c r="G69" i="77" s="1"/>
  <c r="E61" i="77"/>
  <c r="E59" i="77"/>
  <c r="E64" i="77"/>
  <c r="E62" i="77"/>
  <c r="E60" i="77"/>
  <c r="H77" i="76"/>
  <c r="H78" i="76" s="1"/>
  <c r="H73" i="76"/>
  <c r="H80" i="75"/>
  <c r="H81" i="75" s="1"/>
  <c r="H76" i="75"/>
  <c r="F7" i="20" l="1"/>
  <c r="F8" i="20"/>
  <c r="F9" i="20"/>
  <c r="F15" i="20"/>
  <c r="D22" i="13"/>
  <c r="D23" i="13"/>
  <c r="D24" i="13"/>
  <c r="E3" i="68"/>
  <c r="E2" i="68"/>
  <c r="D6" i="68"/>
  <c r="E8" i="68" s="1"/>
  <c r="E9" i="68" l="1"/>
  <c r="E10" i="68"/>
  <c r="E11" i="68"/>
  <c r="E12" i="68" l="1"/>
  <c r="F21" i="20" l="1"/>
  <c r="I6" i="68"/>
  <c r="H6" i="68"/>
  <c r="G6" i="68"/>
  <c r="F6" i="68"/>
  <c r="E6" i="68"/>
  <c r="H8" i="68" l="1"/>
  <c r="H9" i="68"/>
  <c r="H10" i="68"/>
  <c r="H11" i="68"/>
  <c r="I8" i="68"/>
  <c r="I9" i="68"/>
  <c r="I10" i="68"/>
  <c r="I11" i="68"/>
  <c r="F8" i="68"/>
  <c r="F9" i="68"/>
  <c r="F10" i="68"/>
  <c r="F11" i="68"/>
  <c r="G8" i="68"/>
  <c r="G9" i="68"/>
  <c r="G10" i="68"/>
  <c r="G11" i="68"/>
  <c r="Q36" i="13" l="1"/>
  <c r="F12" i="68"/>
  <c r="I12" i="68"/>
  <c r="H12" i="68"/>
  <c r="H15" i="68" s="1"/>
  <c r="G12" i="68"/>
  <c r="F26" i="61"/>
  <c r="F15" i="68" l="1"/>
  <c r="G15" i="68"/>
  <c r="H76" i="1"/>
  <c r="F76" i="1"/>
  <c r="E76" i="1"/>
  <c r="D22" i="1" s="1"/>
  <c r="G76" i="1"/>
  <c r="C19" i="68"/>
  <c r="F16" i="68"/>
  <c r="G16" i="68"/>
  <c r="H16" i="68"/>
  <c r="E16" i="68"/>
  <c r="E17" i="68" s="1"/>
  <c r="D26" i="61" l="1"/>
  <c r="E22" i="20" l="1"/>
  <c r="E13" i="20"/>
  <c r="F13" i="20" s="1"/>
  <c r="E12" i="20"/>
  <c r="F12" i="20" s="1"/>
  <c r="E11" i="20"/>
  <c r="F11" i="20" s="1"/>
  <c r="E10" i="20"/>
  <c r="E18" i="20"/>
  <c r="F10" i="20" l="1"/>
  <c r="I28" i="48" l="1"/>
  <c r="G28" i="48"/>
  <c r="D11" i="1" l="1"/>
  <c r="D20" i="1" s="1"/>
  <c r="G17" i="68" l="1"/>
  <c r="F17" i="68"/>
  <c r="H17" i="68"/>
  <c r="D17" i="68" l="1"/>
  <c r="D21" i="13"/>
  <c r="E13" i="3"/>
  <c r="E36" i="20"/>
  <c r="E57" i="66"/>
  <c r="D57" i="66"/>
  <c r="C57" i="66"/>
  <c r="F56" i="66"/>
  <c r="H56" i="66" s="1"/>
  <c r="F55" i="66"/>
  <c r="H55" i="66" s="1"/>
  <c r="F54" i="66"/>
  <c r="H54" i="66" s="1"/>
  <c r="F53" i="66"/>
  <c r="H53" i="66" s="1"/>
  <c r="F52" i="66"/>
  <c r="H52" i="66" s="1"/>
  <c r="F51" i="66"/>
  <c r="H51" i="66" s="1"/>
  <c r="F50" i="66"/>
  <c r="L18" i="3"/>
  <c r="L17" i="3"/>
  <c r="L16" i="3"/>
  <c r="L15" i="3"/>
  <c r="L14" i="3"/>
  <c r="L12" i="3"/>
  <c r="L11" i="3"/>
  <c r="L6" i="3"/>
  <c r="J13" i="3"/>
  <c r="L10" i="13" l="1"/>
  <c r="L10" i="62" s="1"/>
  <c r="C20" i="68"/>
  <c r="F22" i="20"/>
  <c r="F57" i="66"/>
  <c r="I56" i="66"/>
  <c r="I52" i="66"/>
  <c r="I55" i="66"/>
  <c r="I51" i="66"/>
  <c r="I54" i="66"/>
  <c r="I50" i="66"/>
  <c r="I53" i="66"/>
  <c r="C17" i="1"/>
  <c r="C23" i="13" s="1"/>
  <c r="E23" i="13" s="1"/>
  <c r="C16" i="1"/>
  <c r="C22" i="13" s="1"/>
  <c r="E22" i="13" s="1"/>
  <c r="H50" i="66"/>
  <c r="L10" i="61" l="1"/>
  <c r="L10" i="63"/>
  <c r="H57" i="66"/>
  <c r="I57" i="66"/>
  <c r="E16" i="1"/>
  <c r="E23" i="20" l="1"/>
  <c r="G36" i="66"/>
  <c r="G35" i="66"/>
  <c r="G34" i="66"/>
  <c r="G33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15" i="66"/>
  <c r="G14" i="66"/>
  <c r="E46" i="66"/>
  <c r="D46" i="66"/>
  <c r="C46" i="66"/>
  <c r="F45" i="66"/>
  <c r="H45" i="66" s="1"/>
  <c r="F44" i="66"/>
  <c r="H44" i="66" s="1"/>
  <c r="F43" i="66"/>
  <c r="H43" i="66" s="1"/>
  <c r="F42" i="66"/>
  <c r="H42" i="66" s="1"/>
  <c r="F41" i="66"/>
  <c r="H41" i="66" s="1"/>
  <c r="F40" i="66"/>
  <c r="H40" i="66" s="1"/>
  <c r="F39" i="66"/>
  <c r="F46" i="66" l="1"/>
  <c r="H46" i="66" s="1"/>
  <c r="E44" i="20"/>
  <c r="H39" i="66"/>
  <c r="F20" i="20" l="1"/>
  <c r="F36" i="20"/>
  <c r="E52" i="20"/>
  <c r="E17" i="20"/>
  <c r="E24" i="20"/>
  <c r="E45" i="20"/>
  <c r="E14" i="20"/>
  <c r="E25" i="20" s="1"/>
  <c r="E43" i="20" l="1"/>
  <c r="D97" i="66" l="1"/>
  <c r="D96" i="66"/>
  <c r="D95" i="66"/>
  <c r="D94" i="66"/>
  <c r="D91" i="66"/>
  <c r="D92" i="66" s="1"/>
  <c r="D90" i="66"/>
  <c r="R62" i="66"/>
  <c r="Q62" i="66"/>
  <c r="V31" i="66"/>
  <c r="C19" i="13" l="1"/>
  <c r="C16" i="13"/>
  <c r="Q16" i="61"/>
  <c r="Q16" i="63"/>
  <c r="Q16" i="62"/>
  <c r="E38" i="20" l="1"/>
  <c r="C11" i="1" s="1"/>
  <c r="D21" i="62" l="1"/>
  <c r="D21" i="63" s="1"/>
  <c r="D21" i="61" s="1"/>
  <c r="U55" i="1"/>
  <c r="O55" i="1"/>
  <c r="I55" i="1"/>
  <c r="G12" i="48" l="1"/>
  <c r="H12" i="48"/>
  <c r="I12" i="48"/>
  <c r="J12" i="48"/>
  <c r="G13" i="48"/>
  <c r="H13" i="48"/>
  <c r="I13" i="48"/>
  <c r="J13" i="48"/>
  <c r="F12" i="48"/>
  <c r="F13" i="48"/>
  <c r="E12" i="48"/>
  <c r="E13" i="48"/>
  <c r="D13" i="48"/>
  <c r="C12" i="48"/>
  <c r="C13" i="48"/>
  <c r="I27" i="48"/>
  <c r="I26" i="48"/>
  <c r="J25" i="48"/>
  <c r="I25" i="48"/>
  <c r="J24" i="48"/>
  <c r="I24" i="48"/>
  <c r="J23" i="48"/>
  <c r="I23" i="48"/>
  <c r="H25" i="48"/>
  <c r="H24" i="48"/>
  <c r="H23" i="48"/>
  <c r="E27" i="48"/>
  <c r="E26" i="48"/>
  <c r="E25" i="48"/>
  <c r="E24" i="48"/>
  <c r="E23" i="48"/>
  <c r="F55" i="1" l="1"/>
  <c r="R55" i="1"/>
  <c r="C55" i="1"/>
  <c r="C16" i="62"/>
  <c r="C16" i="63" s="1"/>
  <c r="C16" i="61" s="1"/>
  <c r="C17" i="13"/>
  <c r="C17" i="62" s="1"/>
  <c r="C17" i="63" s="1"/>
  <c r="C17" i="61" s="1"/>
  <c r="C20" i="62"/>
  <c r="C25" i="13"/>
  <c r="C25" i="62" s="1"/>
  <c r="X55" i="1" l="1"/>
  <c r="Q31" i="61"/>
  <c r="B31" i="61"/>
  <c r="Q30" i="61"/>
  <c r="Q29" i="61"/>
  <c r="B29" i="61"/>
  <c r="Q28" i="61"/>
  <c r="B28" i="61"/>
  <c r="Q27" i="61"/>
  <c r="B27" i="61"/>
  <c r="B26" i="61"/>
  <c r="H17" i="61"/>
  <c r="B17" i="61"/>
  <c r="E16" i="61"/>
  <c r="D16" i="61"/>
  <c r="B15" i="61"/>
  <c r="B14" i="61"/>
  <c r="B13" i="61"/>
  <c r="B12" i="61"/>
  <c r="Q31" i="63"/>
  <c r="B31" i="63"/>
  <c r="Q30" i="63"/>
  <c r="Q29" i="63"/>
  <c r="B29" i="63"/>
  <c r="Q28" i="63"/>
  <c r="B28" i="63"/>
  <c r="Q27" i="63"/>
  <c r="B27" i="63"/>
  <c r="B26" i="63"/>
  <c r="H17" i="63"/>
  <c r="B17" i="63"/>
  <c r="E16" i="63"/>
  <c r="H16" i="63" s="1"/>
  <c r="D16" i="63"/>
  <c r="B15" i="63"/>
  <c r="B14" i="63"/>
  <c r="B13" i="63"/>
  <c r="B12" i="63"/>
  <c r="Q31" i="62"/>
  <c r="Q30" i="62"/>
  <c r="Q29" i="62"/>
  <c r="Q28" i="62"/>
  <c r="Q27" i="62"/>
  <c r="Q31" i="13"/>
  <c r="Q30" i="13"/>
  <c r="G26" i="48" s="1"/>
  <c r="Q29" i="13"/>
  <c r="G25" i="48" s="1"/>
  <c r="Q28" i="13"/>
  <c r="Q27" i="13"/>
  <c r="Q16" i="13"/>
  <c r="B31" i="62"/>
  <c r="B29" i="62"/>
  <c r="B28" i="62"/>
  <c r="B27" i="62"/>
  <c r="B26" i="62"/>
  <c r="H17" i="62"/>
  <c r="B17" i="62"/>
  <c r="E16" i="62"/>
  <c r="D16" i="62"/>
  <c r="B15" i="62"/>
  <c r="B14" i="62"/>
  <c r="B13" i="62"/>
  <c r="B12" i="62"/>
  <c r="D16" i="13"/>
  <c r="G23" i="48" l="1"/>
  <c r="F23" i="48"/>
  <c r="F25" i="48"/>
  <c r="G27" i="48"/>
  <c r="G24" i="48"/>
  <c r="F24" i="48"/>
  <c r="H19" i="61"/>
  <c r="L55" i="1"/>
  <c r="H16" i="61"/>
  <c r="H16" i="62"/>
  <c r="H19" i="62" l="1"/>
  <c r="H19" i="63"/>
  <c r="D4" i="52" l="1"/>
  <c r="E4" i="52" s="1"/>
  <c r="F4" i="52" s="1"/>
  <c r="G4" i="52" s="1"/>
  <c r="H4" i="52" s="1"/>
  <c r="D49" i="20"/>
  <c r="D44" i="20"/>
  <c r="D38" i="20"/>
  <c r="D52" i="20"/>
  <c r="D8" i="3" s="1"/>
  <c r="D51" i="20"/>
  <c r="F8" i="3" s="1"/>
  <c r="D32" i="20"/>
  <c r="H19" i="3" s="1"/>
  <c r="L19" i="3" s="1"/>
  <c r="D45" i="20"/>
  <c r="H9" i="3" s="1"/>
  <c r="D50" i="20"/>
  <c r="D42" i="20"/>
  <c r="D48" i="20"/>
  <c r="E7" i="3" s="1"/>
  <c r="L7" i="3" s="1"/>
  <c r="D28" i="20"/>
  <c r="E30" i="20"/>
  <c r="C23" i="62" s="1"/>
  <c r="C23" i="63" s="1"/>
  <c r="C23" i="61" s="1"/>
  <c r="E49" i="20"/>
  <c r="U42" i="20"/>
  <c r="U33" i="20"/>
  <c r="B38" i="20"/>
  <c r="C22" i="1"/>
  <c r="B15" i="1"/>
  <c r="H17" i="13"/>
  <c r="B12" i="13"/>
  <c r="B13" i="13"/>
  <c r="B14" i="13"/>
  <c r="B15" i="13"/>
  <c r="E16" i="13"/>
  <c r="B17" i="13"/>
  <c r="B26" i="13"/>
  <c r="B27" i="13"/>
  <c r="B28" i="13"/>
  <c r="B29" i="13"/>
  <c r="B31" i="13"/>
  <c r="L5" i="3"/>
  <c r="B6" i="3"/>
  <c r="B7" i="3"/>
  <c r="B8" i="3"/>
  <c r="B9" i="3"/>
  <c r="B10" i="3"/>
  <c r="B13" i="3"/>
  <c r="B15" i="3"/>
  <c r="B16" i="3"/>
  <c r="B17" i="3"/>
  <c r="B18" i="3"/>
  <c r="B19" i="3"/>
  <c r="B21" i="3"/>
  <c r="L21" i="3"/>
  <c r="D23" i="48"/>
  <c r="D24" i="48"/>
  <c r="D25" i="48"/>
  <c r="B28" i="20"/>
  <c r="B30" i="20"/>
  <c r="B41" i="20"/>
  <c r="B42" i="20"/>
  <c r="B45" i="20"/>
  <c r="B48" i="20"/>
  <c r="B50" i="20"/>
  <c r="B51" i="20"/>
  <c r="B52" i="20"/>
  <c r="E51" i="20"/>
  <c r="C26" i="13" l="1"/>
  <c r="C26" i="62" s="1"/>
  <c r="C26" i="63" s="1"/>
  <c r="C26" i="61" s="1"/>
  <c r="D26" i="62"/>
  <c r="D26" i="13"/>
  <c r="D26" i="63"/>
  <c r="A21" i="63"/>
  <c r="A21" i="61"/>
  <c r="A21" i="62"/>
  <c r="A21" i="13"/>
  <c r="F19" i="20"/>
  <c r="F45" i="20"/>
  <c r="F16" i="20"/>
  <c r="F17" i="20"/>
  <c r="F52" i="20"/>
  <c r="D18" i="1"/>
  <c r="E32" i="20"/>
  <c r="D6" i="1"/>
  <c r="D5" i="1"/>
  <c r="F51" i="20"/>
  <c r="C6" i="1"/>
  <c r="C13" i="13" s="1"/>
  <c r="C13" i="62" s="1"/>
  <c r="C13" i="63" s="1"/>
  <c r="C13" i="61" s="1"/>
  <c r="E13" i="61" s="1"/>
  <c r="F13" i="61" s="1"/>
  <c r="D13" i="3"/>
  <c r="L13" i="3" s="1"/>
  <c r="F38" i="20"/>
  <c r="C18" i="13"/>
  <c r="C18" i="62" s="1"/>
  <c r="C18" i="63" s="1"/>
  <c r="C18" i="61" s="1"/>
  <c r="D7" i="1"/>
  <c r="G9" i="3"/>
  <c r="L9" i="3" s="1"/>
  <c r="F49" i="20"/>
  <c r="F18" i="20"/>
  <c r="F24" i="20"/>
  <c r="G8" i="3"/>
  <c r="L8" i="3" s="1"/>
  <c r="H16" i="13"/>
  <c r="D30" i="20"/>
  <c r="F16" i="13" l="1"/>
  <c r="I17" i="13"/>
  <c r="E22" i="1"/>
  <c r="I16" i="13"/>
  <c r="D18" i="13"/>
  <c r="D18" i="61"/>
  <c r="E18" i="61" s="1"/>
  <c r="D18" i="62"/>
  <c r="D18" i="63"/>
  <c r="D12" i="63"/>
  <c r="D12" i="62"/>
  <c r="D12" i="13"/>
  <c r="D12" i="61"/>
  <c r="D13" i="61"/>
  <c r="D13" i="62"/>
  <c r="D13" i="63"/>
  <c r="D13" i="13"/>
  <c r="D14" i="62"/>
  <c r="D14" i="63"/>
  <c r="D14" i="61"/>
  <c r="D14" i="13"/>
  <c r="C25" i="48"/>
  <c r="G16" i="13"/>
  <c r="I17" i="61"/>
  <c r="I16" i="61"/>
  <c r="I19" i="61"/>
  <c r="F17" i="62"/>
  <c r="F19" i="62"/>
  <c r="F16" i="62"/>
  <c r="I17" i="63"/>
  <c r="I19" i="63"/>
  <c r="I16" i="63"/>
  <c r="G17" i="13"/>
  <c r="F17" i="13"/>
  <c r="F16" i="61"/>
  <c r="F17" i="61"/>
  <c r="F19" i="61"/>
  <c r="G17" i="63"/>
  <c r="G16" i="63"/>
  <c r="G19" i="63"/>
  <c r="G17" i="62"/>
  <c r="G19" i="62"/>
  <c r="G16" i="62"/>
  <c r="F19" i="63"/>
  <c r="F17" i="63"/>
  <c r="F16" i="63"/>
  <c r="G17" i="61"/>
  <c r="G16" i="61"/>
  <c r="G19" i="61"/>
  <c r="I17" i="62"/>
  <c r="I19" i="62"/>
  <c r="I16" i="62"/>
  <c r="E6" i="1"/>
  <c r="F50" i="20"/>
  <c r="E11" i="1"/>
  <c r="F32" i="20"/>
  <c r="C18" i="1"/>
  <c r="F44" i="20"/>
  <c r="F23" i="20"/>
  <c r="C5" i="1"/>
  <c r="F48" i="20"/>
  <c r="D17" i="1"/>
  <c r="G18" i="61" l="1"/>
  <c r="F18" i="61"/>
  <c r="C24" i="13"/>
  <c r="E24" i="13" s="1"/>
  <c r="H24" i="13" s="1"/>
  <c r="C12" i="13"/>
  <c r="C12" i="62" s="1"/>
  <c r="C12" i="63" s="1"/>
  <c r="C12" i="61" s="1"/>
  <c r="E12" i="61" s="1"/>
  <c r="C22" i="62"/>
  <c r="F42" i="20"/>
  <c r="E26" i="61"/>
  <c r="E26" i="63"/>
  <c r="E26" i="62"/>
  <c r="E26" i="13"/>
  <c r="E18" i="62"/>
  <c r="H18" i="62" s="1"/>
  <c r="D12" i="48"/>
  <c r="H18" i="61"/>
  <c r="E18" i="63"/>
  <c r="H18" i="63" s="1"/>
  <c r="K28" i="63"/>
  <c r="K29" i="63"/>
  <c r="E13" i="63"/>
  <c r="H13" i="63" s="1"/>
  <c r="C23" i="48"/>
  <c r="E18" i="13"/>
  <c r="I18" i="13" s="1"/>
  <c r="K30" i="61"/>
  <c r="K27" i="63"/>
  <c r="C26" i="48"/>
  <c r="E13" i="62"/>
  <c r="E13" i="13"/>
  <c r="G13" i="13" s="1"/>
  <c r="E18" i="1"/>
  <c r="C24" i="48"/>
  <c r="K19" i="61"/>
  <c r="K27" i="61"/>
  <c r="K19" i="63"/>
  <c r="K31" i="61"/>
  <c r="C35" i="48"/>
  <c r="K19" i="62"/>
  <c r="K28" i="61"/>
  <c r="K30" i="63"/>
  <c r="K31" i="63"/>
  <c r="K29" i="61"/>
  <c r="C27" i="48"/>
  <c r="E5" i="1"/>
  <c r="C8" i="1"/>
  <c r="C15" i="13" s="1"/>
  <c r="C15" i="62" s="1"/>
  <c r="C15" i="63" s="1"/>
  <c r="C15" i="61" s="1"/>
  <c r="E15" i="61" s="1"/>
  <c r="F15" i="61" s="1"/>
  <c r="C7" i="1"/>
  <c r="E17" i="1"/>
  <c r="C22" i="63" l="1"/>
  <c r="E22" i="62"/>
  <c r="C24" i="62"/>
  <c r="C24" i="63" s="1"/>
  <c r="C24" i="61" s="1"/>
  <c r="E12" i="13"/>
  <c r="H12" i="13" s="1"/>
  <c r="E12" i="62"/>
  <c r="G12" i="62" s="1"/>
  <c r="E12" i="63"/>
  <c r="H12" i="63" s="1"/>
  <c r="H22" i="62"/>
  <c r="C14" i="13"/>
  <c r="C14" i="62" s="1"/>
  <c r="C14" i="63" s="1"/>
  <c r="C14" i="61" s="1"/>
  <c r="E14" i="61" s="1"/>
  <c r="C37" i="48"/>
  <c r="C36" i="48"/>
  <c r="C34" i="48"/>
  <c r="M19" i="62"/>
  <c r="E15" i="48"/>
  <c r="M19" i="61"/>
  <c r="I15" i="48"/>
  <c r="M19" i="63"/>
  <c r="G15" i="48"/>
  <c r="F18" i="62"/>
  <c r="H26" i="61"/>
  <c r="I26" i="61"/>
  <c r="G26" i="61"/>
  <c r="H26" i="63"/>
  <c r="F26" i="63"/>
  <c r="G26" i="63"/>
  <c r="I26" i="63"/>
  <c r="H26" i="62"/>
  <c r="I26" i="62"/>
  <c r="F26" i="62"/>
  <c r="G26" i="62"/>
  <c r="G18" i="62"/>
  <c r="I26" i="13"/>
  <c r="H26" i="13"/>
  <c r="G26" i="13"/>
  <c r="F26" i="13"/>
  <c r="I18" i="62"/>
  <c r="G18" i="63"/>
  <c r="F13" i="63"/>
  <c r="I18" i="61"/>
  <c r="F18" i="63"/>
  <c r="I18" i="63"/>
  <c r="G13" i="63"/>
  <c r="I13" i="63"/>
  <c r="F13" i="13"/>
  <c r="I13" i="13"/>
  <c r="H13" i="13"/>
  <c r="C32" i="48"/>
  <c r="H24" i="62"/>
  <c r="G24" i="62"/>
  <c r="I24" i="62"/>
  <c r="F24" i="62"/>
  <c r="H23" i="62"/>
  <c r="I23" i="62"/>
  <c r="G23" i="62"/>
  <c r="F23" i="62"/>
  <c r="H13" i="62"/>
  <c r="F13" i="62"/>
  <c r="G13" i="62"/>
  <c r="I13" i="62"/>
  <c r="I12" i="62"/>
  <c r="F12" i="62"/>
  <c r="E7" i="1"/>
  <c r="H13" i="61"/>
  <c r="I13" i="61"/>
  <c r="G13" i="61"/>
  <c r="H12" i="61"/>
  <c r="F12" i="61"/>
  <c r="G12" i="61"/>
  <c r="I12" i="61"/>
  <c r="C33" i="48"/>
  <c r="H18" i="13"/>
  <c r="I24" i="13"/>
  <c r="C15" i="48"/>
  <c r="F24" i="13"/>
  <c r="I23" i="13"/>
  <c r="F22" i="13"/>
  <c r="H22" i="13"/>
  <c r="G22" i="13"/>
  <c r="I22" i="13"/>
  <c r="G24" i="13"/>
  <c r="F18" i="13"/>
  <c r="G18" i="13"/>
  <c r="G12" i="13"/>
  <c r="C22" i="61" l="1"/>
  <c r="E22" i="61" s="1"/>
  <c r="E22" i="63"/>
  <c r="G12" i="63"/>
  <c r="H12" i="62"/>
  <c r="F12" i="63"/>
  <c r="I12" i="63"/>
  <c r="I12" i="13"/>
  <c r="F12" i="13"/>
  <c r="K12" i="13" s="1"/>
  <c r="F22" i="62"/>
  <c r="G22" i="62"/>
  <c r="I22" i="62"/>
  <c r="E14" i="13"/>
  <c r="H14" i="13" s="1"/>
  <c r="E14" i="62"/>
  <c r="I14" i="62" s="1"/>
  <c r="E14" i="63"/>
  <c r="G14" i="63" s="1"/>
  <c r="H15" i="48"/>
  <c r="Q19" i="63"/>
  <c r="J15" i="48"/>
  <c r="Q19" i="61"/>
  <c r="F15" i="48"/>
  <c r="Q19" i="62"/>
  <c r="K18" i="62"/>
  <c r="K26" i="61"/>
  <c r="K26" i="13"/>
  <c r="K26" i="62"/>
  <c r="K26" i="63"/>
  <c r="K18" i="61"/>
  <c r="K18" i="63"/>
  <c r="K13" i="13"/>
  <c r="C9" i="48" s="1"/>
  <c r="K12" i="61"/>
  <c r="K13" i="63"/>
  <c r="K12" i="63"/>
  <c r="K13" i="61"/>
  <c r="K24" i="62"/>
  <c r="K24" i="63"/>
  <c r="K23" i="61"/>
  <c r="H14" i="61"/>
  <c r="G14" i="61"/>
  <c r="I14" i="61"/>
  <c r="F14" i="61"/>
  <c r="K23" i="63"/>
  <c r="K13" i="62"/>
  <c r="K23" i="62"/>
  <c r="K24" i="61"/>
  <c r="K12" i="62"/>
  <c r="K18" i="13"/>
  <c r="K24" i="13"/>
  <c r="C20" i="48" s="1"/>
  <c r="K22" i="13"/>
  <c r="C18" i="48" s="1"/>
  <c r="D15" i="48"/>
  <c r="F23" i="13"/>
  <c r="H23" i="13"/>
  <c r="G23" i="13"/>
  <c r="H22" i="63" l="1"/>
  <c r="I22" i="63"/>
  <c r="G22" i="63"/>
  <c r="K22" i="63" s="1"/>
  <c r="M22" i="63" s="1"/>
  <c r="F22" i="63"/>
  <c r="F22" i="61"/>
  <c r="I22" i="61"/>
  <c r="G22" i="61"/>
  <c r="K22" i="61" s="1"/>
  <c r="M22" i="61" s="1"/>
  <c r="H22" i="61"/>
  <c r="K22" i="62"/>
  <c r="E18" i="48" s="1"/>
  <c r="I14" i="63"/>
  <c r="H14" i="62"/>
  <c r="F14" i="62"/>
  <c r="H14" i="63"/>
  <c r="F14" i="63"/>
  <c r="G14" i="62"/>
  <c r="G14" i="13"/>
  <c r="F14" i="13"/>
  <c r="I14" i="13"/>
  <c r="M26" i="61"/>
  <c r="I22" i="48"/>
  <c r="M26" i="63"/>
  <c r="G22" i="48"/>
  <c r="M26" i="62"/>
  <c r="E22" i="48"/>
  <c r="M13" i="61"/>
  <c r="I9" i="48"/>
  <c r="M23" i="62"/>
  <c r="E19" i="48"/>
  <c r="M24" i="63"/>
  <c r="G20" i="48"/>
  <c r="M24" i="61"/>
  <c r="I20" i="48"/>
  <c r="M23" i="61"/>
  <c r="I19" i="48"/>
  <c r="M18" i="61"/>
  <c r="I14" i="48"/>
  <c r="I18" i="48"/>
  <c r="M18" i="63"/>
  <c r="G14" i="48"/>
  <c r="M12" i="62"/>
  <c r="E8" i="48"/>
  <c r="M12" i="63"/>
  <c r="G8" i="48"/>
  <c r="M18" i="62"/>
  <c r="E14" i="48"/>
  <c r="C14" i="48"/>
  <c r="M23" i="63"/>
  <c r="G19" i="48"/>
  <c r="M13" i="63"/>
  <c r="G9" i="48"/>
  <c r="M12" i="61"/>
  <c r="I8" i="48"/>
  <c r="M13" i="62"/>
  <c r="E9" i="48"/>
  <c r="M24" i="62"/>
  <c r="E20" i="48"/>
  <c r="C22" i="48"/>
  <c r="K14" i="61"/>
  <c r="K23" i="13"/>
  <c r="C19" i="48" s="1"/>
  <c r="C8" i="48"/>
  <c r="M22" i="62" l="1"/>
  <c r="F18" i="48" s="1"/>
  <c r="G18" i="48"/>
  <c r="K14" i="62"/>
  <c r="M14" i="62" s="1"/>
  <c r="K14" i="63"/>
  <c r="G10" i="48" s="1"/>
  <c r="K14" i="13"/>
  <c r="C10" i="48" s="1"/>
  <c r="F20" i="48"/>
  <c r="Q24" i="62"/>
  <c r="Q24" i="61"/>
  <c r="Q24" i="63"/>
  <c r="F19" i="48"/>
  <c r="Q23" i="62"/>
  <c r="H19" i="48"/>
  <c r="Q23" i="63"/>
  <c r="J19" i="48"/>
  <c r="Q23" i="61"/>
  <c r="J18" i="48"/>
  <c r="Q22" i="61"/>
  <c r="H18" i="48"/>
  <c r="Q22" i="63"/>
  <c r="Q18" i="61"/>
  <c r="H14" i="48"/>
  <c r="Q18" i="63"/>
  <c r="F14" i="48"/>
  <c r="Q18" i="62"/>
  <c r="H9" i="48"/>
  <c r="Q13" i="63"/>
  <c r="F9" i="48"/>
  <c r="Q13" i="62"/>
  <c r="J9" i="48"/>
  <c r="Q13" i="61"/>
  <c r="J8" i="48"/>
  <c r="Q12" i="61"/>
  <c r="H8" i="48"/>
  <c r="Q12" i="63"/>
  <c r="F8" i="48"/>
  <c r="Q12" i="62"/>
  <c r="J22" i="48"/>
  <c r="Q26" i="61"/>
  <c r="H22" i="48"/>
  <c r="Q26" i="63"/>
  <c r="F22" i="48"/>
  <c r="Q26" i="62"/>
  <c r="J14" i="48"/>
  <c r="H20" i="48"/>
  <c r="J20" i="48"/>
  <c r="M14" i="61"/>
  <c r="I10" i="48"/>
  <c r="Q36" i="63" l="1"/>
  <c r="Q38" i="61"/>
  <c r="Q22" i="62"/>
  <c r="M14" i="63"/>
  <c r="Q14" i="63" s="1"/>
  <c r="E10" i="48"/>
  <c r="F10" i="48"/>
  <c r="Q14" i="62"/>
  <c r="Q14" i="61"/>
  <c r="J10" i="48"/>
  <c r="H10" i="48" l="1"/>
  <c r="M18" i="13" l="1"/>
  <c r="D14" i="48" s="1"/>
  <c r="M22" i="13"/>
  <c r="Q22" i="13" s="1"/>
  <c r="M14" i="13"/>
  <c r="D10" i="48" s="1"/>
  <c r="M23" i="13"/>
  <c r="Q23" i="13" s="1"/>
  <c r="M24" i="13"/>
  <c r="D20" i="48" s="1"/>
  <c r="M26" i="13"/>
  <c r="D22" i="48" s="1"/>
  <c r="M13" i="13"/>
  <c r="Q13" i="13" s="1"/>
  <c r="M12" i="13"/>
  <c r="D8" i="48" s="1"/>
  <c r="Q26" i="13" l="1"/>
  <c r="Q24" i="13"/>
  <c r="D9" i="48"/>
  <c r="D19" i="48"/>
  <c r="D18" i="48"/>
  <c r="Q12" i="13"/>
  <c r="Q14" i="13"/>
  <c r="Q18" i="13"/>
  <c r="D41" i="20" l="1"/>
  <c r="F41" i="20" s="1"/>
  <c r="D8" i="1"/>
  <c r="E8" i="1" l="1"/>
  <c r="D15" i="61"/>
  <c r="E10" i="3"/>
  <c r="L10" i="3" s="1"/>
  <c r="M15" i="3" s="1"/>
  <c r="D15" i="13"/>
  <c r="E15" i="13" s="1"/>
  <c r="D15" i="63"/>
  <c r="E15" i="63" s="1"/>
  <c r="D15" i="62"/>
  <c r="E15" i="62" s="1"/>
  <c r="G15" i="61" l="1"/>
  <c r="I15" i="61"/>
  <c r="H15" i="61"/>
  <c r="G15" i="13"/>
  <c r="I15" i="13"/>
  <c r="H15" i="13"/>
  <c r="F15" i="13"/>
  <c r="G15" i="62"/>
  <c r="F15" i="62"/>
  <c r="I15" i="62"/>
  <c r="H15" i="62"/>
  <c r="G15" i="63"/>
  <c r="I15" i="63"/>
  <c r="H15" i="63"/>
  <c r="F15" i="63"/>
  <c r="K15" i="63" l="1"/>
  <c r="K15" i="13"/>
  <c r="K15" i="61"/>
  <c r="K15" i="62"/>
  <c r="M15" i="63" l="1"/>
  <c r="G11" i="48"/>
  <c r="E11" i="48"/>
  <c r="M15" i="62"/>
  <c r="I11" i="48"/>
  <c r="M15" i="61"/>
  <c r="M15" i="13"/>
  <c r="C11" i="48"/>
  <c r="Q15" i="13" l="1"/>
  <c r="D11" i="48"/>
  <c r="F11" i="48"/>
  <c r="Q15" i="62"/>
  <c r="J11" i="48"/>
  <c r="Q15" i="61"/>
  <c r="H11" i="48"/>
  <c r="Q15" i="63"/>
  <c r="E28" i="20" l="1"/>
  <c r="F28" i="20" s="1"/>
  <c r="F25" i="20"/>
  <c r="C15" i="1" l="1"/>
  <c r="C20" i="1" s="1"/>
  <c r="E53" i="20"/>
  <c r="C28" i="1" l="1"/>
  <c r="C21" i="13"/>
  <c r="E15" i="1"/>
  <c r="E20" i="1" s="1"/>
  <c r="C21" i="62" l="1"/>
  <c r="E21" i="13"/>
  <c r="E21" i="62" l="1"/>
  <c r="C21" i="63"/>
  <c r="G21" i="13"/>
  <c r="F21" i="13"/>
  <c r="H21" i="13"/>
  <c r="I21" i="13"/>
  <c r="I21" i="62" l="1"/>
  <c r="F21" i="62"/>
  <c r="G21" i="62"/>
  <c r="H21" i="62"/>
  <c r="K21" i="13"/>
  <c r="E21" i="63"/>
  <c r="C21" i="61"/>
  <c r="E21" i="61" s="1"/>
  <c r="F21" i="61" l="1"/>
  <c r="G21" i="61"/>
  <c r="C17" i="48"/>
  <c r="M21" i="13"/>
  <c r="K21" i="62"/>
  <c r="I21" i="61"/>
  <c r="H21" i="61"/>
  <c r="G21" i="63"/>
  <c r="F21" i="63"/>
  <c r="I21" i="63"/>
  <c r="H21" i="63"/>
  <c r="K21" i="61" l="1"/>
  <c r="M21" i="61" s="1"/>
  <c r="K21" i="63"/>
  <c r="M21" i="62"/>
  <c r="E17" i="48"/>
  <c r="D17" i="48"/>
  <c r="Q21" i="13"/>
  <c r="Q37" i="13" l="1"/>
  <c r="Q34" i="13"/>
  <c r="I17" i="48"/>
  <c r="F17" i="48"/>
  <c r="Q21" i="62"/>
  <c r="Q34" i="62" s="1"/>
  <c r="Q37" i="62" s="1"/>
  <c r="G17" i="48"/>
  <c r="M21" i="63"/>
  <c r="Q21" i="61"/>
  <c r="Q34" i="61" s="1"/>
  <c r="Q39" i="61" s="1"/>
  <c r="J17" i="48"/>
  <c r="H17" i="48" l="1"/>
  <c r="Q21" i="63"/>
  <c r="Q34" i="63" s="1"/>
  <c r="Q38" i="63" s="1"/>
  <c r="Q5" i="13" l="1"/>
</calcChain>
</file>

<file path=xl/comments1.xml><?xml version="1.0" encoding="utf-8"?>
<comments xmlns="http://schemas.openxmlformats.org/spreadsheetml/2006/main">
  <authors>
    <author>Nicolas Stern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Fuente: Modelo IMP Consulta Pública ASEP</t>
        </r>
      </text>
    </comment>
  </commentList>
</comments>
</file>

<file path=xl/sharedStrings.xml><?xml version="1.0" encoding="utf-8"?>
<sst xmlns="http://schemas.openxmlformats.org/spreadsheetml/2006/main" count="1693" uniqueCount="662">
  <si>
    <t>EQUIPAMIENTO</t>
  </si>
  <si>
    <t>VNR TOTAL</t>
  </si>
  <si>
    <t>MVA</t>
  </si>
  <si>
    <t>Salidas de Conexión</t>
  </si>
  <si>
    <t>Transformadores</t>
  </si>
  <si>
    <t>CXTR Reductor 42/56/70 MVA</t>
  </si>
  <si>
    <t>CXTR Reductor 30/40/50 MVA</t>
  </si>
  <si>
    <t>CXTR Reductor 20/24 MVA</t>
  </si>
  <si>
    <t>Líneas</t>
  </si>
  <si>
    <t>Unidad</t>
  </si>
  <si>
    <t>km</t>
  </si>
  <si>
    <t xml:space="preserve"> </t>
  </si>
  <si>
    <t>TOTAL</t>
  </si>
  <si>
    <t>EMPRESA DE TRANSMISION ELECTRICA, S.A.</t>
  </si>
  <si>
    <t>CARGOS POR CONEXIÓN :  DATOS BASICOS</t>
  </si>
  <si>
    <t>PARAMETROS DE EFICIENCIA</t>
  </si>
  <si>
    <t>PARAMETRO</t>
  </si>
  <si>
    <t>UNIDAD</t>
  </si>
  <si>
    <t>OMT</t>
  </si>
  <si>
    <t>%</t>
  </si>
  <si>
    <t>ADMT</t>
  </si>
  <si>
    <t>RRT</t>
  </si>
  <si>
    <t>DEP</t>
  </si>
  <si>
    <t xml:space="preserve">CARGOS POR CONEXIÓN </t>
  </si>
  <si>
    <t>TIPO DE ACTIVO</t>
  </si>
  <si>
    <t>CX cxj, por equipamiento típico de conexión</t>
  </si>
  <si>
    <t>(1) Todas las líneas de 115 kV Circuito sencillo son de conductor 636 ACSR.</t>
  </si>
  <si>
    <t>(1)</t>
  </si>
  <si>
    <t>(2)</t>
  </si>
  <si>
    <t>(3)</t>
  </si>
  <si>
    <t>(5)</t>
  </si>
  <si>
    <t>Número de instalaciones</t>
  </si>
  <si>
    <t>DETALLE</t>
  </si>
  <si>
    <t>CHORRERA</t>
  </si>
  <si>
    <t>LLANO SANCHEZ</t>
  </si>
  <si>
    <t>MATA DE NANCE</t>
  </si>
  <si>
    <t>PROGRESO</t>
  </si>
  <si>
    <t xml:space="preserve">CHARCO AZUL </t>
  </si>
  <si>
    <t>TOTALES</t>
  </si>
  <si>
    <t>salida</t>
  </si>
  <si>
    <t>Caldera - La Estrella</t>
  </si>
  <si>
    <t>Caldera - Los Valles</t>
  </si>
  <si>
    <t>Caldera - Pja.Sombrero</t>
  </si>
  <si>
    <t>Progreso - Charco Azul</t>
  </si>
  <si>
    <t>VNR</t>
  </si>
  <si>
    <t>Costo Total</t>
  </si>
  <si>
    <t>Costo por Unidad</t>
  </si>
  <si>
    <t>Llano Sánchez 115</t>
  </si>
  <si>
    <t>Llano Sánchez  34.5</t>
  </si>
  <si>
    <t>Progreso 115</t>
  </si>
  <si>
    <t>Progreso 34.5</t>
  </si>
  <si>
    <t>Charco Azul 115</t>
  </si>
  <si>
    <t>Charco Azul Transformador</t>
  </si>
  <si>
    <t>Mata de Nance 34.5</t>
  </si>
  <si>
    <t>Chorrera 34.5</t>
  </si>
  <si>
    <t>Chorrera 230</t>
  </si>
  <si>
    <t>Para trasformadores</t>
  </si>
  <si>
    <t>Costo por MVA</t>
  </si>
  <si>
    <t>Para Patios de 230</t>
  </si>
  <si>
    <t>Salida</t>
  </si>
  <si>
    <t>Costo por Salida</t>
  </si>
  <si>
    <t>Esquema</t>
  </si>
  <si>
    <t>Para Patios de 115</t>
  </si>
  <si>
    <t>Barra Sencilla</t>
  </si>
  <si>
    <t xml:space="preserve">Barra Sencilla </t>
  </si>
  <si>
    <t>Para Patios de 34.5</t>
  </si>
  <si>
    <t>IP 1/2 con 5 IP</t>
  </si>
  <si>
    <t>Observación</t>
  </si>
  <si>
    <t>Miles B/./Salida</t>
  </si>
  <si>
    <t>Cada salida utiliza 1 IP</t>
  </si>
  <si>
    <t>Cantidad</t>
  </si>
  <si>
    <t>VNR UNITARIO PROMEDIO Miles B/.</t>
  </si>
  <si>
    <t>ACTIVOS INCORPORADOS PARCIALMENTE</t>
  </si>
  <si>
    <t>(Miles de Balboas)</t>
  </si>
  <si>
    <t>FA =</t>
  </si>
  <si>
    <t xml:space="preserve">VNR DE PATIOS DE CONEXIÓN, POR NIVEL DE VOLTAJE Y CAPACIDAD DE TRANSMFORMACIÓN </t>
  </si>
  <si>
    <t>RRTef cxj</t>
  </si>
  <si>
    <t>QUE SE INCORPORAN</t>
  </si>
  <si>
    <t>1) PARA INSTALACIONES QUE SE INCORPORAN</t>
  </si>
  <si>
    <t>2) PARA INSTALACIONES CONSIDERADAS EN LOS CÁLCULOS TARIFARIOS</t>
  </si>
  <si>
    <t>(Balboas)</t>
  </si>
  <si>
    <t>Transformador</t>
  </si>
  <si>
    <t>salidas</t>
  </si>
  <si>
    <t>EQUIPO</t>
  </si>
  <si>
    <t xml:space="preserve">TOTAL: VNR </t>
  </si>
  <si>
    <t>VNR UNITARIO PROMEDIO</t>
  </si>
  <si>
    <t>CXS34.5 Barra Sencilla</t>
  </si>
  <si>
    <t>CXS34.5 Interruptor y Medio</t>
  </si>
  <si>
    <t>CXS115 Barra Sencilla</t>
  </si>
  <si>
    <t>CXS115 Interruptor y Medio</t>
  </si>
  <si>
    <t>CXS230 Interruptor y Medio</t>
  </si>
  <si>
    <t>CXL 115 KV Circuito Sencillo</t>
  </si>
  <si>
    <t>CXL 115 KV Doble Circuito</t>
  </si>
  <si>
    <t>CXL 230 KV Circuito Sencillo 750 ACAR</t>
  </si>
  <si>
    <t>CARGOS POR CONEXIÓN</t>
  </si>
  <si>
    <t>EMPRESA DE TRANSMISIÓN ELÉCTRICA, S.A.</t>
  </si>
  <si>
    <t>CARGOS DE CONEXIÓN</t>
  </si>
  <si>
    <t>Miles B/./MVA</t>
  </si>
  <si>
    <t>CXS115 Interruptor y 1/2 con 1IP</t>
  </si>
  <si>
    <t>CXS230 Barras Sencillas</t>
  </si>
  <si>
    <t>CXL 230 KV Doble Circuito 750 ACAR</t>
  </si>
  <si>
    <t>CXL 230 KV Doble Circuito 1200 ACAR</t>
  </si>
  <si>
    <t>Changuinola 34.5</t>
  </si>
  <si>
    <t>Barra sencilla con 2 IP</t>
  </si>
  <si>
    <t>Changuinola</t>
  </si>
  <si>
    <t>CXTR Reductor 60/80/100 MVA</t>
  </si>
  <si>
    <t>Considera las incorporaciones parciales</t>
  </si>
  <si>
    <t>INCORPORACION PARCIAL</t>
  </si>
  <si>
    <t>Incorporaciones del periodo</t>
  </si>
  <si>
    <t>115 - 17</t>
  </si>
  <si>
    <t>115 - 18</t>
  </si>
  <si>
    <t>Caldera - Paja de Sombrero</t>
  </si>
  <si>
    <t>115 - 19</t>
  </si>
  <si>
    <t>115 - 25</t>
  </si>
  <si>
    <t>Lineas</t>
  </si>
  <si>
    <t>N° del Circuito</t>
  </si>
  <si>
    <t>Longitud (km)</t>
  </si>
  <si>
    <t>N° Total de Torres</t>
  </si>
  <si>
    <t>Costo por kM</t>
  </si>
  <si>
    <t>Miles B/.Salida</t>
  </si>
  <si>
    <t>1 IP - 230  KV</t>
  </si>
  <si>
    <t>2 IP - 230   KV</t>
  </si>
  <si>
    <t>1 IP - 115  KV</t>
  </si>
  <si>
    <t>2 IP - 115  KV</t>
  </si>
  <si>
    <t>1 IP - 34.5  KV</t>
  </si>
  <si>
    <t>2 IP - 34.5  KV</t>
  </si>
  <si>
    <t>PARA INSTALACIONES DE EXPANSIÓN CONDICIONADAS</t>
  </si>
  <si>
    <t>Salida de conexión, con esquema de interruptor y 1/2 (a)</t>
  </si>
  <si>
    <t>N/A</t>
  </si>
  <si>
    <t>VALOR NUEVO DE REPOSICIÓN TIPIFICADO (Ajustado de acuerdo a costos eficientes de ASEP.)</t>
  </si>
  <si>
    <t>CONSIDERADAS (1)</t>
  </si>
  <si>
    <r>
      <t>OMTCT</t>
    </r>
    <r>
      <rPr>
        <b/>
        <vertAlign val="subscript"/>
        <sz val="10"/>
        <color indexed="9"/>
        <rFont val="Arial"/>
        <family val="2"/>
      </rPr>
      <t>cxj</t>
    </r>
  </si>
  <si>
    <r>
      <t xml:space="preserve">ADMCT </t>
    </r>
    <r>
      <rPr>
        <b/>
        <vertAlign val="subscript"/>
        <sz val="10"/>
        <color indexed="9"/>
        <rFont val="Arial"/>
        <family val="2"/>
      </rPr>
      <t>cxj</t>
    </r>
  </si>
  <si>
    <r>
      <t xml:space="preserve">DEPef </t>
    </r>
    <r>
      <rPr>
        <b/>
        <vertAlign val="subscript"/>
        <sz val="10"/>
        <color indexed="9"/>
        <rFont val="Arial"/>
        <family val="2"/>
      </rPr>
      <t>cxj</t>
    </r>
  </si>
  <si>
    <t>CXL 230 KV Circuito Doble 750 ACAR</t>
  </si>
  <si>
    <t>CXL 115 KV Circuito Sencillo 636 ACSR</t>
  </si>
  <si>
    <t>Miles B/./km</t>
  </si>
  <si>
    <t>CXL 230 KV Circuito Doble 1200 ACAR</t>
  </si>
  <si>
    <t>CXL 230 KV  Circuito  Sencillo 1200 ACAR</t>
  </si>
  <si>
    <t>CXL 115 KV  Circuito Doble  636 ACSR</t>
  </si>
  <si>
    <t>Cuadro No.1</t>
  </si>
  <si>
    <t>CARGOS ANUALES POR CONEXIÓN</t>
  </si>
  <si>
    <t xml:space="preserve">       debido a la configuración de la subestaciones existentes.</t>
  </si>
  <si>
    <t>(a)  Esquema de conexión de interruptor y medio, con adición de uno o dos interruptores</t>
  </si>
  <si>
    <t>Factor de Actualización</t>
  </si>
  <si>
    <t>Conexión</t>
  </si>
  <si>
    <t>ETESA</t>
  </si>
  <si>
    <t>Circuito Sencillo</t>
  </si>
  <si>
    <t>Lineas de 115 kV</t>
  </si>
  <si>
    <t>Total - Conexión</t>
  </si>
  <si>
    <t>DATOS DE IMP</t>
  </si>
  <si>
    <t>(6)</t>
  </si>
  <si>
    <t>AL SISTEMA PRINCIPAL DE TRANSMISIÓN</t>
  </si>
  <si>
    <t>VNR Total</t>
  </si>
  <si>
    <t>Changuinola 115</t>
  </si>
  <si>
    <t>IP 1/2 con 8 IP</t>
  </si>
  <si>
    <t>(2) El costo típico para las líneas de 115 kV Doble Circuito con de conductor 636 ACSR.</t>
  </si>
  <si>
    <t>(3) Representa el costo típico para líneas de 230 kV Circuito Sencillo con conductor 750 ACAR.</t>
  </si>
  <si>
    <t>(4) Representa el costo típico para líneas de 230 kV Doble Circuito con conductor 750 ACAR.</t>
  </si>
  <si>
    <t>(5) Representa el costo típico para líneas de 230 kV Doble Circuito con conductor 1200 ACAR.</t>
  </si>
  <si>
    <t>(4)</t>
  </si>
  <si>
    <t>(6) Representa el costo típico para líneas de 230 kV Circuito Semcillo con conductor 1200 ACAR.</t>
  </si>
  <si>
    <t xml:space="preserve">       ASEP no proporcionó en el VNR los valores para Instalaciones de Expansión Condicionadas,</t>
  </si>
  <si>
    <t>N/A: No aplica</t>
  </si>
  <si>
    <t xml:space="preserve">       por lo que se estan utilizando los valores unitarios del Plan de Expansión 2013 para 115 y 230 KV.. </t>
  </si>
  <si>
    <t xml:space="preserve">       Para 34.5 KV se utilizan lso valores del Pliego Tarifario 2009 - 2013.</t>
  </si>
  <si>
    <t>Adición S/E El Higo (Las Guias)</t>
  </si>
  <si>
    <t>CXS230 Interruptor y Medio El Higo</t>
  </si>
  <si>
    <t>CXS230 Interruptor y Medio Seccionamiento</t>
  </si>
  <si>
    <t>CXL230 KV Circuito.Sencillo/torres Doble</t>
  </si>
  <si>
    <t>(1) Existentes y previstas dentro del Período Tarifario.</t>
  </si>
  <si>
    <t xml:space="preserve">CXTR Reductor 60/80/100 MVA </t>
  </si>
  <si>
    <t>FA</t>
  </si>
  <si>
    <t>CANTIDAD</t>
  </si>
  <si>
    <t>VNR incorporado</t>
  </si>
  <si>
    <t xml:space="preserve">INGRESO AÑO </t>
  </si>
  <si>
    <t xml:space="preserve">Reemplazos </t>
  </si>
  <si>
    <t>Reemplazos</t>
  </si>
  <si>
    <t>Miles B/.MVA</t>
  </si>
  <si>
    <t>Miles B/.km</t>
  </si>
  <si>
    <t>CXS115 Interruptor y Medio con 1P</t>
  </si>
  <si>
    <t>CXS230 Barras sencilla</t>
  </si>
  <si>
    <t>2sem 2013</t>
  </si>
  <si>
    <t>1sem2014</t>
  </si>
  <si>
    <t>2sem2014</t>
  </si>
  <si>
    <t>1sem2015</t>
  </si>
  <si>
    <t>2sem2015</t>
  </si>
  <si>
    <t>1sem2016</t>
  </si>
  <si>
    <t>2sem2016</t>
  </si>
  <si>
    <t>1sem2017</t>
  </si>
  <si>
    <t>VNR - ASEP</t>
  </si>
  <si>
    <t>Meses de pago</t>
  </si>
  <si>
    <t>VALOR NUEVO DE REEMPLAZO EFICIENTE</t>
  </si>
  <si>
    <t>Fuentes:</t>
  </si>
  <si>
    <t>Control VNR SUB 2017 SPT.xlsx</t>
  </si>
  <si>
    <t>Control VNR SUB 2017 ESTRATEGICAS.xlsx</t>
  </si>
  <si>
    <t>Control VNR SUB 2017 CONEX.xlsx</t>
  </si>
  <si>
    <t>SUBESTACION
SPT</t>
  </si>
  <si>
    <t>VNR 230 KV</t>
  </si>
  <si>
    <t>VNR 115 KV</t>
  </si>
  <si>
    <t>VNR SPT
PRESENTACIÓN ETESA</t>
  </si>
  <si>
    <t>VNR SPT TOTAL
AJUSTADO</t>
  </si>
  <si>
    <t>AJUSTE</t>
  </si>
  <si>
    <t>Año</t>
  </si>
  <si>
    <t>Longitud</t>
  </si>
  <si>
    <t>Longitud por Circuito</t>
  </si>
  <si>
    <t>Aceptado Revisión 2013</t>
  </si>
  <si>
    <t>ETESA 2017</t>
  </si>
  <si>
    <t>2017 vs 2013
%</t>
  </si>
  <si>
    <t>PANAMA II</t>
  </si>
  <si>
    <t>230-1A/B,2A</t>
  </si>
  <si>
    <t>BAYANO - PACORA - PANAMA II</t>
  </si>
  <si>
    <t>PANAMA</t>
  </si>
  <si>
    <t>230-2A</t>
  </si>
  <si>
    <t xml:space="preserve">BAY - 24 DICIEMBRE </t>
  </si>
  <si>
    <t>230-2B</t>
  </si>
  <si>
    <t xml:space="preserve">24 DICIEMBRE - PANAMA II </t>
  </si>
  <si>
    <t>EL HIGO</t>
  </si>
  <si>
    <t>230-1C,2B</t>
  </si>
  <si>
    <t>PANAMA II - PANAMA</t>
  </si>
  <si>
    <t>230-3A,4A</t>
  </si>
  <si>
    <t>PANAMA - CHORRERA</t>
  </si>
  <si>
    <t>VELADERO</t>
  </si>
  <si>
    <t>230-3B,4B</t>
  </si>
  <si>
    <t>CHORRERA - LL.SANCHEZ</t>
  </si>
  <si>
    <t>GUASQUITAS</t>
  </si>
  <si>
    <t>LINEAS DE 230 kV</t>
  </si>
  <si>
    <t>230-5A,6A</t>
  </si>
  <si>
    <t>LL.SANCHEZ - VELADERO</t>
  </si>
  <si>
    <t xml:space="preserve">MATA DE NANCE </t>
  </si>
  <si>
    <t>DOBLE CIRCUITO</t>
  </si>
  <si>
    <t>230-5B,6B</t>
  </si>
  <si>
    <t>VELADERO - MATA NANCE</t>
  </si>
  <si>
    <t>230-7,8</t>
  </si>
  <si>
    <t>MATA NANCE - FORTUNA</t>
  </si>
  <si>
    <t>FORTUNA NAVE 3</t>
  </si>
  <si>
    <t>230-12,13</t>
  </si>
  <si>
    <t>LL.SANCHEZ - PANAMA II</t>
  </si>
  <si>
    <t>LA ESPERANZA NAVE 1</t>
  </si>
  <si>
    <t>230-14,15</t>
  </si>
  <si>
    <t>VELADERO - LL. SANCHEZ</t>
  </si>
  <si>
    <t>CAÑAZAS</t>
  </si>
  <si>
    <t>230-16,17</t>
  </si>
  <si>
    <t>GUASQUITAS - VELADERO</t>
  </si>
  <si>
    <t>CHANGUINOLA</t>
  </si>
  <si>
    <t>230-18, 29</t>
  </si>
  <si>
    <t>GUASQUITAS - FORTUNA (*)</t>
  </si>
  <si>
    <t>CACERES</t>
  </si>
  <si>
    <t>230-20A</t>
  </si>
  <si>
    <t>FORTUNA - LA ESPERANZA</t>
  </si>
  <si>
    <t>SANTA RITA</t>
  </si>
  <si>
    <t>230-20B</t>
  </si>
  <si>
    <t>LA ESPERANZA - CHANGUINOLA</t>
  </si>
  <si>
    <t>CALDERA</t>
  </si>
  <si>
    <t>230-29</t>
  </si>
  <si>
    <t>GUASQUITAS - CAÑAZAS</t>
  </si>
  <si>
    <t>230-30</t>
  </si>
  <si>
    <t>CAÑAZAS - CHANGUINOLA</t>
  </si>
  <si>
    <t>SUBESTACION
ESTRATÉGICAS</t>
  </si>
  <si>
    <t>VNR
ESTRATÉGICAS ETESA</t>
  </si>
  <si>
    <t>VNR
AJUSTADO
ESTRATÉGICAS</t>
  </si>
  <si>
    <t>(*) Pasa a Circuito Sencillo en VNR 2017</t>
  </si>
  <si>
    <t>Valores expresados en Balboas</t>
  </si>
  <si>
    <t>BOQUERON III</t>
  </si>
  <si>
    <t>SAN BARTOLO</t>
  </si>
  <si>
    <t>230-9A</t>
  </si>
  <si>
    <t>MATA NANCE - BOQUERON III</t>
  </si>
  <si>
    <t>230-9B</t>
  </si>
  <si>
    <t>BOQUERON III - PROGRESO</t>
  </si>
  <si>
    <t>SUBESTACION
CONEXIÓN</t>
  </si>
  <si>
    <t>VNR
230 KV</t>
  </si>
  <si>
    <t>VNR
115 KV</t>
  </si>
  <si>
    <t>VNR
34 KV</t>
  </si>
  <si>
    <t>VNR PRESENTACIÓN ETESA</t>
  </si>
  <si>
    <t>VNR CONEXIÓN
AJUSTADO</t>
  </si>
  <si>
    <t>CIRCUITO SENCILLO</t>
  </si>
  <si>
    <t>230-10</t>
  </si>
  <si>
    <t>PROGRESO - FRONTERA</t>
  </si>
  <si>
    <t>230-21</t>
  </si>
  <si>
    <t>CHANGUINOLA - FRONTERA</t>
  </si>
  <si>
    <t>E LHIGO</t>
  </si>
  <si>
    <t>230- XX</t>
  </si>
  <si>
    <t>DESVIACIÓN FORTUNA</t>
  </si>
  <si>
    <t>CHARCO AZUL</t>
  </si>
  <si>
    <t>115-1A,2A</t>
  </si>
  <si>
    <t xml:space="preserve">CACERES - STA. RITA </t>
  </si>
  <si>
    <t>LINEAS DE 115 kV</t>
  </si>
  <si>
    <t>115-1B,2B</t>
  </si>
  <si>
    <t>STA. RITA - BLM 1</t>
  </si>
  <si>
    <t>115-15,16</t>
  </si>
  <si>
    <t>MATA NANCE - CALDERA</t>
  </si>
  <si>
    <t>115-3A,3B,4A,4B</t>
  </si>
  <si>
    <t>BAHIA LAS MINAS - PANAMA</t>
  </si>
  <si>
    <t>115-12</t>
  </si>
  <si>
    <t>PANAMA - CACERES</t>
  </si>
  <si>
    <t>VNR 2008</t>
  </si>
  <si>
    <t>VNR 2012</t>
  </si>
  <si>
    <t>VNR ETESA</t>
  </si>
  <si>
    <t>115-37</t>
  </si>
  <si>
    <t>PANAMA - CACERES SUBT.</t>
  </si>
  <si>
    <t>Líneas SPT</t>
  </si>
  <si>
    <t>115-17</t>
  </si>
  <si>
    <t>CALDERA - LA ESTRELLA</t>
  </si>
  <si>
    <t>Líneas Conexión</t>
  </si>
  <si>
    <t>115-18</t>
  </si>
  <si>
    <t>CALDERA - LOS VALLES</t>
  </si>
  <si>
    <t>Subestaciones SPT</t>
  </si>
  <si>
    <t>115-19</t>
  </si>
  <si>
    <t>CALDERA - PAJA DE SOMBRERO</t>
  </si>
  <si>
    <t>Subestaciones Conexión</t>
  </si>
  <si>
    <t>115-25</t>
  </si>
  <si>
    <t>PROGRESO - CHARCO AZUL</t>
  </si>
  <si>
    <t>Subestaciones Estrategicas</t>
  </si>
  <si>
    <t>nd</t>
  </si>
  <si>
    <t>VNR LINEAS</t>
  </si>
  <si>
    <t>VNR Actual</t>
  </si>
  <si>
    <t>VNR Líneas 2016</t>
  </si>
  <si>
    <t>VNR SSEE SPT 2016</t>
  </si>
  <si>
    <t>VNR SSEE EST 2016</t>
  </si>
  <si>
    <t>Tercer Línea 2015 -2016</t>
  </si>
  <si>
    <t>SUBESTACION</t>
  </si>
  <si>
    <t>VNR [B./]</t>
  </si>
  <si>
    <t>TRAFOS</t>
  </si>
  <si>
    <t>RESTO</t>
  </si>
  <si>
    <t xml:space="preserve">CHORRERA Patio 230kV </t>
  </si>
  <si>
    <t xml:space="preserve">CHORRERA Patio 34kV </t>
  </si>
  <si>
    <t>LLANO SANCHEZ Patio 230kV</t>
  </si>
  <si>
    <t>LLANO SANCHEZ Patio 115kV</t>
  </si>
  <si>
    <t>LLANO SANCHEZ Patio 34kV</t>
  </si>
  <si>
    <t>MATA DE NANCE  Patio 34kV</t>
  </si>
  <si>
    <t>PROGRESO Patio 115kV</t>
  </si>
  <si>
    <t>PROGRESO Patio 34kV</t>
  </si>
  <si>
    <t>CHANGUINOLA Patio 115kV</t>
  </si>
  <si>
    <t>CHANGUINOLA Patio 34kV</t>
  </si>
  <si>
    <t>CHARCO AZUL Patio 115 kV</t>
  </si>
  <si>
    <t>2013-2017</t>
  </si>
  <si>
    <t>Progreso 230</t>
  </si>
  <si>
    <t>El Higo 230</t>
  </si>
  <si>
    <t>2017-2018</t>
  </si>
  <si>
    <t>2018-2019</t>
  </si>
  <si>
    <t>2019-2020</t>
  </si>
  <si>
    <t>2020-2021</t>
  </si>
  <si>
    <t>IP 1/2 con 11 IP</t>
  </si>
  <si>
    <t>Salidas</t>
  </si>
  <si>
    <t>AJUSTE VNR ETESA $</t>
  </si>
  <si>
    <t>Llano Sánchez Transformador 100MVA</t>
  </si>
  <si>
    <t>Chorrera Transformador 100MVA</t>
  </si>
  <si>
    <t>N/A para el 2017-2021</t>
  </si>
  <si>
    <t>IPCT VNR</t>
  </si>
  <si>
    <t>2020 - 2021</t>
  </si>
  <si>
    <t>2019 - 2020</t>
  </si>
  <si>
    <t>2018 - 2019</t>
  </si>
  <si>
    <t>2017 - 2018</t>
  </si>
  <si>
    <t>VPN</t>
  </si>
  <si>
    <t>B/.MILES</t>
  </si>
  <si>
    <t>Administración</t>
  </si>
  <si>
    <t>Operación y Mantenimiento</t>
  </si>
  <si>
    <t>CONEXIÓN</t>
  </si>
  <si>
    <t>ACTCT (Activo bruto Conexión)</t>
  </si>
  <si>
    <t>ACTIVOS EXISTENTES (al final del año calendario)</t>
  </si>
  <si>
    <t>Tasa de Depreciación</t>
  </si>
  <si>
    <t>IPCT (según Modelo IMP)</t>
  </si>
  <si>
    <t>VNR CONEXIÓN
230 KV</t>
  </si>
  <si>
    <t>VNR CONEXIÓN
115 KV</t>
  </si>
  <si>
    <t>VNR CONEXIÓN
34 KV</t>
  </si>
  <si>
    <t>VNR CONEXION PRESENTACIÓN ETESA</t>
  </si>
  <si>
    <t>EMPRESA DE TRANSMISIÓN ELÉCTRICA S.A.</t>
  </si>
  <si>
    <t xml:space="preserve">PARÁMETROS Y VALORES UTILIZADOS EN EL CÁLCULO DE LOS INGRESOS MÁXIMOS  PERMITIDOS </t>
  </si>
  <si>
    <t>PARAMETROS IMP</t>
  </si>
  <si>
    <t>Tasa depreciación nuevas inversiones</t>
  </si>
  <si>
    <t>ACTIVOS RECONOCIDOS</t>
  </si>
  <si>
    <t>Valores Expresados en Miles de Balboas</t>
  </si>
  <si>
    <t>ACTSPT (Activo bruto Sistema Principal) + PG. Asignado a G y D</t>
  </si>
  <si>
    <t>ACTSPTL (Activo bruto Sistema Principal) + PG. Asignado a D</t>
  </si>
  <si>
    <t>ACTH (Activo bruto Hidro. Remanente)</t>
  </si>
  <si>
    <t>ACTNSPT (Activo Neto Sistema Principal) + PG. Asignado a G y D</t>
  </si>
  <si>
    <t>ACTNSPTL (Activo Neto Sistema Principal) + PG. Asignado a D</t>
  </si>
  <si>
    <t>ACTNTC (Activo Neto Conexión)</t>
  </si>
  <si>
    <t>ACTNH (Activo Neto Hidro. Remanente)</t>
  </si>
  <si>
    <t>ADICIONES (al final del año calendario)</t>
  </si>
  <si>
    <t>CONTROL SI/NO</t>
  </si>
  <si>
    <t>OBSERVACIONES</t>
  </si>
  <si>
    <t>ACTBAGyD (Adic Activo Bruto) + PG. Asignado a G y D</t>
  </si>
  <si>
    <t>NO</t>
  </si>
  <si>
    <t>70% Comunicaciones + Planta General según Plan de Expansión</t>
  </si>
  <si>
    <t>SI</t>
  </si>
  <si>
    <t>ACTBAD (Adic Activo Bruto) + PG. Asignado a D</t>
  </si>
  <si>
    <t>30% Comunicaciones + Planta General + Resto Plan Expansión Corto, Largo Plazo y Reposición sin Tercera Línea ni Santa Rita Panamá II</t>
  </si>
  <si>
    <t>ACTNAGyD (Adic Activo Neto) + PG. Asignado a G y D</t>
  </si>
  <si>
    <t>ACTNAD (Adic Activo Neto) + PG. Asignado a D</t>
  </si>
  <si>
    <t>ADICIONES Parciales (durante el año calendario)</t>
  </si>
  <si>
    <t>∆ACTBAD (TERCERA LÍNEA). Asignado a D</t>
  </si>
  <si>
    <t>Proporcional Tercera Línea</t>
  </si>
  <si>
    <t>∆ACTBAGyD (Adic Activo Bruto) + PG. Asignado a G y D</t>
  </si>
  <si>
    <t>∆ACTBAD (Adic Activo Bruto) + PG. Asignado a D</t>
  </si>
  <si>
    <t>∆ACTBAC (Adic Conexión)</t>
  </si>
  <si>
    <t>ACTIVOS EFICIENTES (VNR)</t>
  </si>
  <si>
    <t>ACTIVOS EXISTENTES (al final del año)</t>
  </si>
  <si>
    <t>ACTEGyDef (Sistema Principal + PG). Asignado a G y D</t>
  </si>
  <si>
    <t>ACTEDef (Sistema Principal + PG). Asignado a D</t>
  </si>
  <si>
    <t>ACTCTef (Conexión)</t>
  </si>
  <si>
    <t>ACTIVOS EFICIENTES ADICIONALES (Al final del año calendario)</t>
  </si>
  <si>
    <t>ACTAGyDef (Sistema Principal + PG). Asignado a G y D</t>
  </si>
  <si>
    <t>Inversiones en Planta General y Comunicaciones según Plan de Expansión</t>
  </si>
  <si>
    <t>ACTADef (Sistema Principal + PG). Asignado a D</t>
  </si>
  <si>
    <t>ACTCAef (Conexión)</t>
  </si>
  <si>
    <t>∆ACTAD (3era línea). Asignado a D</t>
  </si>
  <si>
    <t>∆ACTAGyD (parcial)</t>
  </si>
  <si>
    <t>∆ACTAD (parcial)</t>
  </si>
  <si>
    <t>∆ACTAC (parcial)</t>
  </si>
  <si>
    <t>INGRESOS MÁXIMOS PERMITIDOS POR ACTIVOS EXISTENTES</t>
  </si>
  <si>
    <t>ACTIVOS EXISTENTES. Asignados a G y D</t>
  </si>
  <si>
    <t>Depreciación</t>
  </si>
  <si>
    <t>Rentabilidad sobre Activos</t>
  </si>
  <si>
    <t>Generación Obligada</t>
  </si>
  <si>
    <t>Estudio PEST y por gestión de compra de potencia y energía</t>
  </si>
  <si>
    <t>Preliminar (Promedio Semestral según Solicitud ETESA en Período Tarifario 2013 - 2017)</t>
  </si>
  <si>
    <t>Total</t>
  </si>
  <si>
    <t>ACTIVOS EXISTENTES. Asignados a D</t>
  </si>
  <si>
    <t>Crédito por Restricción Tercera Línea</t>
  </si>
  <si>
    <t>ACTIVOS ADICIONALES. Asignados a G y D</t>
  </si>
  <si>
    <t>Diferido Proximo Período</t>
  </si>
  <si>
    <t>Operación y Mantenimiento. OMSPAGyD</t>
  </si>
  <si>
    <t>Adicional O&amp;M. ∆OMSPAGyD</t>
  </si>
  <si>
    <t>Administración. ADMSPAGyD</t>
  </si>
  <si>
    <t>Adicional Administración. ∆ADMSPAGyD</t>
  </si>
  <si>
    <t>Adicional Depreciación.  ∆DepSPAGyD</t>
  </si>
  <si>
    <t>Adicional Rentabilidad.  ∆RentSPAGyD</t>
  </si>
  <si>
    <t>ACTIVOS ADICIONALES. Asignados a D</t>
  </si>
  <si>
    <t>Operación y Mantenimiento. OMSPAD</t>
  </si>
  <si>
    <t>Adicional O&amp;M. ∆OMSPAD</t>
  </si>
  <si>
    <t>Administración. ADMSPAD</t>
  </si>
  <si>
    <t>Adicional Administración. ∆ADMSPAD</t>
  </si>
  <si>
    <t>Adicional Depreciación.  ∆DepSPAD</t>
  </si>
  <si>
    <t>Adicional Rentabilidad.  ∆RentSPAD</t>
  </si>
  <si>
    <t>SERVICIO DE OPERACIÓN INTEGRADA (SOI)</t>
  </si>
  <si>
    <t>Centro Nacional de Despacho</t>
  </si>
  <si>
    <t>Hidrometeorología</t>
  </si>
  <si>
    <t>INGRESO ANUAL PERMITIDO EXISTENTE (Año Tarifario)</t>
  </si>
  <si>
    <t>VNA</t>
  </si>
  <si>
    <t>IPSPEGyD. EXISTENTE</t>
  </si>
  <si>
    <t>IPSPED. EXISTENTE</t>
  </si>
  <si>
    <t>IPSPEGyD. EXISTENTE. CONSTANTE</t>
  </si>
  <si>
    <t>IPSPED. EXISTENTE. CONSTANTE</t>
  </si>
  <si>
    <t>INGRESO ANUAL PERMITIDO (Año Tarifario)</t>
  </si>
  <si>
    <t>SISTEMA PRINCIPAL Asignado a G y D</t>
  </si>
  <si>
    <t>IPSPAGyD. ADICIONAL</t>
  </si>
  <si>
    <t>IPSPGyD. TOTAL</t>
  </si>
  <si>
    <t>SISTEMA PRINCIPAL Asignado a D</t>
  </si>
  <si>
    <t>IPSPAD. ADICIONAL</t>
  </si>
  <si>
    <t>IPSPD. TOTAL</t>
  </si>
  <si>
    <t>SERVICIO DE OPERACIÓN INTEGRADA</t>
  </si>
  <si>
    <t>SOI TOTAL</t>
  </si>
  <si>
    <t>IMP EXISTENTE TOTAL</t>
  </si>
  <si>
    <t xml:space="preserve">FACTOR DE ACTUALIZACIÓN </t>
  </si>
  <si>
    <t>VPN del IMP (Año Tarifario) (A comienzos del período tarifario)</t>
  </si>
  <si>
    <t>VPN 2013 - 2017</t>
  </si>
  <si>
    <t>VPN 2017 - 2021</t>
  </si>
  <si>
    <t>Delta VPN 
2017 -2021 vs
 2013 - 2016</t>
  </si>
  <si>
    <t>SPT GyD</t>
  </si>
  <si>
    <t>SPT D</t>
  </si>
  <si>
    <t>SOI</t>
  </si>
  <si>
    <t>IMP Existente</t>
  </si>
  <si>
    <t>Variación Anual 2017 - 2021</t>
  </si>
  <si>
    <t>Incremento Anual Acumulado 2017 - 2021</t>
  </si>
  <si>
    <t>jul17-jun18</t>
  </si>
  <si>
    <t>jul18-jun19</t>
  </si>
  <si>
    <t>jul19-jun20</t>
  </si>
  <si>
    <t>jul20-jun21</t>
  </si>
  <si>
    <t>jul13-jun14</t>
  </si>
  <si>
    <t>jul14-jun15</t>
  </si>
  <si>
    <t>jul15-jun16</t>
  </si>
  <si>
    <t>jul16-jun17</t>
  </si>
  <si>
    <t>SUB TOTAL</t>
  </si>
  <si>
    <t>ACTIVOS EXISTENTES</t>
  </si>
  <si>
    <t>SPT. Asignado a Generación y Demanda</t>
  </si>
  <si>
    <t>Tasa de depreciación activos</t>
  </si>
  <si>
    <t>Activos brutos al comienzo del año</t>
  </si>
  <si>
    <t>Activos netos al comienzo del año</t>
  </si>
  <si>
    <t>Depreciación Anual</t>
  </si>
  <si>
    <t>Activos brutos al final del año</t>
  </si>
  <si>
    <t>Activos netos al final del año</t>
  </si>
  <si>
    <t>Depreciación Acumulada</t>
  </si>
  <si>
    <t>Activos netos al final del año (verificación)</t>
  </si>
  <si>
    <t>SPT. Asignado a Demanda (3° línea)</t>
  </si>
  <si>
    <t>Inversiones. Asignado a Demanda (3° línea)</t>
  </si>
  <si>
    <t>Inversión anual</t>
  </si>
  <si>
    <t>Inversión (proporcional)</t>
  </si>
  <si>
    <t>Tasa de depreciación</t>
  </si>
  <si>
    <t>Planta General (#). Asignado a Generación y Demanda</t>
  </si>
  <si>
    <t>Tasa de depreciación retiros</t>
  </si>
  <si>
    <t>Retiros</t>
  </si>
  <si>
    <t>Planta General (#). Asignado a Demanda</t>
  </si>
  <si>
    <t>(#) No aplica Artículo 186 Reglamento de Transmisión</t>
  </si>
  <si>
    <t>SPT + Planta General Asignado a Generación y Demanda</t>
  </si>
  <si>
    <t>SPT + Planta General Asignado a Demanda</t>
  </si>
  <si>
    <t>INVERSIONES</t>
  </si>
  <si>
    <t>Tasa de depreciación de inversiones</t>
  </si>
  <si>
    <t>Inversión Planta General</t>
  </si>
  <si>
    <t>Asignada a Generación y Demanda</t>
  </si>
  <si>
    <t>Asignada a Demanda</t>
  </si>
  <si>
    <t>Inversión anual Sistema Principal Transmisión</t>
  </si>
  <si>
    <t>Inversion anual Comunicaciones</t>
  </si>
  <si>
    <t>Inversión anual Estrategica (no suma en la base)</t>
  </si>
  <si>
    <t>ADICIONES</t>
  </si>
  <si>
    <t>Inversiones</t>
  </si>
  <si>
    <t>PLAN DEL SISTEMA DE TRANSMISIÓN DE CORTO PLAZO</t>
  </si>
  <si>
    <t>PLAN DEL SISTEMA DE TRANSMISIÓN DE LARGO PLAZO</t>
  </si>
  <si>
    <t xml:space="preserve">PLAN DE REPOSICIÓN </t>
  </si>
  <si>
    <t>Inversión corto, largo plazo y reposición</t>
  </si>
  <si>
    <t>Inversión anual SPT. Asignada a Generación y Demanda</t>
  </si>
  <si>
    <t>Inversión anual SPT. Asignada a Demanda</t>
  </si>
  <si>
    <t>Inversión anual Planta General (PG)</t>
  </si>
  <si>
    <t>Inversión anual PG (incluye Comunicaciones). Asignada a G y D</t>
  </si>
  <si>
    <t>Inversión anual PG (incluye comunicaciones). Asignada a D</t>
  </si>
  <si>
    <t>Adiciones Sistema Principal Transmisión. Asignada a G y D</t>
  </si>
  <si>
    <t>Activos netos al final del año calendario</t>
  </si>
  <si>
    <t>Activos brutos al final del año calendario</t>
  </si>
  <si>
    <t>Activos netos al final del año calendario (verificación)</t>
  </si>
  <si>
    <t>Adiciones Sistema Principal Transmisión</t>
  </si>
  <si>
    <t xml:space="preserve"> Asignada a D</t>
  </si>
  <si>
    <t>Adiciones Planta General</t>
  </si>
  <si>
    <t>Asignada a G y D</t>
  </si>
  <si>
    <t>Asignada a D</t>
  </si>
  <si>
    <t>Adiciones. Sistema Principal de Transmisión + Pta Gral.</t>
  </si>
  <si>
    <t>Asignado a G y D</t>
  </si>
  <si>
    <t>Depreciación Año calendario</t>
  </si>
  <si>
    <t>Asignado a D</t>
  </si>
  <si>
    <t>ACTIVOS BRUTOS CONEXIÓN TRANSPORTE</t>
  </si>
  <si>
    <t>ACTIVOS NETOS CONEXIÓN TRANSPORTE</t>
  </si>
  <si>
    <t>Sistema Principal de Transmisión. Asignado a G y D</t>
  </si>
  <si>
    <t>Sistema Principal de Transmisión. Asignado a D</t>
  </si>
  <si>
    <t>Planta General + Activos Estratégicos. Asignado a G y D</t>
  </si>
  <si>
    <t>Planta General + Activos Estratégicos. Asignado a D</t>
  </si>
  <si>
    <t>Conexiones (incluye adiciones)</t>
  </si>
  <si>
    <t>ADICIONES ACUMULADAS (al final del año calendario)</t>
  </si>
  <si>
    <t>ADICIONES PROPORCIONALES (al final del año calendario)</t>
  </si>
  <si>
    <t>dic-16-jun-17</t>
  </si>
  <si>
    <t>jul-17-jun-18</t>
  </si>
  <si>
    <t>jul-18-jun-19</t>
  </si>
  <si>
    <t>jul-19-jun-20</t>
  </si>
  <si>
    <t>jul-20-jun-21</t>
  </si>
  <si>
    <t>1er Semestre Año Tarifario</t>
  </si>
  <si>
    <t>2do Semestre Año Tarifario</t>
  </si>
  <si>
    <t>Adiciones Sistema Principal Transmisión. Asignada a D</t>
  </si>
  <si>
    <t>Adiciones Planta General. Asignada a G y D</t>
  </si>
  <si>
    <t>Adiciones Planta General. Asignada a D</t>
  </si>
  <si>
    <t>% del año tarifario activado. 1er Semestre Año Tarifario</t>
  </si>
  <si>
    <t>% del año tarifario activado. 2do Semestre Año Tarifario</t>
  </si>
  <si>
    <t>Composición</t>
  </si>
  <si>
    <t>230 kV + PG</t>
  </si>
  <si>
    <t>115 KV</t>
  </si>
  <si>
    <t>Adiciones SP +  PG. Asignada a G y D. Activada durante el año</t>
  </si>
  <si>
    <t>Adiciones SP +  PG. Asignada a D. Activada durante el año</t>
  </si>
  <si>
    <t>HIDROMETEOROLOGÍA</t>
  </si>
  <si>
    <t>ACTIVOS EFICIENTES</t>
  </si>
  <si>
    <t>VNR Sistema Principal</t>
  </si>
  <si>
    <t>VNR Planta General</t>
  </si>
  <si>
    <t>VNR Estrategicos</t>
  </si>
  <si>
    <t>VNR EFICIENTE (SPT_ESTRATEGICAS_PLANTA GENERAL)</t>
  </si>
  <si>
    <t>VNR asignado a demanda</t>
  </si>
  <si>
    <t>VNR Conexiones</t>
  </si>
  <si>
    <t>Verificación Artículo 186 Reglamento de Transmisión (Tope 10%)</t>
  </si>
  <si>
    <t>Valor libro Equipo de Comunicación de Planta General</t>
  </si>
  <si>
    <t>Balboas</t>
  </si>
  <si>
    <t>Relacion entre VNR SPT y Valor libro SPT</t>
  </si>
  <si>
    <t>x</t>
  </si>
  <si>
    <t>VNR Equipo de comunicación</t>
  </si>
  <si>
    <t>Activos Contables Eficientes (Tope Artículo 186 RT)</t>
  </si>
  <si>
    <t>Verificación del Artículo 186 Reglamento de Transmisión</t>
  </si>
  <si>
    <t>Activos Eléctricos (AE) valor libros (SPT+EC)</t>
  </si>
  <si>
    <t>Activos No Eléctricos (ANE) - valor de libros sin EC</t>
  </si>
  <si>
    <t>ANE/AE</t>
  </si>
  <si>
    <t>Activos PG Tope 10%</t>
  </si>
  <si>
    <t>Mínimo</t>
  </si>
  <si>
    <t>Porcentaje Eficiente Resultante</t>
  </si>
  <si>
    <t>Llano Sánchez 230</t>
  </si>
  <si>
    <t>SUBESTACION CHORRERA 230 KV</t>
  </si>
  <si>
    <t>ITEM N°</t>
  </si>
  <si>
    <t>DESCRIPCION</t>
  </si>
  <si>
    <t>Costo Unitario Suministro B/.</t>
  </si>
  <si>
    <t xml:space="preserve">Total Suministro B/. </t>
  </si>
  <si>
    <t>Interruptores 115 KV</t>
  </si>
  <si>
    <t>Interruptores 115 KV, Tripolar con seccionamiento y puesta a tierra incorporado</t>
  </si>
  <si>
    <t>Cuchillas Tripolares Motorizadas con cuchilla a tierra 115 KV</t>
  </si>
  <si>
    <t>Cuchillas Tripolares Motorizadas sin cuchilla a tierra 115 KV</t>
  </si>
  <si>
    <t>Cuchillas Tripolares manuales sin cuchilla a tierra 115 KV</t>
  </si>
  <si>
    <t>Cuchillas Tripolares manuales con cuchilla a tierra 115 KV</t>
  </si>
  <si>
    <t>Interruptores 230 KV, de disparo monopolar</t>
  </si>
  <si>
    <t>Interruptores 230 KV, de disparo tripolar</t>
  </si>
  <si>
    <t>Cuchillas Tripolares Motorizadas con cuchilla a tierra 230 KV para Reactor</t>
  </si>
  <si>
    <t>Cuchillas Tripolares Motorizadas con cuchilla a tierra 230 KV</t>
  </si>
  <si>
    <t>Cuchillas Tripolares Motorizadas sin cuchilla a tierra 230 KV</t>
  </si>
  <si>
    <t>Cuchillas Tripolares manuales sin cuchilla a tierra 230 KV</t>
  </si>
  <si>
    <t>Pararrayos 192 KV</t>
  </si>
  <si>
    <t>Pararrayos 96 KV</t>
  </si>
  <si>
    <t>CT 230 KV</t>
  </si>
  <si>
    <t>CT 115 KV</t>
  </si>
  <si>
    <t xml:space="preserve">PT 230 KV </t>
  </si>
  <si>
    <t xml:space="preserve">PT 115 KV </t>
  </si>
  <si>
    <t>PT de Potencia y Potencial 115 kV</t>
  </si>
  <si>
    <t xml:space="preserve">Autotrasformador de Potencia 230/115/13.8 kV 210/280/350 MVA </t>
  </si>
  <si>
    <t xml:space="preserve">Autotrasformador de Potencia 230/115/13.8 kV 105/140/175 MVA </t>
  </si>
  <si>
    <t xml:space="preserve">Transformadores 230/115 KV 100/120/150 MVA </t>
  </si>
  <si>
    <t xml:space="preserve">Autotrasformador de Potencia 230/115/34.5 kV y 100 MVA </t>
  </si>
  <si>
    <t xml:space="preserve">Autotrasformador de Potencia 230/115/34.5 kV y 50 MVA </t>
  </si>
  <si>
    <t>Transformador de Potencia 115/4,16 kV. y 24 MVA</t>
  </si>
  <si>
    <t>Transformador de Puesta  a Tierra 5 MVA , 34.5 kV</t>
  </si>
  <si>
    <t>Sistema de extinción de incendio para transformadores</t>
  </si>
  <si>
    <t>Reactor Trifásico de 20 MVAR, 230 kV</t>
  </si>
  <si>
    <t>Reactor Trifásico de 20 MVAR, 34.5 kV</t>
  </si>
  <si>
    <t>Banco de Capacitores 230 kV 30 MVAR</t>
  </si>
  <si>
    <t>Banco de Capacitores 115 kV 15 MVAR</t>
  </si>
  <si>
    <t>Interruptores 34.5 KV</t>
  </si>
  <si>
    <t>Cuchillas Tripolares manuales sin cuchilla a tierra 34.5 KV</t>
  </si>
  <si>
    <t>Cuchillas Tripolares manuales con cuchilla a tierra 34.5 KV</t>
  </si>
  <si>
    <t>Cuchillas Tripolares Motorizadas sin cuchilla a tierra 34.5 KV</t>
  </si>
  <si>
    <t>Pararrayos 34.5 KV</t>
  </si>
  <si>
    <t xml:space="preserve">PT 34.5KV </t>
  </si>
  <si>
    <t>CT 34.5 KV</t>
  </si>
  <si>
    <t>SUBTOTAL DE EQUIPOS</t>
  </si>
  <si>
    <t>SUBTOTAL DE EQUIPOS, SIN EQUIPOS DE TRANSFORMACIÓN Y REGULACIÓN</t>
  </si>
  <si>
    <t>% Sobre ítemes de Costos Unitario Sin Equipos de Transformación y Regulación</t>
  </si>
  <si>
    <t>Sistema de puesta a tierra</t>
  </si>
  <si>
    <t>lote</t>
  </si>
  <si>
    <t>Servicios auxiliares</t>
  </si>
  <si>
    <t xml:space="preserve">Herrajes, Estructuras y Soportes </t>
  </si>
  <si>
    <t>Equipo de Protección,  Control y Monitoreo</t>
  </si>
  <si>
    <t>Equipo de Comunicaciones</t>
  </si>
  <si>
    <t>Cables, conductores, ductos, etc.</t>
  </si>
  <si>
    <t>SUB TOTAL SUMINISTRO</t>
  </si>
  <si>
    <t>% sobre Subtotal Suministro</t>
  </si>
  <si>
    <t xml:space="preserve">Montaje </t>
  </si>
  <si>
    <t>Obras Civiles Generales</t>
  </si>
  <si>
    <t>vnr de llano sanchez de 15.5mm considera</t>
  </si>
  <si>
    <t>TOTAL COSTO BASE</t>
  </si>
  <si>
    <t>transfos</t>
  </si>
  <si>
    <t>% sobre Total Costo Base</t>
  </si>
  <si>
    <t>patio 230</t>
  </si>
  <si>
    <t>Contingencias</t>
  </si>
  <si>
    <t>Diseño</t>
  </si>
  <si>
    <t>ajustes a vnr</t>
  </si>
  <si>
    <t>Ingeniería</t>
  </si>
  <si>
    <t>Inspección</t>
  </si>
  <si>
    <t>vnr ajustado</t>
  </si>
  <si>
    <t>IDC</t>
  </si>
  <si>
    <t>EIA</t>
  </si>
  <si>
    <t>Terrenos</t>
  </si>
  <si>
    <t>m2</t>
  </si>
  <si>
    <t>COSTO TOTAL</t>
  </si>
  <si>
    <t>100ma</t>
  </si>
  <si>
    <t>factor de ajuste</t>
  </si>
  <si>
    <t>50mva</t>
  </si>
  <si>
    <t>SUBESTACION LLANO SANCHEZ 230 KV</t>
  </si>
  <si>
    <t xml:space="preserve">Autotrasformador de Potencia 230/115 kV 100 MVA </t>
  </si>
  <si>
    <t xml:space="preserve">Transformadores 230/115 KV 100 MVA </t>
  </si>
  <si>
    <t xml:space="preserve">Autotrasformador de Potencia 230/115/34.5 kV y 70 MVA </t>
  </si>
  <si>
    <t>100MVA</t>
  </si>
  <si>
    <t>70MVA</t>
  </si>
  <si>
    <t>SUBESTACION CHARCO AZUL 115/34.5  KV</t>
  </si>
  <si>
    <t>Transformador de Potencia 115/4.16 KV 24 MVA</t>
  </si>
  <si>
    <t>ingreso 1er semestre año 1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</si>
</sst>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#.00"/>
    <numFmt numFmtId="168" formatCode="0.0%"/>
    <numFmt numFmtId="169" formatCode="_-[$€-2]* #,##0.00_-;\-[$€-2]* #,##0.00_-;_-[$€-2]* &quot;-&quot;??_-"/>
    <numFmt numFmtId="170" formatCode="_-* #,##0.0_-;\-* #,##0.0_-;_-* &quot;-&quot;??_-;_-@_-"/>
    <numFmt numFmtId="171" formatCode="_-* #,##0_-;\-* #,##0_-;_-* &quot;-&quot;??_-;_-@_-"/>
    <numFmt numFmtId="172" formatCode="_(* #,##0_);_(* \(#,##0\);_(* &quot;-&quot;??_);_(@_)"/>
    <numFmt numFmtId="173" formatCode="0.000"/>
    <numFmt numFmtId="174" formatCode="0.000000000"/>
    <numFmt numFmtId="175" formatCode="0.0000"/>
    <numFmt numFmtId="176" formatCode="_-* #,##0.0000_-;\-* #,##0.0000_-;_-* &quot;-&quot;??_-;_-@_-"/>
    <numFmt numFmtId="177" formatCode="#,##0.000_);\(#,##0.000\)"/>
    <numFmt numFmtId="178" formatCode="0_ ;\-0\ "/>
    <numFmt numFmtId="179" formatCode="#,##0_ ;\-#,##0\ "/>
    <numFmt numFmtId="180" formatCode="_-* #,##0.000_-;\-* #,##0.000_-;_-* &quot;-&quot;??_-;_-@_-"/>
    <numFmt numFmtId="181" formatCode="0.000%"/>
    <numFmt numFmtId="182" formatCode="_-* #,##0.00000_-;\-* #,##0.00000_-;_-* &quot;-&quot;??_-;_-@_-"/>
    <numFmt numFmtId="183" formatCode="#,##0.00000000"/>
    <numFmt numFmtId="184" formatCode="0.00000"/>
    <numFmt numFmtId="185" formatCode="_(* #,##0.000_);_(* \(#,##0.000\);_(* &quot;-&quot;??_);_(@_)"/>
    <numFmt numFmtId="186" formatCode="#,##0.0"/>
    <numFmt numFmtId="187" formatCode="_(* #,##0.0000_);_(* \(#,##0.0000\);_(* &quot;-&quot;??_);_(@_)"/>
    <numFmt numFmtId="188" formatCode="_(* #,##0.00000_);_(* \(#,##0.00000\);_(* &quot;-&quot;??_);_(@_)"/>
    <numFmt numFmtId="189" formatCode="0.0"/>
    <numFmt numFmtId="190" formatCode="#.0\ &quot;x&quot;"/>
    <numFmt numFmtId="191" formatCode="0.00_)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vertAlign val="subscript"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2"/>
      <color indexed="12"/>
      <name val="Arial"/>
      <family val="2"/>
    </font>
    <font>
      <b/>
      <sz val="10"/>
      <color theme="5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u val="singleAccounting"/>
      <sz val="1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 val="double"/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</fills>
  <borders count="1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2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169" fontId="7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167" fontId="11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1" fillId="0" borderId="0">
      <protection locked="0"/>
    </xf>
    <xf numFmtId="0" fontId="29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22" borderId="0" applyNumberFormat="0" applyBorder="0" applyAlignment="0" applyProtection="0"/>
    <xf numFmtId="0" fontId="12" fillId="0" borderId="0"/>
    <xf numFmtId="0" fontId="21" fillId="0" borderId="0"/>
    <xf numFmtId="0" fontId="7" fillId="0" borderId="0"/>
    <xf numFmtId="0" fontId="7" fillId="23" borderId="4" applyNumberFormat="0" applyFont="0" applyAlignment="0" applyProtection="0"/>
    <xf numFmtId="40" fontId="31" fillId="24" borderId="0">
      <alignment horizontal="right"/>
    </xf>
    <xf numFmtId="0" fontId="32" fillId="24" borderId="0">
      <alignment horizontal="right"/>
    </xf>
    <xf numFmtId="0" fontId="33" fillId="24" borderId="5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5" fillId="16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27" fillId="0" borderId="9" applyNumberFormat="0" applyFill="0" applyAlignment="0" applyProtection="0"/>
    <xf numFmtId="0" fontId="41" fillId="0" borderId="10" applyNumberFormat="0" applyFill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7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6" fillId="0" borderId="0" applyFont="0" applyFill="0" applyBorder="0" applyAlignment="0" applyProtection="0"/>
    <xf numFmtId="0" fontId="35" fillId="16" borderId="6" applyNumberFormat="0" applyAlignment="0" applyProtection="0"/>
    <xf numFmtId="0" fontId="35" fillId="16" borderId="6" applyNumberFormat="0" applyAlignment="0" applyProtection="0"/>
    <xf numFmtId="0" fontId="35" fillId="16" borderId="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165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4" fillId="0" borderId="0"/>
    <xf numFmtId="9" fontId="1" fillId="0" borderId="0" applyFont="0" applyFill="0" applyBorder="0" applyAlignment="0" applyProtection="0"/>
  </cellStyleXfs>
  <cellXfs count="1101">
    <xf numFmtId="0" fontId="0" fillId="0" borderId="0" xfId="0"/>
    <xf numFmtId="0" fontId="0" fillId="0" borderId="0" xfId="0" applyProtection="1">
      <protection locked="0"/>
    </xf>
    <xf numFmtId="0" fontId="8" fillId="0" borderId="16" xfId="0" applyFont="1" applyBorder="1" applyProtection="1"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5" fillId="0" borderId="19" xfId="0" applyFont="1" applyBorder="1" applyAlignment="1" applyProtection="1">
      <alignment horizontal="center"/>
      <protection locked="0"/>
    </xf>
    <xf numFmtId="10" fontId="12" fillId="0" borderId="20" xfId="57" applyNumberFormat="1" applyFont="1" applyBorder="1" applyProtection="1">
      <protection locked="0"/>
    </xf>
    <xf numFmtId="10" fontId="12" fillId="0" borderId="21" xfId="57" applyNumberFormat="1" applyFont="1" applyBorder="1" applyProtection="1">
      <protection locked="0"/>
    </xf>
    <xf numFmtId="0" fontId="0" fillId="0" borderId="13" xfId="0" applyFill="1" applyBorder="1" applyProtection="1"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43" fontId="7" fillId="0" borderId="0" xfId="44" applyFont="1" applyProtection="1">
      <protection locked="0"/>
    </xf>
    <xf numFmtId="43" fontId="7" fillId="0" borderId="0" xfId="44" applyProtection="1">
      <protection locked="0"/>
    </xf>
    <xf numFmtId="10" fontId="12" fillId="24" borderId="24" xfId="57" applyNumberFormat="1" applyFont="1" applyFill="1" applyBorder="1" applyAlignment="1" applyProtection="1">
      <alignment horizontal="center"/>
      <protection locked="0"/>
    </xf>
    <xf numFmtId="10" fontId="12" fillId="24" borderId="25" xfId="57" applyNumberFormat="1" applyFont="1" applyFill="1" applyBorder="1" applyAlignment="1" applyProtection="1">
      <alignment horizontal="center"/>
      <protection locked="0"/>
    </xf>
    <xf numFmtId="10" fontId="12" fillId="24" borderId="19" xfId="57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ill="1" applyBorder="1"/>
    <xf numFmtId="4" fontId="8" fillId="0" borderId="0" xfId="0" applyNumberFormat="1" applyFont="1" applyFill="1" applyBorder="1"/>
    <xf numFmtId="10" fontId="17" fillId="25" borderId="19" xfId="0" quotePrefix="1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/>
    <xf numFmtId="0" fontId="0" fillId="0" borderId="11" xfId="0" applyFill="1" applyBorder="1"/>
    <xf numFmtId="10" fontId="17" fillId="25" borderId="35" xfId="57" applyNumberFormat="1" applyFont="1" applyFill="1" applyBorder="1" applyAlignment="1" applyProtection="1">
      <protection locked="0"/>
    </xf>
    <xf numFmtId="43" fontId="7" fillId="0" borderId="38" xfId="44" applyFill="1" applyBorder="1"/>
    <xf numFmtId="0" fontId="12" fillId="0" borderId="0" xfId="0" applyFont="1" applyFill="1" applyBorder="1"/>
    <xf numFmtId="0" fontId="0" fillId="0" borderId="12" xfId="0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0" xfId="0" applyFill="1"/>
    <xf numFmtId="0" fontId="0" fillId="0" borderId="13" xfId="0" applyFill="1" applyBorder="1"/>
    <xf numFmtId="165" fontId="0" fillId="0" borderId="0" xfId="0" applyNumberFormat="1" applyFill="1"/>
    <xf numFmtId="0" fontId="9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72" fontId="13" fillId="0" borderId="0" xfId="45" applyNumberFormat="1" applyFont="1" applyFill="1"/>
    <xf numFmtId="0" fontId="8" fillId="0" borderId="0" xfId="0" applyFont="1" applyFill="1"/>
    <xf numFmtId="43" fontId="0" fillId="0" borderId="0" xfId="0" applyNumberFormat="1" applyFill="1"/>
    <xf numFmtId="0" fontId="12" fillId="0" borderId="0" xfId="0" applyFont="1" applyFill="1"/>
    <xf numFmtId="0" fontId="12" fillId="0" borderId="46" xfId="0" applyFont="1" applyFill="1" applyBorder="1" applyAlignment="1">
      <alignment horizontal="center"/>
    </xf>
    <xf numFmtId="165" fontId="12" fillId="0" borderId="48" xfId="0" applyNumberFormat="1" applyFont="1" applyFill="1" applyBorder="1"/>
    <xf numFmtId="0" fontId="12" fillId="0" borderId="49" xfId="0" applyFont="1" applyFill="1" applyBorder="1"/>
    <xf numFmtId="0" fontId="12" fillId="0" borderId="50" xfId="0" applyFont="1" applyFill="1" applyBorder="1" applyAlignment="1">
      <alignment horizontal="center"/>
    </xf>
    <xf numFmtId="165" fontId="12" fillId="0" borderId="52" xfId="0" applyNumberFormat="1" applyFont="1" applyFill="1" applyBorder="1"/>
    <xf numFmtId="165" fontId="12" fillId="0" borderId="0" xfId="0" applyNumberFormat="1" applyFont="1" applyFill="1"/>
    <xf numFmtId="0" fontId="12" fillId="0" borderId="53" xfId="0" applyFont="1" applyFill="1" applyBorder="1"/>
    <xf numFmtId="0" fontId="12" fillId="0" borderId="54" xfId="0" applyFont="1" applyFill="1" applyBorder="1"/>
    <xf numFmtId="0" fontId="12" fillId="0" borderId="55" xfId="0" applyFont="1" applyFill="1" applyBorder="1"/>
    <xf numFmtId="0" fontId="12" fillId="0" borderId="56" xfId="0" applyFont="1" applyFill="1" applyBorder="1"/>
    <xf numFmtId="165" fontId="12" fillId="0" borderId="0" xfId="40" applyFont="1" applyFill="1" applyBorder="1"/>
    <xf numFmtId="165" fontId="12" fillId="0" borderId="0" xfId="40" applyFont="1" applyFill="1"/>
    <xf numFmtId="171" fontId="0" fillId="0" borderId="0" xfId="0" applyNumberFormat="1"/>
    <xf numFmtId="0" fontId="20" fillId="0" borderId="0" xfId="0" applyFont="1" applyFill="1" applyAlignment="1">
      <alignment horizontal="center"/>
    </xf>
    <xf numFmtId="0" fontId="12" fillId="0" borderId="57" xfId="0" applyFont="1" applyFill="1" applyBorder="1"/>
    <xf numFmtId="0" fontId="12" fillId="0" borderId="58" xfId="0" applyFont="1" applyFill="1" applyBorder="1"/>
    <xf numFmtId="0" fontId="12" fillId="0" borderId="59" xfId="0" applyFont="1" applyFill="1" applyBorder="1"/>
    <xf numFmtId="171" fontId="12" fillId="0" borderId="54" xfId="40" applyNumberFormat="1" applyFont="1" applyFill="1" applyBorder="1"/>
    <xf numFmtId="165" fontId="12" fillId="0" borderId="54" xfId="40" applyFont="1" applyFill="1" applyBorder="1"/>
    <xf numFmtId="165" fontId="12" fillId="0" borderId="56" xfId="40" applyFont="1" applyFill="1" applyBorder="1"/>
    <xf numFmtId="171" fontId="12" fillId="0" borderId="60" xfId="40" applyNumberFormat="1" applyFont="1" applyFill="1" applyBorder="1"/>
    <xf numFmtId="171" fontId="12" fillId="0" borderId="62" xfId="40" applyNumberFormat="1" applyFont="1" applyFill="1" applyBorder="1"/>
    <xf numFmtId="165" fontId="12" fillId="0" borderId="57" xfId="40" applyFont="1" applyFill="1" applyBorder="1"/>
    <xf numFmtId="165" fontId="12" fillId="0" borderId="55" xfId="40" applyFont="1" applyFill="1" applyBorder="1"/>
    <xf numFmtId="171" fontId="12" fillId="0" borderId="61" xfId="40" applyNumberFormat="1" applyFont="1" applyFill="1" applyBorder="1"/>
    <xf numFmtId="43" fontId="9" fillId="0" borderId="0" xfId="44" applyFont="1" applyFill="1" applyBorder="1" applyAlignment="1">
      <alignment horizontal="center" vertical="center" wrapText="1"/>
    </xf>
    <xf numFmtId="171" fontId="12" fillId="0" borderId="55" xfId="40" applyNumberFormat="1" applyFont="1" applyFill="1" applyBorder="1"/>
    <xf numFmtId="43" fontId="7" fillId="0" borderId="38" xfId="44" applyFont="1" applyFill="1" applyBorder="1"/>
    <xf numFmtId="0" fontId="0" fillId="0" borderId="63" xfId="0" applyFill="1" applyBorder="1"/>
    <xf numFmtId="0" fontId="0" fillId="0" borderId="62" xfId="0" applyFill="1" applyBorder="1"/>
    <xf numFmtId="43" fontId="7" fillId="0" borderId="62" xfId="44" applyFill="1" applyBorder="1"/>
    <xf numFmtId="43" fontId="12" fillId="0" borderId="62" xfId="44" applyFont="1" applyFill="1" applyBorder="1"/>
    <xf numFmtId="39" fontId="9" fillId="0" borderId="0" xfId="0" applyNumberFormat="1" applyFont="1" applyFill="1" applyBorder="1"/>
    <xf numFmtId="0" fontId="17" fillId="0" borderId="0" xfId="0" applyFont="1" applyFill="1"/>
    <xf numFmtId="171" fontId="12" fillId="0" borderId="56" xfId="40" applyNumberFormat="1" applyFont="1" applyFill="1" applyBorder="1"/>
    <xf numFmtId="3" fontId="12" fillId="0" borderId="0" xfId="0" applyNumberFormat="1" applyFont="1" applyFill="1" applyBorder="1"/>
    <xf numFmtId="0" fontId="12" fillId="0" borderId="64" xfId="0" applyFont="1" applyFill="1" applyBorder="1"/>
    <xf numFmtId="171" fontId="12" fillId="0" borderId="63" xfId="40" applyNumberFormat="1" applyFont="1" applyFill="1" applyBorder="1"/>
    <xf numFmtId="171" fontId="12" fillId="0" borderId="0" xfId="40" applyNumberFormat="1" applyFont="1" applyFill="1" applyBorder="1"/>
    <xf numFmtId="39" fontId="0" fillId="0" borderId="0" xfId="0" applyNumberFormat="1"/>
    <xf numFmtId="171" fontId="0" fillId="0" borderId="0" xfId="40" applyNumberFormat="1" applyFont="1" applyBorder="1"/>
    <xf numFmtId="0" fontId="8" fillId="0" borderId="13" xfId="0" applyFont="1" applyFill="1" applyBorder="1" applyAlignment="1">
      <alignment horizontal="center" vertical="center" wrapText="1"/>
    </xf>
    <xf numFmtId="165" fontId="8" fillId="0" borderId="0" xfId="40" applyFont="1" applyFill="1" applyBorder="1"/>
    <xf numFmtId="43" fontId="8" fillId="0" borderId="68" xfId="44" applyFont="1" applyFill="1" applyBorder="1" applyAlignment="1">
      <alignment horizontal="left"/>
    </xf>
    <xf numFmtId="4" fontId="42" fillId="0" borderId="0" xfId="0" applyNumberFormat="1" applyFont="1" applyFill="1" applyBorder="1"/>
    <xf numFmtId="4" fontId="12" fillId="0" borderId="0" xfId="0" applyNumberFormat="1" applyFont="1" applyFill="1" applyBorder="1"/>
    <xf numFmtId="0" fontId="46" fillId="0" borderId="32" xfId="0" applyFont="1" applyFill="1" applyBorder="1"/>
    <xf numFmtId="0" fontId="46" fillId="0" borderId="0" xfId="0" applyFont="1" applyFill="1" applyBorder="1"/>
    <xf numFmtId="43" fontId="8" fillId="0" borderId="63" xfId="44" applyFont="1" applyFill="1" applyBorder="1" applyAlignment="1">
      <alignment horizontal="left"/>
    </xf>
    <xf numFmtId="0" fontId="0" fillId="0" borderId="68" xfId="0" applyFill="1" applyBorder="1"/>
    <xf numFmtId="43" fontId="44" fillId="26" borderId="19" xfId="44" applyFont="1" applyFill="1" applyBorder="1" applyAlignment="1">
      <alignment horizontal="center"/>
    </xf>
    <xf numFmtId="49" fontId="43" fillId="26" borderId="19" xfId="0" applyNumberFormat="1" applyFont="1" applyFill="1" applyBorder="1" applyAlignment="1">
      <alignment horizontal="center"/>
    </xf>
    <xf numFmtId="43" fontId="47" fillId="26" borderId="19" xfId="44" applyFont="1" applyFill="1" applyBorder="1" applyAlignment="1">
      <alignment horizontal="left"/>
    </xf>
    <xf numFmtId="43" fontId="7" fillId="0" borderId="84" xfId="44" applyFill="1" applyBorder="1"/>
    <xf numFmtId="43" fontId="12" fillId="0" borderId="85" xfId="44" applyFont="1" applyFill="1" applyBorder="1"/>
    <xf numFmtId="0" fontId="8" fillId="0" borderId="86" xfId="0" applyFont="1" applyBorder="1"/>
    <xf numFmtId="0" fontId="0" fillId="0" borderId="87" xfId="0" applyFill="1" applyBorder="1"/>
    <xf numFmtId="0" fontId="0" fillId="0" borderId="88" xfId="0" applyFill="1" applyBorder="1"/>
    <xf numFmtId="43" fontId="7" fillId="0" borderId="65" xfId="44" applyFill="1" applyBorder="1"/>
    <xf numFmtId="4" fontId="0" fillId="0" borderId="88" xfId="0" applyNumberFormat="1" applyFill="1" applyBorder="1"/>
    <xf numFmtId="43" fontId="7" fillId="0" borderId="89" xfId="44" applyFill="1" applyBorder="1"/>
    <xf numFmtId="4" fontId="12" fillId="0" borderId="90" xfId="0" applyNumberFormat="1" applyFont="1" applyFill="1" applyBorder="1"/>
    <xf numFmtId="43" fontId="7" fillId="0" borderId="73" xfId="44" applyFill="1" applyBorder="1"/>
    <xf numFmtId="43" fontId="12" fillId="0" borderId="91" xfId="44" applyFont="1" applyFill="1" applyBorder="1"/>
    <xf numFmtId="43" fontId="7" fillId="0" borderId="92" xfId="44" applyFill="1" applyBorder="1"/>
    <xf numFmtId="43" fontId="8" fillId="0" borderId="86" xfId="44" applyFont="1" applyFill="1" applyBorder="1" applyAlignment="1">
      <alignment horizontal="center"/>
    </xf>
    <xf numFmtId="43" fontId="12" fillId="0" borderId="88" xfId="44" applyFont="1" applyFill="1" applyBorder="1"/>
    <xf numFmtId="0" fontId="12" fillId="0" borderId="38" xfId="0" applyFont="1" applyFill="1" applyBorder="1"/>
    <xf numFmtId="165" fontId="12" fillId="0" borderId="65" xfId="40" applyFont="1" applyFill="1" applyBorder="1"/>
    <xf numFmtId="165" fontId="12" fillId="0" borderId="65" xfId="40" applyFont="1" applyFill="1" applyBorder="1" applyAlignment="1">
      <alignment horizontal="right"/>
    </xf>
    <xf numFmtId="2" fontId="12" fillId="0" borderId="88" xfId="44" applyNumberFormat="1" applyFont="1" applyFill="1" applyBorder="1"/>
    <xf numFmtId="0" fontId="12" fillId="0" borderId="84" xfId="0" applyFont="1" applyFill="1" applyBorder="1"/>
    <xf numFmtId="43" fontId="12" fillId="0" borderId="93" xfId="44" applyFont="1" applyFill="1" applyBorder="1"/>
    <xf numFmtId="43" fontId="12" fillId="0" borderId="90" xfId="44" applyFont="1" applyFill="1" applyBorder="1"/>
    <xf numFmtId="0" fontId="12" fillId="0" borderId="73" xfId="0" applyFont="1" applyFill="1" applyBorder="1"/>
    <xf numFmtId="165" fontId="12" fillId="0" borderId="73" xfId="40" applyFont="1" applyFill="1" applyBorder="1" applyAlignment="1">
      <alignment horizontal="right"/>
    </xf>
    <xf numFmtId="0" fontId="42" fillId="0" borderId="62" xfId="0" applyFont="1" applyFill="1" applyBorder="1" applyAlignment="1">
      <alignment horizontal="center"/>
    </xf>
    <xf numFmtId="2" fontId="42" fillId="0" borderId="62" xfId="0" applyNumberFormat="1" applyFont="1" applyFill="1" applyBorder="1" applyAlignment="1">
      <alignment horizontal="center"/>
    </xf>
    <xf numFmtId="0" fontId="0" fillId="0" borderId="93" xfId="0" applyFill="1" applyBorder="1"/>
    <xf numFmtId="165" fontId="8" fillId="24" borderId="86" xfId="40" applyFont="1" applyFill="1" applyBorder="1"/>
    <xf numFmtId="171" fontId="0" fillId="0" borderId="0" xfId="40" applyNumberFormat="1" applyFont="1" applyBorder="1" applyAlignment="1">
      <alignment horizontal="right"/>
    </xf>
    <xf numFmtId="0" fontId="12" fillId="0" borderId="63" xfId="0" applyFont="1" applyFill="1" applyBorder="1"/>
    <xf numFmtId="39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165" fontId="12" fillId="0" borderId="38" xfId="0" applyNumberFormat="1" applyFont="1" applyFill="1" applyBorder="1"/>
    <xf numFmtId="165" fontId="48" fillId="0" borderId="38" xfId="40" applyFont="1" applyFill="1" applyBorder="1"/>
    <xf numFmtId="171" fontId="12" fillId="0" borderId="0" xfId="0" applyNumberFormat="1" applyFont="1" applyFill="1" applyBorder="1"/>
    <xf numFmtId="171" fontId="12" fillId="0" borderId="0" xfId="40" applyNumberFormat="1" applyFont="1" applyBorder="1"/>
    <xf numFmtId="0" fontId="12" fillId="0" borderId="0" xfId="50" applyFont="1" applyFill="1" applyBorder="1" applyAlignment="1">
      <alignment horizontal="left"/>
    </xf>
    <xf numFmtId="171" fontId="12" fillId="0" borderId="0" xfId="0" applyNumberFormat="1" applyFont="1" applyFill="1" applyBorder="1" applyAlignment="1">
      <alignment vertical="center"/>
    </xf>
    <xf numFmtId="0" fontId="12" fillId="0" borderId="0" xfId="50" applyFont="1" applyFill="1" applyBorder="1"/>
    <xf numFmtId="171" fontId="8" fillId="0" borderId="0" xfId="0" applyNumberFormat="1" applyFont="1" applyBorder="1"/>
    <xf numFmtId="171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52" fillId="0" borderId="0" xfId="0" applyFont="1" applyFill="1"/>
    <xf numFmtId="0" fontId="52" fillId="0" borderId="0" xfId="0" applyFont="1" applyFill="1" applyBorder="1"/>
    <xf numFmtId="4" fontId="53" fillId="0" borderId="0" xfId="0" applyNumberFormat="1" applyFont="1" applyFill="1" applyBorder="1"/>
    <xf numFmtId="0" fontId="12" fillId="0" borderId="76" xfId="0" applyFont="1" applyFill="1" applyBorder="1"/>
    <xf numFmtId="171" fontId="12" fillId="0" borderId="76" xfId="40" applyNumberFormat="1" applyFont="1" applyFill="1" applyBorder="1"/>
    <xf numFmtId="165" fontId="12" fillId="0" borderId="80" xfId="40" applyFont="1" applyFill="1" applyBorder="1"/>
    <xf numFmtId="165" fontId="12" fillId="0" borderId="59" xfId="40" applyFont="1" applyFill="1" applyBorder="1"/>
    <xf numFmtId="165" fontId="12" fillId="0" borderId="58" xfId="40" applyFont="1" applyFill="1" applyBorder="1"/>
    <xf numFmtId="43" fontId="7" fillId="0" borderId="85" xfId="44" applyFill="1" applyBorder="1"/>
    <xf numFmtId="10" fontId="44" fillId="26" borderId="19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56" fillId="0" borderId="0" xfId="0" applyFont="1" applyFill="1"/>
    <xf numFmtId="0" fontId="56" fillId="0" borderId="0" xfId="0" applyFont="1" applyFill="1" applyBorder="1"/>
    <xf numFmtId="171" fontId="56" fillId="0" borderId="0" xfId="40" applyNumberFormat="1" applyFont="1" applyFill="1"/>
    <xf numFmtId="165" fontId="56" fillId="0" borderId="0" xfId="0" applyNumberFormat="1" applyFont="1" applyFill="1" applyBorder="1"/>
    <xf numFmtId="168" fontId="56" fillId="0" borderId="0" xfId="57" applyNumberFormat="1" applyFont="1" applyFill="1"/>
    <xf numFmtId="165" fontId="56" fillId="0" borderId="0" xfId="40" applyFont="1" applyFill="1"/>
    <xf numFmtId="170" fontId="55" fillId="0" borderId="0" xfId="0" applyNumberFormat="1" applyFont="1" applyFill="1" applyBorder="1"/>
    <xf numFmtId="0" fontId="19" fillId="0" borderId="0" xfId="0" applyFont="1"/>
    <xf numFmtId="165" fontId="19" fillId="0" borderId="51" xfId="40" applyFont="1" applyFill="1" applyBorder="1" applyAlignment="1">
      <alignment horizontal="left"/>
    </xf>
    <xf numFmtId="0" fontId="19" fillId="0" borderId="38" xfId="0" applyFont="1" applyFill="1" applyBorder="1" applyAlignment="1">
      <alignment horizontal="center"/>
    </xf>
    <xf numFmtId="164" fontId="18" fillId="0" borderId="50" xfId="41" applyFont="1" applyFill="1" applyBorder="1" applyAlignment="1">
      <alignment horizontal="center"/>
    </xf>
    <xf numFmtId="165" fontId="19" fillId="0" borderId="38" xfId="40" applyFont="1" applyFill="1" applyBorder="1" applyAlignment="1">
      <alignment horizontal="left"/>
    </xf>
    <xf numFmtId="165" fontId="19" fillId="0" borderId="0" xfId="40" applyFont="1" applyFill="1" applyBorder="1" applyAlignment="1">
      <alignment horizontal="left"/>
    </xf>
    <xf numFmtId="0" fontId="19" fillId="0" borderId="68" xfId="0" applyFont="1" applyFill="1" applyBorder="1" applyAlignment="1">
      <alignment horizontal="center"/>
    </xf>
    <xf numFmtId="165" fontId="19" fillId="0" borderId="66" xfId="40" applyFont="1" applyFill="1" applyBorder="1" applyAlignment="1">
      <alignment horizontal="left"/>
    </xf>
    <xf numFmtId="2" fontId="19" fillId="0" borderId="68" xfId="0" applyNumberFormat="1" applyFont="1" applyFill="1" applyBorder="1" applyAlignment="1">
      <alignment horizontal="center"/>
    </xf>
    <xf numFmtId="2" fontId="18" fillId="0" borderId="102" xfId="0" applyNumberFormat="1" applyFont="1" applyFill="1" applyBorder="1" applyAlignment="1">
      <alignment horizontal="center"/>
    </xf>
    <xf numFmtId="165" fontId="19" fillId="0" borderId="67" xfId="40" applyFont="1" applyFill="1" applyBorder="1" applyAlignment="1">
      <alignment horizontal="left"/>
    </xf>
    <xf numFmtId="0" fontId="19" fillId="0" borderId="100" xfId="0" applyFont="1" applyFill="1" applyBorder="1" applyAlignment="1">
      <alignment horizontal="center"/>
    </xf>
    <xf numFmtId="1" fontId="19" fillId="0" borderId="104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8" fillId="0" borderId="0" xfId="40" applyFont="1" applyFill="1" applyBorder="1"/>
    <xf numFmtId="165" fontId="19" fillId="0" borderId="0" xfId="40" applyFont="1" applyFill="1" applyBorder="1"/>
    <xf numFmtId="0" fontId="19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12" fillId="0" borderId="105" xfId="0" applyFont="1" applyFill="1" applyBorder="1"/>
    <xf numFmtId="171" fontId="12" fillId="0" borderId="105" xfId="40" applyNumberFormat="1" applyFont="1" applyFill="1" applyBorder="1"/>
    <xf numFmtId="0" fontId="12" fillId="0" borderId="106" xfId="0" applyFont="1" applyFill="1" applyBorder="1"/>
    <xf numFmtId="0" fontId="12" fillId="0" borderId="0" xfId="0" applyFont="1" applyFill="1" applyAlignment="1">
      <alignment horizontal="center"/>
    </xf>
    <xf numFmtId="0" fontId="12" fillId="0" borderId="55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172" fontId="13" fillId="0" borderId="0" xfId="45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81" xfId="0" applyFill="1" applyBorder="1"/>
    <xf numFmtId="171" fontId="8" fillId="0" borderId="82" xfId="0" applyNumberFormat="1" applyFont="1" applyFill="1" applyBorder="1" applyAlignment="1">
      <alignment horizontal="center"/>
    </xf>
    <xf numFmtId="171" fontId="0" fillId="0" borderId="83" xfId="0" applyNumberFormat="1" applyFill="1" applyBorder="1"/>
    <xf numFmtId="0" fontId="0" fillId="0" borderId="11" xfId="0" applyFill="1" applyBorder="1" applyAlignment="1">
      <alignment horizontal="center" vertical="center" wrapText="1"/>
    </xf>
    <xf numFmtId="171" fontId="0" fillId="0" borderId="0" xfId="0" applyNumberFormat="1" applyFill="1" applyBorder="1" applyAlignment="1">
      <alignment horizontal="center" vertical="center" wrapText="1"/>
    </xf>
    <xf numFmtId="171" fontId="0" fillId="0" borderId="26" xfId="0" applyNumberFormat="1" applyFill="1" applyBorder="1" applyAlignment="1">
      <alignment horizontal="center" vertical="center" wrapText="1"/>
    </xf>
    <xf numFmtId="171" fontId="0" fillId="0" borderId="47" xfId="0" applyNumberFormat="1" applyFill="1" applyBorder="1" applyAlignment="1">
      <alignment horizontal="center" vertical="center" wrapText="1"/>
    </xf>
    <xf numFmtId="171" fontId="0" fillId="0" borderId="109" xfId="0" applyNumberFormat="1" applyFill="1" applyBorder="1" applyAlignment="1">
      <alignment horizontal="center" vertical="center" wrapText="1"/>
    </xf>
    <xf numFmtId="171" fontId="12" fillId="0" borderId="102" xfId="46" applyNumberFormat="1" applyFont="1" applyFill="1" applyBorder="1" applyAlignment="1">
      <alignment horizontal="center" vertical="center" wrapText="1"/>
    </xf>
    <xf numFmtId="171" fontId="12" fillId="0" borderId="54" xfId="46" applyNumberFormat="1" applyFill="1" applyBorder="1" applyAlignment="1">
      <alignment horizontal="center" vertical="center" wrapText="1"/>
    </xf>
    <xf numFmtId="171" fontId="0" fillId="0" borderId="51" xfId="0" applyNumberFormat="1" applyFill="1" applyBorder="1" applyAlignment="1">
      <alignment horizontal="center" vertical="center" wrapText="1"/>
    </xf>
    <xf numFmtId="171" fontId="0" fillId="0" borderId="88" xfId="0" applyNumberFormat="1" applyFill="1" applyBorder="1" applyAlignment="1">
      <alignment horizontal="center" vertical="center" wrapText="1"/>
    </xf>
    <xf numFmtId="171" fontId="12" fillId="0" borderId="55" xfId="46" applyNumberFormat="1" applyFill="1" applyBorder="1" applyAlignment="1">
      <alignment horizontal="center" vertical="center" wrapText="1"/>
    </xf>
    <xf numFmtId="171" fontId="0" fillId="0" borderId="110" xfId="0" applyNumberFormat="1" applyFill="1" applyBorder="1" applyAlignment="1">
      <alignment horizontal="center" vertical="center" wrapText="1"/>
    </xf>
    <xf numFmtId="171" fontId="0" fillId="0" borderId="93" xfId="0" applyNumberFormat="1" applyFill="1" applyBorder="1" applyAlignment="1">
      <alignment horizontal="center" vertical="center" wrapText="1"/>
    </xf>
    <xf numFmtId="171" fontId="12" fillId="0" borderId="37" xfId="46" applyNumberFormat="1" applyFont="1" applyFill="1" applyBorder="1" applyAlignment="1">
      <alignment horizontal="center" vertical="center" wrapText="1"/>
    </xf>
    <xf numFmtId="171" fontId="12" fillId="0" borderId="105" xfId="46" applyNumberFormat="1" applyFill="1" applyBorder="1" applyAlignment="1">
      <alignment horizontal="center" vertical="center" wrapText="1"/>
    </xf>
    <xf numFmtId="165" fontId="12" fillId="0" borderId="64" xfId="40" applyFont="1" applyFill="1" applyBorder="1"/>
    <xf numFmtId="170" fontId="12" fillId="0" borderId="99" xfId="46" applyNumberFormat="1" applyFont="1" applyFill="1" applyBorder="1" applyAlignment="1">
      <alignment vertical="center" wrapText="1"/>
    </xf>
    <xf numFmtId="170" fontId="12" fillId="0" borderId="38" xfId="46" applyNumberFormat="1" applyFont="1" applyFill="1" applyBorder="1" applyAlignment="1">
      <alignment vertical="center" wrapText="1"/>
    </xf>
    <xf numFmtId="170" fontId="12" fillId="0" borderId="84" xfId="46" applyNumberFormat="1" applyFont="1" applyFill="1" applyBorder="1" applyAlignment="1">
      <alignment vertical="center" wrapText="1"/>
    </xf>
    <xf numFmtId="10" fontId="12" fillId="0" borderId="20" xfId="57" applyNumberFormat="1" applyFont="1" applyBorder="1" applyAlignment="1" applyProtection="1">
      <alignment horizontal="center"/>
      <protection locked="0"/>
    </xf>
    <xf numFmtId="176" fontId="44" fillId="26" borderId="19" xfId="40" applyNumberFormat="1" applyFont="1" applyFill="1" applyBorder="1" applyAlignment="1">
      <alignment horizontal="center"/>
    </xf>
    <xf numFmtId="43" fontId="12" fillId="0" borderId="38" xfId="44" applyFont="1" applyFill="1" applyBorder="1"/>
    <xf numFmtId="165" fontId="12" fillId="0" borderId="38" xfId="40" applyFont="1" applyFill="1" applyBorder="1" applyAlignment="1">
      <alignment horizontal="right"/>
    </xf>
    <xf numFmtId="2" fontId="12" fillId="0" borderId="38" xfId="44" applyNumberFormat="1" applyFont="1" applyFill="1" applyBorder="1"/>
    <xf numFmtId="43" fontId="0" fillId="0" borderId="38" xfId="44" applyFont="1" applyFill="1" applyBorder="1"/>
    <xf numFmtId="0" fontId="12" fillId="0" borderId="93" xfId="0" applyFont="1" applyFill="1" applyBorder="1"/>
    <xf numFmtId="43" fontId="42" fillId="29" borderId="19" xfId="44" applyFont="1" applyFill="1" applyBorder="1" applyAlignment="1">
      <alignment horizontal="right"/>
    </xf>
    <xf numFmtId="43" fontId="42" fillId="29" borderId="70" xfId="44" applyFont="1" applyFill="1" applyBorder="1" applyAlignment="1">
      <alignment horizontal="right"/>
    </xf>
    <xf numFmtId="0" fontId="9" fillId="0" borderId="14" xfId="0" applyFont="1" applyBorder="1"/>
    <xf numFmtId="0" fontId="42" fillId="29" borderId="14" xfId="0" applyFont="1" applyFill="1" applyBorder="1"/>
    <xf numFmtId="43" fontId="42" fillId="29" borderId="29" xfId="44" applyFont="1" applyFill="1" applyBorder="1" applyAlignment="1">
      <alignment horizontal="right"/>
    </xf>
    <xf numFmtId="165" fontId="42" fillId="29" borderId="14" xfId="0" applyNumberFormat="1" applyFont="1" applyFill="1" applyBorder="1"/>
    <xf numFmtId="165" fontId="42" fillId="29" borderId="14" xfId="40" applyFont="1" applyFill="1" applyBorder="1"/>
    <xf numFmtId="165" fontId="9" fillId="24" borderId="14" xfId="40" applyFont="1" applyFill="1" applyBorder="1"/>
    <xf numFmtId="4" fontId="42" fillId="29" borderId="14" xfId="0" applyNumberFormat="1" applyFont="1" applyFill="1" applyBorder="1"/>
    <xf numFmtId="165" fontId="42" fillId="29" borderId="29" xfId="40" applyFont="1" applyFill="1" applyBorder="1"/>
    <xf numFmtId="4" fontId="9" fillId="29" borderId="37" xfId="0" applyNumberFormat="1" applyFont="1" applyFill="1" applyBorder="1" applyAlignment="1">
      <alignment horizontal="center"/>
    </xf>
    <xf numFmtId="4" fontId="42" fillId="0" borderId="14" xfId="0" applyNumberFormat="1" applyFont="1" applyFill="1" applyBorder="1" applyAlignment="1">
      <alignment horizontal="left" wrapText="1"/>
    </xf>
    <xf numFmtId="4" fontId="9" fillId="29" borderId="74" xfId="0" applyNumberFormat="1" applyFont="1" applyFill="1" applyBorder="1" applyAlignment="1">
      <alignment horizontal="center"/>
    </xf>
    <xf numFmtId="4" fontId="42" fillId="29" borderId="36" xfId="0" applyNumberFormat="1" applyFont="1" applyFill="1" applyBorder="1"/>
    <xf numFmtId="43" fontId="42" fillId="29" borderId="22" xfId="44" applyFont="1" applyFill="1" applyBorder="1" applyAlignment="1">
      <alignment horizontal="right"/>
    </xf>
    <xf numFmtId="4" fontId="9" fillId="29" borderId="104" xfId="0" applyNumberFormat="1" applyFont="1" applyFill="1" applyBorder="1" applyAlignment="1">
      <alignment horizontal="center"/>
    </xf>
    <xf numFmtId="9" fontId="44" fillId="26" borderId="19" xfId="57" applyNumberFormat="1" applyFont="1" applyFill="1" applyBorder="1" applyAlignment="1">
      <alignment horizontal="center"/>
    </xf>
    <xf numFmtId="165" fontId="14" fillId="0" borderId="0" xfId="40" applyFont="1" applyBorder="1"/>
    <xf numFmtId="171" fontId="55" fillId="28" borderId="107" xfId="0" applyNumberFormat="1" applyFont="1" applyFill="1" applyBorder="1" applyAlignment="1">
      <alignment horizontal="center" vertical="center" wrapText="1"/>
    </xf>
    <xf numFmtId="171" fontId="55" fillId="28" borderId="23" xfId="0" applyNumberFormat="1" applyFont="1" applyFill="1" applyBorder="1" applyAlignment="1">
      <alignment horizontal="center" vertical="center" wrapText="1"/>
    </xf>
    <xf numFmtId="171" fontId="55" fillId="28" borderId="108" xfId="0" applyNumberFormat="1" applyFont="1" applyFill="1" applyBorder="1" applyAlignment="1">
      <alignment horizontal="center" vertical="center" wrapText="1"/>
    </xf>
    <xf numFmtId="171" fontId="55" fillId="28" borderId="104" xfId="0" applyNumberFormat="1" applyFont="1" applyFill="1" applyBorder="1" applyAlignment="1">
      <alignment horizontal="center" vertical="center" wrapText="1"/>
    </xf>
    <xf numFmtId="0" fontId="54" fillId="28" borderId="81" xfId="0" applyFont="1" applyFill="1" applyBorder="1" applyAlignment="1">
      <alignment horizontal="center" vertical="center" wrapText="1"/>
    </xf>
    <xf numFmtId="171" fontId="54" fillId="28" borderId="82" xfId="0" applyNumberFormat="1" applyFont="1" applyFill="1" applyBorder="1" applyAlignment="1">
      <alignment horizontal="center" vertical="center" wrapText="1"/>
    </xf>
    <xf numFmtId="170" fontId="54" fillId="28" borderId="97" xfId="0" applyNumberFormat="1" applyFont="1" applyFill="1" applyBorder="1" applyAlignment="1">
      <alignment vertical="center" wrapText="1"/>
    </xf>
    <xf numFmtId="171" fontId="54" fillId="28" borderId="77" xfId="0" applyNumberFormat="1" applyFont="1" applyFill="1" applyBorder="1" applyAlignment="1">
      <alignment vertical="center" wrapText="1"/>
    </xf>
    <xf numFmtId="171" fontId="54" fillId="28" borderId="98" xfId="0" applyNumberFormat="1" applyFont="1" applyFill="1" applyBorder="1" applyAlignment="1">
      <alignment vertical="center" wrapText="1"/>
    </xf>
    <xf numFmtId="37" fontId="57" fillId="28" borderId="76" xfId="0" applyNumberFormat="1" applyFont="1" applyFill="1" applyBorder="1"/>
    <xf numFmtId="0" fontId="8" fillId="0" borderId="94" xfId="0" applyFont="1" applyBorder="1"/>
    <xf numFmtId="0" fontId="0" fillId="0" borderId="49" xfId="0" applyFill="1" applyBorder="1"/>
    <xf numFmtId="0" fontId="8" fillId="0" borderId="49" xfId="0" applyFont="1" applyBorder="1"/>
    <xf numFmtId="165" fontId="0" fillId="0" borderId="49" xfId="40" applyFont="1" applyFill="1" applyBorder="1"/>
    <xf numFmtId="165" fontId="8" fillId="24" borderId="49" xfId="40" applyFont="1" applyFill="1" applyBorder="1"/>
    <xf numFmtId="4" fontId="0" fillId="0" borderId="49" xfId="0" applyNumberFormat="1" applyFill="1" applyBorder="1"/>
    <xf numFmtId="4" fontId="12" fillId="0" borderId="49" xfId="0" applyNumberFormat="1" applyFont="1" applyFill="1" applyBorder="1"/>
    <xf numFmtId="4" fontId="12" fillId="0" borderId="53" xfId="0" applyNumberFormat="1" applyFont="1" applyFill="1" applyBorder="1"/>
    <xf numFmtId="0" fontId="58" fillId="28" borderId="15" xfId="0" applyFont="1" applyFill="1" applyBorder="1" applyAlignment="1">
      <alignment horizontal="center"/>
    </xf>
    <xf numFmtId="39" fontId="42" fillId="0" borderId="64" xfId="0" applyNumberFormat="1" applyFont="1" applyFill="1" applyBorder="1"/>
    <xf numFmtId="39" fontId="42" fillId="0" borderId="55" xfId="0" applyNumberFormat="1" applyFont="1" applyFill="1" applyBorder="1"/>
    <xf numFmtId="39" fontId="42" fillId="0" borderId="56" xfId="0" applyNumberFormat="1" applyFont="1" applyFill="1" applyBorder="1"/>
    <xf numFmtId="165" fontId="50" fillId="0" borderId="63" xfId="40" applyFont="1" applyFill="1" applyBorder="1"/>
    <xf numFmtId="165" fontId="50" fillId="0" borderId="62" xfId="40" applyFont="1" applyFill="1" applyBorder="1"/>
    <xf numFmtId="171" fontId="50" fillId="0" borderId="62" xfId="40" applyNumberFormat="1" applyFont="1" applyFill="1" applyBorder="1" applyAlignment="1"/>
    <xf numFmtId="171" fontId="42" fillId="0" borderId="62" xfId="40" applyNumberFormat="1" applyFont="1" applyFill="1" applyBorder="1" applyAlignment="1"/>
    <xf numFmtId="165" fontId="50" fillId="0" borderId="61" xfId="40" applyFont="1" applyFill="1" applyBorder="1"/>
    <xf numFmtId="0" fontId="8" fillId="0" borderId="49" xfId="0" applyFont="1" applyFill="1" applyBorder="1"/>
    <xf numFmtId="165" fontId="12" fillId="0" borderId="49" xfId="0" applyNumberFormat="1" applyFont="1" applyFill="1" applyBorder="1"/>
    <xf numFmtId="2" fontId="42" fillId="0" borderId="61" xfId="0" applyNumberFormat="1" applyFont="1" applyFill="1" applyBorder="1" applyAlignment="1">
      <alignment horizontal="center"/>
    </xf>
    <xf numFmtId="0" fontId="12" fillId="0" borderId="122" xfId="0" applyFont="1" applyFill="1" applyBorder="1"/>
    <xf numFmtId="171" fontId="42" fillId="0" borderId="55" xfId="0" applyNumberFormat="1" applyFont="1" applyFill="1" applyBorder="1"/>
    <xf numFmtId="0" fontId="12" fillId="0" borderId="123" xfId="0" applyFont="1" applyFill="1" applyBorder="1"/>
    <xf numFmtId="171" fontId="42" fillId="0" borderId="56" xfId="0" applyNumberFormat="1" applyFont="1" applyFill="1" applyBorder="1"/>
    <xf numFmtId="165" fontId="42" fillId="0" borderId="55" xfId="0" applyNumberFormat="1" applyFont="1" applyFill="1" applyBorder="1" applyAlignment="1">
      <alignment horizontal="right"/>
    </xf>
    <xf numFmtId="165" fontId="42" fillId="0" borderId="56" xfId="0" applyNumberFormat="1" applyFont="1" applyFill="1" applyBorder="1" applyAlignment="1">
      <alignment horizontal="right"/>
    </xf>
    <xf numFmtId="0" fontId="55" fillId="28" borderId="111" xfId="0" applyFont="1" applyFill="1" applyBorder="1" applyAlignment="1">
      <alignment horizontal="center"/>
    </xf>
    <xf numFmtId="0" fontId="55" fillId="28" borderId="77" xfId="0" applyFont="1" applyFill="1" applyBorder="1" applyAlignment="1">
      <alignment horizontal="center"/>
    </xf>
    <xf numFmtId="0" fontId="55" fillId="28" borderId="78" xfId="0" applyFont="1" applyFill="1" applyBorder="1" applyAlignment="1">
      <alignment horizontal="center"/>
    </xf>
    <xf numFmtId="0" fontId="55" fillId="28" borderId="79" xfId="0" applyFont="1" applyFill="1" applyBorder="1" applyAlignment="1">
      <alignment horizontal="center"/>
    </xf>
    <xf numFmtId="171" fontId="54" fillId="28" borderId="76" xfId="40" applyNumberFormat="1" applyFont="1" applyFill="1" applyBorder="1"/>
    <xf numFmtId="0" fontId="55" fillId="28" borderId="80" xfId="0" applyFont="1" applyFill="1" applyBorder="1" applyAlignment="1">
      <alignment horizontal="center"/>
    </xf>
    <xf numFmtId="0" fontId="55" fillId="28" borderId="76" xfId="0" applyFont="1" applyFill="1" applyBorder="1" applyAlignment="1">
      <alignment horizontal="center"/>
    </xf>
    <xf numFmtId="0" fontId="55" fillId="28" borderId="81" xfId="0" applyFont="1" applyFill="1" applyBorder="1" applyAlignment="1">
      <alignment horizontal="center"/>
    </xf>
    <xf numFmtId="0" fontId="55" fillId="28" borderId="83" xfId="0" applyFont="1" applyFill="1" applyBorder="1" applyAlignment="1">
      <alignment horizontal="center"/>
    </xf>
    <xf numFmtId="0" fontId="56" fillId="28" borderId="82" xfId="0" applyFont="1" applyFill="1" applyBorder="1" applyAlignment="1">
      <alignment horizontal="center"/>
    </xf>
    <xf numFmtId="0" fontId="56" fillId="28" borderId="81" xfId="0" applyFont="1" applyFill="1" applyBorder="1" applyAlignment="1">
      <alignment horizontal="center"/>
    </xf>
    <xf numFmtId="3" fontId="54" fillId="28" borderId="76" xfId="0" applyNumberFormat="1" applyFont="1" applyFill="1" applyBorder="1"/>
    <xf numFmtId="0" fontId="56" fillId="28" borderId="76" xfId="0" applyFont="1" applyFill="1" applyBorder="1" applyAlignment="1">
      <alignment horizontal="center"/>
    </xf>
    <xf numFmtId="0" fontId="55" fillId="28" borderId="55" xfId="0" applyFont="1" applyFill="1" applyBorder="1"/>
    <xf numFmtId="0" fontId="55" fillId="28" borderId="56" xfId="0" applyFont="1" applyFill="1" applyBorder="1"/>
    <xf numFmtId="165" fontId="55" fillId="28" borderId="76" xfId="40" applyFont="1" applyFill="1" applyBorder="1"/>
    <xf numFmtId="165" fontId="18" fillId="0" borderId="47" xfId="40" applyFont="1" applyFill="1" applyBorder="1" applyAlignment="1">
      <alignment horizontal="left"/>
    </xf>
    <xf numFmtId="0" fontId="19" fillId="0" borderId="99" xfId="0" applyFont="1" applyFill="1" applyBorder="1"/>
    <xf numFmtId="165" fontId="18" fillId="0" borderId="51" xfId="40" applyFont="1" applyFill="1" applyBorder="1" applyAlignment="1">
      <alignment horizontal="left"/>
    </xf>
    <xf numFmtId="165" fontId="47" fillId="26" borderId="78" xfId="40" applyFont="1" applyFill="1" applyBorder="1" applyAlignment="1">
      <alignment horizontal="left"/>
    </xf>
    <xf numFmtId="0" fontId="49" fillId="26" borderId="97" xfId="0" applyFont="1" applyFill="1" applyBorder="1" applyAlignment="1">
      <alignment horizontal="center"/>
    </xf>
    <xf numFmtId="0" fontId="47" fillId="26" borderId="97" xfId="0" applyFont="1" applyFill="1" applyBorder="1" applyAlignment="1">
      <alignment horizontal="center" vertical="center" wrapText="1"/>
    </xf>
    <xf numFmtId="0" fontId="47" fillId="26" borderId="98" xfId="0" applyFont="1" applyFill="1" applyBorder="1" applyAlignment="1">
      <alignment horizontal="center" vertical="center" wrapText="1"/>
    </xf>
    <xf numFmtId="43" fontId="42" fillId="0" borderId="0" xfId="44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center"/>
    </xf>
    <xf numFmtId="177" fontId="8" fillId="0" borderId="0" xfId="0" applyNumberFormat="1" applyFont="1"/>
    <xf numFmtId="0" fontId="60" fillId="0" borderId="0" xfId="0" applyFont="1" applyFill="1" applyBorder="1"/>
    <xf numFmtId="164" fontId="19" fillId="0" borderId="0" xfId="0" applyNumberFormat="1" applyFont="1"/>
    <xf numFmtId="165" fontId="12" fillId="31" borderId="65" xfId="40" applyFont="1" applyFill="1" applyBorder="1"/>
    <xf numFmtId="165" fontId="12" fillId="31" borderId="65" xfId="40" applyFont="1" applyFill="1" applyBorder="1" applyAlignment="1">
      <alignment horizontal="right"/>
    </xf>
    <xf numFmtId="37" fontId="42" fillId="0" borderId="62" xfId="0" applyNumberFormat="1" applyFont="1" applyFill="1" applyBorder="1"/>
    <xf numFmtId="172" fontId="13" fillId="0" borderId="0" xfId="45" applyNumberFormat="1" applyFont="1" applyFill="1" applyBorder="1"/>
    <xf numFmtId="173" fontId="12" fillId="0" borderId="0" xfId="0" applyNumberFormat="1" applyFont="1" applyFill="1" applyBorder="1"/>
    <xf numFmtId="173" fontId="0" fillId="0" borderId="0" xfId="0" applyNumberFormat="1" applyFill="1" applyBorder="1"/>
    <xf numFmtId="165" fontId="12" fillId="0" borderId="0" xfId="0" applyNumberFormat="1" applyFont="1" applyFill="1" applyBorder="1"/>
    <xf numFmtId="174" fontId="12" fillId="0" borderId="0" xfId="0" applyNumberFormat="1" applyFont="1" applyFill="1" applyBorder="1"/>
    <xf numFmtId="0" fontId="55" fillId="28" borderId="121" xfId="0" applyFont="1" applyFill="1" applyBorder="1" applyAlignment="1">
      <alignment horizontal="center" wrapText="1"/>
    </xf>
    <xf numFmtId="0" fontId="55" fillId="28" borderId="27" xfId="0" applyFont="1" applyFill="1" applyBorder="1" applyAlignment="1">
      <alignment horizontal="center" wrapText="1"/>
    </xf>
    <xf numFmtId="165" fontId="58" fillId="28" borderId="81" xfId="40" applyFont="1" applyFill="1" applyBorder="1" applyAlignment="1">
      <alignment horizontal="center"/>
    </xf>
    <xf numFmtId="43" fontId="44" fillId="26" borderId="70" xfId="44" applyFont="1" applyFill="1" applyBorder="1" applyAlignment="1">
      <alignment horizontal="center"/>
    </xf>
    <xf numFmtId="43" fontId="44" fillId="26" borderId="24" xfId="44" applyFont="1" applyFill="1" applyBorder="1" applyAlignment="1">
      <alignment horizontal="center"/>
    </xf>
    <xf numFmtId="43" fontId="7" fillId="0" borderId="84" xfId="44" applyFont="1" applyFill="1" applyBorder="1"/>
    <xf numFmtId="43" fontId="44" fillId="26" borderId="121" xfId="44" applyFont="1" applyFill="1" applyBorder="1" applyAlignment="1">
      <alignment horizontal="center"/>
    </xf>
    <xf numFmtId="43" fontId="8" fillId="0" borderId="64" xfId="44" applyFont="1" applyFill="1" applyBorder="1" applyAlignment="1">
      <alignment horizontal="left"/>
    </xf>
    <xf numFmtId="43" fontId="7" fillId="0" borderId="55" xfId="44" applyFill="1" applyBorder="1"/>
    <xf numFmtId="43" fontId="7" fillId="0" borderId="105" xfId="44" applyFill="1" applyBorder="1"/>
    <xf numFmtId="43" fontId="7" fillId="0" borderId="56" xfId="44" applyFill="1" applyBorder="1"/>
    <xf numFmtId="0" fontId="8" fillId="0" borderId="40" xfId="0" applyFont="1" applyFill="1" applyBorder="1" applyAlignment="1">
      <alignment horizontal="left"/>
    </xf>
    <xf numFmtId="0" fontId="52" fillId="0" borderId="49" xfId="0" applyFont="1" applyFill="1" applyBorder="1"/>
    <xf numFmtId="165" fontId="52" fillId="0" borderId="49" xfId="40" applyFont="1" applyFill="1" applyBorder="1"/>
    <xf numFmtId="165" fontId="42" fillId="0" borderId="62" xfId="40" applyFont="1" applyFill="1" applyBorder="1"/>
    <xf numFmtId="165" fontId="48" fillId="0" borderId="84" xfId="40" applyFont="1" applyFill="1" applyBorder="1"/>
    <xf numFmtId="171" fontId="42" fillId="0" borderId="123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42" fillId="29" borderId="24" xfId="44" applyFont="1" applyFill="1" applyBorder="1" applyAlignment="1">
      <alignment horizontal="right"/>
    </xf>
    <xf numFmtId="43" fontId="42" fillId="29" borderId="124" xfId="44" applyFont="1" applyFill="1" applyBorder="1" applyAlignment="1">
      <alignment horizontal="right"/>
    </xf>
    <xf numFmtId="43" fontId="42" fillId="29" borderId="14" xfId="44" applyFont="1" applyFill="1" applyBorder="1" applyAlignment="1">
      <alignment horizontal="right"/>
    </xf>
    <xf numFmtId="43" fontId="42" fillId="29" borderId="36" xfId="44" applyFont="1" applyFill="1" applyBorder="1" applyAlignment="1">
      <alignment horizontal="right"/>
    </xf>
    <xf numFmtId="4" fontId="9" fillId="29" borderId="69" xfId="0" applyNumberFormat="1" applyFont="1" applyFill="1" applyBorder="1" applyAlignment="1">
      <alignment horizontal="center"/>
    </xf>
    <xf numFmtId="4" fontId="9" fillId="29" borderId="71" xfId="0" applyNumberFormat="1" applyFont="1" applyFill="1" applyBorder="1" applyAlignment="1">
      <alignment horizontal="center"/>
    </xf>
    <xf numFmtId="0" fontId="58" fillId="28" borderId="54" xfId="0" applyFont="1" applyFill="1" applyBorder="1" applyAlignment="1">
      <alignment horizontal="center" wrapText="1"/>
    </xf>
    <xf numFmtId="0" fontId="58" fillId="28" borderId="56" xfId="0" applyFont="1" applyFill="1" applyBorder="1" applyAlignment="1">
      <alignment horizontal="center" wrapText="1"/>
    </xf>
    <xf numFmtId="43" fontId="7" fillId="0" borderId="0" xfId="44" applyFill="1" applyBorder="1"/>
    <xf numFmtId="43" fontId="12" fillId="0" borderId="0" xfId="44" applyFont="1" applyFill="1" applyBorder="1"/>
    <xf numFmtId="165" fontId="12" fillId="0" borderId="0" xfId="40" applyFont="1" applyFill="1" applyBorder="1" applyAlignment="1">
      <alignment horizontal="right"/>
    </xf>
    <xf numFmtId="178" fontId="9" fillId="0" borderId="81" xfId="0" applyNumberFormat="1" applyFont="1" applyFill="1" applyBorder="1" applyAlignment="1"/>
    <xf numFmtId="178" fontId="9" fillId="0" borderId="82" xfId="0" applyNumberFormat="1" applyFont="1" applyFill="1" applyBorder="1" applyAlignment="1"/>
    <xf numFmtId="178" fontId="9" fillId="0" borderId="83" xfId="0" applyNumberFormat="1" applyFont="1" applyFill="1" applyBorder="1" applyAlignment="1"/>
    <xf numFmtId="171" fontId="52" fillId="0" borderId="0" xfId="40" applyNumberFormat="1" applyFont="1" applyFill="1"/>
    <xf numFmtId="0" fontId="43" fillId="26" borderId="0" xfId="0" applyFont="1" applyFill="1" applyBorder="1" applyAlignment="1">
      <alignment horizontal="center" vertical="center" wrapText="1"/>
    </xf>
    <xf numFmtId="49" fontId="43" fillId="26" borderId="0" xfId="0" applyNumberFormat="1" applyFont="1" applyFill="1" applyBorder="1" applyAlignment="1">
      <alignment horizontal="center"/>
    </xf>
    <xf numFmtId="0" fontId="43" fillId="30" borderId="0" xfId="0" applyFont="1" applyFill="1" applyBorder="1" applyAlignment="1">
      <alignment horizontal="center" vertical="center" wrapText="1"/>
    </xf>
    <xf numFmtId="0" fontId="0" fillId="30" borderId="0" xfId="0" applyFill="1" applyBorder="1"/>
    <xf numFmtId="165" fontId="12" fillId="30" borderId="0" xfId="40" applyFont="1" applyFill="1" applyBorder="1"/>
    <xf numFmtId="165" fontId="12" fillId="30" borderId="0" xfId="40" applyFont="1" applyFill="1" applyBorder="1" applyAlignment="1">
      <alignment horizontal="right"/>
    </xf>
    <xf numFmtId="179" fontId="12" fillId="31" borderId="0" xfId="40" applyNumberFormat="1" applyFont="1" applyFill="1" applyBorder="1"/>
    <xf numFmtId="179" fontId="12" fillId="31" borderId="0" xfId="40" applyNumberFormat="1" applyFont="1" applyFill="1" applyBorder="1" applyAlignment="1">
      <alignment horizontal="right"/>
    </xf>
    <xf numFmtId="179" fontId="12" fillId="0" borderId="0" xfId="40" applyNumberFormat="1" applyFont="1" applyFill="1" applyBorder="1"/>
    <xf numFmtId="0" fontId="43" fillId="0" borderId="0" xfId="0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/>
    </xf>
    <xf numFmtId="40" fontId="0" fillId="0" borderId="0" xfId="0" applyNumberFormat="1" applyFill="1"/>
    <xf numFmtId="181" fontId="0" fillId="0" borderId="0" xfId="57" applyNumberFormat="1" applyFont="1" applyFill="1"/>
    <xf numFmtId="179" fontId="61" fillId="32" borderId="0" xfId="40" applyNumberFormat="1" applyFont="1" applyFill="1" applyBorder="1"/>
    <xf numFmtId="179" fontId="61" fillId="32" borderId="0" xfId="40" applyNumberFormat="1" applyFont="1" applyFill="1" applyBorder="1" applyAlignment="1">
      <alignment horizontal="right"/>
    </xf>
    <xf numFmtId="0" fontId="62" fillId="0" borderId="0" xfId="0" applyFont="1" applyFill="1"/>
    <xf numFmtId="0" fontId="66" fillId="35" borderId="0" xfId="210" applyFont="1" applyFill="1" applyBorder="1" applyAlignment="1">
      <alignment horizontal="left"/>
    </xf>
    <xf numFmtId="0" fontId="70" fillId="36" borderId="0" xfId="210" applyFont="1" applyFill="1" applyBorder="1" applyAlignment="1">
      <alignment horizontal="center"/>
    </xf>
    <xf numFmtId="0" fontId="70" fillId="36" borderId="0" xfId="210" applyFont="1" applyFill="1" applyBorder="1"/>
    <xf numFmtId="4" fontId="70" fillId="36" borderId="0" xfId="210" applyNumberFormat="1" applyFont="1" applyFill="1" applyBorder="1" applyAlignment="1">
      <alignment horizontal="center"/>
    </xf>
    <xf numFmtId="0" fontId="66" fillId="35" borderId="0" xfId="210" applyFont="1" applyFill="1" applyBorder="1"/>
    <xf numFmtId="0" fontId="70" fillId="30" borderId="0" xfId="210" applyFont="1" applyFill="1" applyBorder="1" applyAlignment="1">
      <alignment horizontal="center"/>
    </xf>
    <xf numFmtId="0" fontId="70" fillId="30" borderId="0" xfId="210" applyFont="1" applyFill="1" applyBorder="1"/>
    <xf numFmtId="0" fontId="66" fillId="35" borderId="0" xfId="210" applyFont="1" applyFill="1" applyBorder="1" applyAlignment="1">
      <alignment horizontal="center"/>
    </xf>
    <xf numFmtId="4" fontId="70" fillId="30" borderId="0" xfId="210" applyNumberFormat="1" applyFont="1" applyFill="1" applyBorder="1" applyAlignment="1">
      <alignment horizontal="center"/>
    </xf>
    <xf numFmtId="0" fontId="70" fillId="0" borderId="0" xfId="210" applyFont="1" applyFill="1" applyBorder="1" applyAlignment="1">
      <alignment horizontal="center"/>
    </xf>
    <xf numFmtId="0" fontId="68" fillId="35" borderId="0" xfId="210" applyFont="1" applyFill="1" applyBorder="1"/>
    <xf numFmtId="2" fontId="70" fillId="30" borderId="0" xfId="210" applyNumberFormat="1" applyFont="1" applyFill="1" applyBorder="1" applyAlignment="1">
      <alignment horizontal="center"/>
    </xf>
    <xf numFmtId="2" fontId="70" fillId="0" borderId="0" xfId="210" applyNumberFormat="1" applyFont="1" applyFill="1" applyBorder="1" applyAlignment="1">
      <alignment horizontal="center"/>
    </xf>
    <xf numFmtId="2" fontId="70" fillId="36" borderId="0" xfId="210" applyNumberFormat="1" applyFont="1" applyFill="1" applyBorder="1" applyAlignment="1">
      <alignment horizontal="center"/>
    </xf>
    <xf numFmtId="4" fontId="66" fillId="35" borderId="0" xfId="210" applyNumberFormat="1" applyFont="1" applyFill="1" applyBorder="1" applyAlignment="1">
      <alignment horizontal="center"/>
    </xf>
    <xf numFmtId="0" fontId="73" fillId="30" borderId="0" xfId="210" applyFont="1" applyFill="1" applyBorder="1" applyAlignment="1">
      <alignment horizontal="left"/>
    </xf>
    <xf numFmtId="0" fontId="66" fillId="35" borderId="0" xfId="210" applyFont="1" applyFill="1" applyBorder="1" applyAlignment="1">
      <alignment horizontal="right"/>
    </xf>
    <xf numFmtId="0" fontId="75" fillId="35" borderId="0" xfId="210" applyFont="1" applyFill="1" applyBorder="1"/>
    <xf numFmtId="0" fontId="63" fillId="0" borderId="0" xfId="212" applyFont="1"/>
    <xf numFmtId="0" fontId="64" fillId="34" borderId="0" xfId="212" applyFont="1" applyFill="1"/>
    <xf numFmtId="0" fontId="65" fillId="34" borderId="0" xfId="212" applyFont="1" applyFill="1"/>
    <xf numFmtId="0" fontId="4" fillId="0" borderId="0" xfId="212"/>
    <xf numFmtId="0" fontId="4" fillId="0" borderId="0" xfId="212" applyFont="1" applyBorder="1"/>
    <xf numFmtId="0" fontId="66" fillId="0" borderId="0" xfId="212" applyFont="1" applyFill="1" applyBorder="1" applyAlignment="1">
      <alignment horizontal="center"/>
    </xf>
    <xf numFmtId="0" fontId="67" fillId="0" borderId="0" xfId="212" applyFont="1"/>
    <xf numFmtId="0" fontId="66" fillId="35" borderId="0" xfId="212" applyFont="1" applyFill="1" applyAlignment="1">
      <alignment horizontal="center" vertical="center" wrapText="1"/>
    </xf>
    <xf numFmtId="0" fontId="66" fillId="35" borderId="0" xfId="212" applyFont="1" applyFill="1" applyAlignment="1">
      <alignment horizontal="center" vertical="center"/>
    </xf>
    <xf numFmtId="0" fontId="68" fillId="35" borderId="0" xfId="212" applyFont="1" applyFill="1" applyBorder="1"/>
    <xf numFmtId="0" fontId="66" fillId="35" borderId="0" xfId="212" applyFont="1" applyFill="1" applyBorder="1" applyAlignment="1">
      <alignment horizontal="center" vertical="center" wrapText="1"/>
    </xf>
    <xf numFmtId="0" fontId="4" fillId="0" borderId="0" xfId="212" applyFont="1" applyAlignment="1">
      <alignment horizontal="left" indent="1"/>
    </xf>
    <xf numFmtId="3" fontId="69" fillId="0" borderId="0" xfId="212" applyNumberFormat="1" applyFont="1" applyAlignment="1">
      <alignment horizontal="center"/>
    </xf>
    <xf numFmtId="3" fontId="69" fillId="1" borderId="0" xfId="212" applyNumberFormat="1" applyFont="1" applyFill="1" applyAlignment="1">
      <alignment horizontal="center"/>
    </xf>
    <xf numFmtId="3" fontId="69" fillId="0" borderId="0" xfId="212" applyNumberFormat="1" applyFont="1" applyBorder="1"/>
    <xf numFmtId="168" fontId="69" fillId="0" borderId="0" xfId="213" applyNumberFormat="1" applyFont="1" applyBorder="1"/>
    <xf numFmtId="0" fontId="69" fillId="1" borderId="0" xfId="212" applyFont="1" applyFill="1" applyAlignment="1">
      <alignment horizontal="center"/>
    </xf>
    <xf numFmtId="0" fontId="71" fillId="31" borderId="0" xfId="212" applyFont="1" applyFill="1" applyAlignment="1">
      <alignment horizontal="left" indent="1"/>
    </xf>
    <xf numFmtId="3" fontId="72" fillId="31" borderId="0" xfId="212" applyNumberFormat="1" applyFont="1" applyFill="1" applyAlignment="1">
      <alignment horizontal="center"/>
    </xf>
    <xf numFmtId="0" fontId="66" fillId="35" borderId="0" xfId="212" applyFont="1" applyFill="1" applyBorder="1"/>
    <xf numFmtId="3" fontId="66" fillId="35" borderId="0" xfId="212" applyNumberFormat="1" applyFont="1" applyFill="1" applyBorder="1"/>
    <xf numFmtId="168" fontId="66" fillId="35" borderId="0" xfId="213" applyNumberFormat="1" applyFont="1" applyFill="1" applyBorder="1"/>
    <xf numFmtId="0" fontId="74" fillId="0" borderId="0" xfId="212" applyFont="1" applyBorder="1"/>
    <xf numFmtId="0" fontId="4" fillId="0" borderId="0" xfId="212" applyFont="1" applyBorder="1" applyAlignment="1">
      <alignment horizontal="center"/>
    </xf>
    <xf numFmtId="2" fontId="4" fillId="0" borderId="0" xfId="212" applyNumberFormat="1" applyFont="1" applyBorder="1" applyAlignment="1">
      <alignment horizontal="center"/>
    </xf>
    <xf numFmtId="3" fontId="76" fillId="32" borderId="80" xfId="212" applyNumberFormat="1" applyFont="1" applyFill="1" applyBorder="1" applyAlignment="1">
      <alignment horizontal="center"/>
    </xf>
    <xf numFmtId="3" fontId="76" fillId="32" borderId="123" xfId="212" applyNumberFormat="1" applyFont="1" applyFill="1" applyBorder="1" applyAlignment="1">
      <alignment horizontal="center"/>
    </xf>
    <xf numFmtId="0" fontId="69" fillId="0" borderId="0" xfId="212" applyFont="1" applyBorder="1"/>
    <xf numFmtId="3" fontId="77" fillId="32" borderId="107" xfId="212" applyNumberFormat="1" applyFont="1" applyFill="1" applyBorder="1" applyAlignment="1">
      <alignment horizontal="center"/>
    </xf>
    <xf numFmtId="0" fontId="4" fillId="35" borderId="0" xfId="212" applyFont="1" applyFill="1" applyBorder="1"/>
    <xf numFmtId="0" fontId="8" fillId="0" borderId="118" xfId="212" applyFont="1" applyBorder="1" applyAlignment="1">
      <alignment horizontal="center"/>
    </xf>
    <xf numFmtId="0" fontId="8" fillId="0" borderId="34" xfId="212" applyFont="1" applyBorder="1" applyAlignment="1">
      <alignment horizontal="center"/>
    </xf>
    <xf numFmtId="0" fontId="8" fillId="0" borderId="75" xfId="212" applyFont="1" applyBorder="1" applyAlignment="1">
      <alignment horizontal="center"/>
    </xf>
    <xf numFmtId="0" fontId="8" fillId="0" borderId="27" xfId="212" applyFont="1" applyBorder="1"/>
    <xf numFmtId="172" fontId="0" fillId="0" borderId="16" xfId="214" applyNumberFormat="1" applyFont="1" applyBorder="1"/>
    <xf numFmtId="172" fontId="0" fillId="0" borderId="17" xfId="214" applyNumberFormat="1" applyFont="1" applyBorder="1"/>
    <xf numFmtId="172" fontId="0" fillId="0" borderId="126" xfId="214" applyNumberFormat="1" applyFont="1" applyBorder="1"/>
    <xf numFmtId="4" fontId="4" fillId="0" borderId="0" xfId="212" applyNumberFormat="1" applyFont="1" applyBorder="1" applyAlignment="1">
      <alignment horizontal="center"/>
    </xf>
    <xf numFmtId="0" fontId="8" fillId="0" borderId="28" xfId="212" applyFont="1" applyBorder="1"/>
    <xf numFmtId="172" fontId="0" fillId="0" borderId="14" xfId="214" applyNumberFormat="1" applyFont="1" applyBorder="1"/>
    <xf numFmtId="172" fontId="0" fillId="0" borderId="19" xfId="214" applyNumberFormat="1" applyFont="1" applyBorder="1"/>
    <xf numFmtId="172" fontId="0" fillId="0" borderId="29" xfId="214" applyNumberFormat="1" applyFont="1" applyBorder="1"/>
    <xf numFmtId="0" fontId="8" fillId="0" borderId="127" xfId="212" applyFont="1" applyBorder="1"/>
    <xf numFmtId="172" fontId="7" fillId="0" borderId="128" xfId="214" applyNumberFormat="1" applyFont="1" applyBorder="1" applyAlignment="1">
      <alignment horizontal="right"/>
    </xf>
    <xf numFmtId="172" fontId="0" fillId="0" borderId="44" xfId="214" applyNumberFormat="1" applyFont="1" applyBorder="1"/>
    <xf numFmtId="172" fontId="0" fillId="0" borderId="74" xfId="214" applyNumberFormat="1" applyFont="1" applyBorder="1"/>
    <xf numFmtId="0" fontId="8" fillId="0" borderId="76" xfId="212" applyFont="1" applyFill="1" applyBorder="1"/>
    <xf numFmtId="172" fontId="0" fillId="0" borderId="117" xfId="214" applyNumberFormat="1" applyFont="1" applyBorder="1"/>
    <xf numFmtId="172" fontId="0" fillId="0" borderId="97" xfId="214" applyNumberFormat="1" applyFont="1" applyBorder="1"/>
    <xf numFmtId="172" fontId="0" fillId="0" borderId="98" xfId="214" applyNumberFormat="1" applyFont="1" applyBorder="1"/>
    <xf numFmtId="0" fontId="66" fillId="35" borderId="0" xfId="212" applyFont="1" applyFill="1" applyBorder="1" applyAlignment="1">
      <alignment horizontal="center"/>
    </xf>
    <xf numFmtId="172" fontId="4" fillId="0" borderId="0" xfId="212" applyNumberFormat="1"/>
    <xf numFmtId="0" fontId="71" fillId="0" borderId="0" xfId="212" applyFont="1"/>
    <xf numFmtId="172" fontId="71" fillId="0" borderId="0" xfId="212" applyNumberFormat="1" applyFont="1"/>
    <xf numFmtId="3" fontId="4" fillId="0" borderId="0" xfId="212" applyNumberFormat="1"/>
    <xf numFmtId="3" fontId="71" fillId="0" borderId="0" xfId="212" applyNumberFormat="1" applyFont="1"/>
    <xf numFmtId="3" fontId="75" fillId="32" borderId="76" xfId="212" applyNumberFormat="1" applyFont="1" applyFill="1" applyBorder="1"/>
    <xf numFmtId="3" fontId="78" fillId="0" borderId="0" xfId="212" applyNumberFormat="1" applyFont="1"/>
    <xf numFmtId="165" fontId="0" fillId="0" borderId="0" xfId="40" applyFont="1" applyBorder="1"/>
    <xf numFmtId="165" fontId="0" fillId="0" borderId="0" xfId="40" applyFont="1"/>
    <xf numFmtId="165" fontId="51" fillId="0" borderId="0" xfId="40" applyFont="1" applyBorder="1"/>
    <xf numFmtId="0" fontId="7" fillId="0" borderId="0" xfId="0" applyFont="1" applyFill="1"/>
    <xf numFmtId="0" fontId="79" fillId="0" borderId="0" xfId="0" applyFont="1" applyFill="1"/>
    <xf numFmtId="0" fontId="7" fillId="0" borderId="45" xfId="0" applyFont="1" applyFill="1" applyBorder="1"/>
    <xf numFmtId="0" fontId="7" fillId="0" borderId="49" xfId="0" applyFont="1" applyFill="1" applyBorder="1"/>
    <xf numFmtId="165" fontId="7" fillId="0" borderId="0" xfId="0" applyNumberFormat="1" applyFont="1" applyFill="1" applyAlignment="1">
      <alignment horizontal="center"/>
    </xf>
    <xf numFmtId="43" fontId="12" fillId="0" borderId="0" xfId="0" applyNumberFormat="1" applyFont="1" applyFill="1"/>
    <xf numFmtId="0" fontId="7" fillId="0" borderId="105" xfId="0" applyFont="1" applyFill="1" applyBorder="1"/>
    <xf numFmtId="0" fontId="7" fillId="0" borderId="55" xfId="0" applyFont="1" applyFill="1" applyBorder="1"/>
    <xf numFmtId="183" fontId="12" fillId="0" borderId="0" xfId="0" applyNumberFormat="1" applyFont="1" applyFill="1"/>
    <xf numFmtId="0" fontId="7" fillId="0" borderId="0" xfId="0" applyFont="1" applyFill="1" applyBorder="1"/>
    <xf numFmtId="43" fontId="12" fillId="0" borderId="0" xfId="0" applyNumberFormat="1" applyFont="1" applyFill="1" applyBorder="1"/>
    <xf numFmtId="10" fontId="44" fillId="26" borderId="19" xfId="57" applyNumberFormat="1" applyFont="1" applyFill="1" applyBorder="1" applyAlignment="1">
      <alignment horizontal="center"/>
    </xf>
    <xf numFmtId="9" fontId="4" fillId="0" borderId="0" xfId="57" applyFont="1"/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4" fillId="0" borderId="0" xfId="57" applyFont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182" fontId="9" fillId="32" borderId="19" xfId="40" applyNumberFormat="1" applyFont="1" applyFill="1" applyBorder="1" applyAlignment="1">
      <alignment horizontal="center"/>
    </xf>
    <xf numFmtId="0" fontId="83" fillId="0" borderId="0" xfId="0" applyFont="1" applyFill="1" applyBorder="1"/>
    <xf numFmtId="164" fontId="18" fillId="0" borderId="0" xfId="0" applyNumberFormat="1" applyFont="1"/>
    <xf numFmtId="3" fontId="81" fillId="0" borderId="129" xfId="212" applyNumberFormat="1" applyFont="1" applyBorder="1"/>
    <xf numFmtId="0" fontId="82" fillId="0" borderId="0" xfId="212" applyFont="1" applyFill="1" applyBorder="1"/>
    <xf numFmtId="3" fontId="76" fillId="32" borderId="31" xfId="212" applyNumberFormat="1" applyFont="1" applyFill="1" applyBorder="1" applyAlignment="1">
      <alignment horizontal="center"/>
    </xf>
    <xf numFmtId="3" fontId="76" fillId="32" borderId="11" xfId="212" applyNumberFormat="1" applyFont="1" applyFill="1" applyBorder="1" applyAlignment="1">
      <alignment horizontal="center"/>
    </xf>
    <xf numFmtId="3" fontId="77" fillId="32" borderId="81" xfId="212" applyNumberFormat="1" applyFont="1" applyFill="1" applyBorder="1" applyAlignment="1">
      <alignment horizontal="center"/>
    </xf>
    <xf numFmtId="9" fontId="81" fillId="0" borderId="95" xfId="57" applyFont="1" applyBorder="1" applyAlignment="1">
      <alignment horizontal="center"/>
    </xf>
    <xf numFmtId="9" fontId="81" fillId="0" borderId="69" xfId="57" applyFont="1" applyBorder="1" applyAlignment="1">
      <alignment horizontal="center"/>
    </xf>
    <xf numFmtId="3" fontId="81" fillId="0" borderId="5" xfId="212" applyNumberFormat="1" applyFont="1" applyBorder="1"/>
    <xf numFmtId="9" fontId="81" fillId="0" borderId="96" xfId="57" applyFont="1" applyBorder="1" applyAlignment="1">
      <alignment horizontal="center"/>
    </xf>
    <xf numFmtId="3" fontId="81" fillId="0" borderId="113" xfId="212" applyNumberFormat="1" applyFont="1" applyBorder="1"/>
    <xf numFmtId="165" fontId="12" fillId="0" borderId="76" xfId="40" applyFont="1" applyFill="1" applyBorder="1"/>
    <xf numFmtId="2" fontId="86" fillId="3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vertical="center"/>
    </xf>
    <xf numFmtId="0" fontId="87" fillId="0" borderId="0" xfId="173" applyFont="1"/>
    <xf numFmtId="172" fontId="87" fillId="24" borderId="104" xfId="216" applyNumberFormat="1" applyFont="1" applyFill="1" applyBorder="1"/>
    <xf numFmtId="172" fontId="87" fillId="24" borderId="35" xfId="216" applyNumberFormat="1" applyFont="1" applyFill="1" applyBorder="1"/>
    <xf numFmtId="172" fontId="87" fillId="24" borderId="35" xfId="210" applyNumberFormat="1" applyFont="1" applyFill="1" applyBorder="1"/>
    <xf numFmtId="0" fontId="87" fillId="24" borderId="35" xfId="210" applyFont="1" applyFill="1" applyBorder="1" applyAlignment="1">
      <alignment horizontal="center"/>
    </xf>
    <xf numFmtId="0" fontId="87" fillId="24" borderId="108" xfId="210" applyFont="1" applyFill="1" applyBorder="1"/>
    <xf numFmtId="172" fontId="87" fillId="24" borderId="37" xfId="216" applyNumberFormat="1" applyFont="1" applyFill="1" applyBorder="1"/>
    <xf numFmtId="185" fontId="87" fillId="24" borderId="30" xfId="216" applyNumberFormat="1" applyFont="1" applyFill="1" applyBorder="1"/>
    <xf numFmtId="0" fontId="87" fillId="24" borderId="30" xfId="210" applyFont="1" applyFill="1" applyBorder="1"/>
    <xf numFmtId="0" fontId="87" fillId="24" borderId="30" xfId="210" applyFont="1" applyFill="1" applyBorder="1" applyAlignment="1">
      <alignment horizontal="center"/>
    </xf>
    <xf numFmtId="0" fontId="87" fillId="24" borderId="130" xfId="210" applyFont="1" applyFill="1" applyBorder="1"/>
    <xf numFmtId="172" fontId="87" fillId="24" borderId="30" xfId="216" applyNumberFormat="1" applyFont="1" applyFill="1" applyBorder="1"/>
    <xf numFmtId="0" fontId="64" fillId="35" borderId="126" xfId="210" applyFont="1" applyFill="1" applyBorder="1" applyAlignment="1">
      <alignment horizontal="center"/>
    </xf>
    <xf numFmtId="0" fontId="64" fillId="35" borderId="17" xfId="210" applyFont="1" applyFill="1" applyBorder="1" applyAlignment="1">
      <alignment horizontal="center"/>
    </xf>
    <xf numFmtId="0" fontId="64" fillId="35" borderId="18" xfId="210" applyFont="1" applyFill="1" applyBorder="1" applyAlignment="1">
      <alignment horizontal="center"/>
    </xf>
    <xf numFmtId="0" fontId="64" fillId="35" borderId="16" xfId="210" applyFont="1" applyFill="1" applyBorder="1"/>
    <xf numFmtId="0" fontId="87" fillId="24" borderId="35" xfId="210" applyFont="1" applyFill="1" applyBorder="1"/>
    <xf numFmtId="0" fontId="87" fillId="24" borderId="11" xfId="210" applyFont="1" applyFill="1" applyBorder="1"/>
    <xf numFmtId="10" fontId="88" fillId="0" borderId="39" xfId="173" applyNumberFormat="1" applyFont="1" applyBorder="1"/>
    <xf numFmtId="10" fontId="88" fillId="0" borderId="23" xfId="173" applyNumberFormat="1" applyFont="1" applyBorder="1"/>
    <xf numFmtId="0" fontId="64" fillId="35" borderId="118" xfId="173" applyFont="1" applyFill="1" applyBorder="1" applyAlignment="1">
      <alignment horizontal="center"/>
    </xf>
    <xf numFmtId="0" fontId="64" fillId="35" borderId="108" xfId="173" applyFont="1" applyFill="1" applyBorder="1" applyAlignment="1">
      <alignment horizontal="center"/>
    </xf>
    <xf numFmtId="165" fontId="7" fillId="0" borderId="0" xfId="40" applyFont="1" applyFill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47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40" fontId="56" fillId="0" borderId="0" xfId="0" applyNumberFormat="1" applyFont="1" applyFill="1"/>
    <xf numFmtId="184" fontId="56" fillId="0" borderId="0" xfId="0" applyNumberFormat="1" applyFont="1" applyFill="1"/>
    <xf numFmtId="0" fontId="2" fillId="0" borderId="0" xfId="217"/>
    <xf numFmtId="0" fontId="63" fillId="0" borderId="0" xfId="217" applyFont="1"/>
    <xf numFmtId="0" fontId="64" fillId="34" borderId="0" xfId="217" applyFont="1" applyFill="1"/>
    <xf numFmtId="0" fontId="65" fillId="34" borderId="0" xfId="217" applyFont="1" applyFill="1"/>
    <xf numFmtId="0" fontId="89" fillId="0" borderId="0" xfId="210" applyFont="1" applyFill="1" applyAlignment="1"/>
    <xf numFmtId="0" fontId="87" fillId="0" borderId="0" xfId="210" applyFont="1"/>
    <xf numFmtId="0" fontId="87" fillId="0" borderId="0" xfId="210" applyFont="1" applyBorder="1"/>
    <xf numFmtId="0" fontId="87" fillId="24" borderId="130" xfId="210" applyFont="1" applyFill="1" applyBorder="1" applyAlignment="1">
      <alignment horizontal="left" indent="1"/>
    </xf>
    <xf numFmtId="10" fontId="87" fillId="30" borderId="30" xfId="218" applyNumberFormat="1" applyFont="1" applyFill="1" applyBorder="1" applyAlignment="1">
      <alignment horizontal="center"/>
    </xf>
    <xf numFmtId="10" fontId="88" fillId="0" borderId="30" xfId="218" applyNumberFormat="1" applyFont="1" applyFill="1" applyBorder="1" applyAlignment="1">
      <alignment horizontal="center"/>
    </xf>
    <xf numFmtId="10" fontId="87" fillId="30" borderId="37" xfId="218" applyNumberFormat="1" applyFont="1" applyFill="1" applyBorder="1" applyAlignment="1">
      <alignment horizontal="center"/>
    </xf>
    <xf numFmtId="168" fontId="87" fillId="0" borderId="0" xfId="218" applyNumberFormat="1" applyFont="1" applyBorder="1"/>
    <xf numFmtId="0" fontId="90" fillId="0" borderId="0" xfId="210" applyFont="1" applyBorder="1"/>
    <xf numFmtId="0" fontId="87" fillId="24" borderId="108" xfId="210" applyFont="1" applyFill="1" applyBorder="1" applyAlignment="1">
      <alignment horizontal="left" indent="1"/>
    </xf>
    <xf numFmtId="10" fontId="87" fillId="30" borderId="35" xfId="218" applyNumberFormat="1" applyFont="1" applyFill="1" applyBorder="1" applyAlignment="1">
      <alignment horizontal="center"/>
    </xf>
    <xf numFmtId="10" fontId="88" fillId="30" borderId="35" xfId="218" applyNumberFormat="1" applyFont="1" applyFill="1" applyBorder="1" applyAlignment="1">
      <alignment horizontal="center"/>
    </xf>
    <xf numFmtId="10" fontId="87" fillId="30" borderId="104" xfId="218" applyNumberFormat="1" applyFont="1" applyFill="1" applyBorder="1" applyAlignment="1">
      <alignment horizontal="center"/>
    </xf>
    <xf numFmtId="10" fontId="87" fillId="30" borderId="0" xfId="218" applyNumberFormat="1" applyFont="1" applyFill="1" applyBorder="1" applyAlignment="1">
      <alignment horizontal="center"/>
    </xf>
    <xf numFmtId="0" fontId="64" fillId="35" borderId="16" xfId="210" applyFont="1" applyFill="1" applyBorder="1" applyAlignment="1">
      <alignment horizontal="left" indent="1"/>
    </xf>
    <xf numFmtId="0" fontId="87" fillId="24" borderId="17" xfId="210" applyFont="1" applyFill="1" applyBorder="1" applyAlignment="1">
      <alignment horizontal="center"/>
    </xf>
    <xf numFmtId="10" fontId="88" fillId="30" borderId="126" xfId="218" applyNumberFormat="1" applyFont="1" applyFill="1" applyBorder="1" applyAlignment="1">
      <alignment horizontal="center"/>
    </xf>
    <xf numFmtId="43" fontId="87" fillId="0" borderId="0" xfId="219" applyFont="1" applyBorder="1"/>
    <xf numFmtId="0" fontId="64" fillId="35" borderId="36" xfId="210" applyFont="1" applyFill="1" applyBorder="1" applyAlignment="1">
      <alignment horizontal="left" indent="1"/>
    </xf>
    <xf numFmtId="0" fontId="87" fillId="24" borderId="22" xfId="210" applyFont="1" applyFill="1" applyBorder="1" applyAlignment="1">
      <alignment horizontal="center"/>
    </xf>
    <xf numFmtId="10" fontId="88" fillId="30" borderId="131" xfId="210" applyNumberFormat="1" applyFont="1" applyFill="1" applyBorder="1" applyAlignment="1">
      <alignment horizontal="center"/>
    </xf>
    <xf numFmtId="0" fontId="87" fillId="24" borderId="0" xfId="210" applyFont="1" applyFill="1" applyBorder="1"/>
    <xf numFmtId="43" fontId="87" fillId="0" borderId="0" xfId="219" applyFont="1"/>
    <xf numFmtId="0" fontId="87" fillId="0" borderId="0" xfId="210" applyFont="1" applyFill="1"/>
    <xf numFmtId="0" fontId="89" fillId="0" borderId="0" xfId="210" applyFont="1" applyFill="1" applyBorder="1"/>
    <xf numFmtId="172" fontId="87" fillId="24" borderId="30" xfId="219" applyNumberFormat="1" applyFont="1" applyFill="1" applyBorder="1"/>
    <xf numFmtId="172" fontId="87" fillId="24" borderId="37" xfId="219" applyNumberFormat="1" applyFont="1" applyFill="1" applyBorder="1"/>
    <xf numFmtId="0" fontId="87" fillId="0" borderId="11" xfId="210" applyFont="1" applyFill="1" applyBorder="1"/>
    <xf numFmtId="0" fontId="87" fillId="0" borderId="30" xfId="210" applyFont="1" applyFill="1" applyBorder="1" applyAlignment="1">
      <alignment horizontal="center"/>
    </xf>
    <xf numFmtId="172" fontId="87" fillId="0" borderId="30" xfId="219" applyNumberFormat="1" applyFont="1" applyFill="1" applyBorder="1"/>
    <xf numFmtId="172" fontId="87" fillId="0" borderId="37" xfId="219" applyNumberFormat="1" applyFont="1" applyFill="1" applyBorder="1"/>
    <xf numFmtId="0" fontId="87" fillId="0" borderId="13" xfId="210" applyFont="1" applyFill="1" applyBorder="1"/>
    <xf numFmtId="0" fontId="87" fillId="0" borderId="35" xfId="210" applyFont="1" applyFill="1" applyBorder="1" applyAlignment="1">
      <alignment horizontal="center"/>
    </xf>
    <xf numFmtId="172" fontId="91" fillId="0" borderId="35" xfId="219" applyNumberFormat="1" applyFont="1" applyFill="1" applyBorder="1"/>
    <xf numFmtId="172" fontId="91" fillId="0" borderId="104" xfId="219" applyNumberFormat="1" applyFont="1" applyFill="1" applyBorder="1"/>
    <xf numFmtId="0" fontId="87" fillId="0" borderId="0" xfId="210" applyFont="1" applyFill="1" applyBorder="1"/>
    <xf numFmtId="0" fontId="87" fillId="0" borderId="0" xfId="210" applyFont="1" applyFill="1" applyBorder="1" applyAlignment="1">
      <alignment horizontal="center"/>
    </xf>
    <xf numFmtId="172" fontId="87" fillId="0" borderId="0" xfId="219" applyNumberFormat="1" applyFont="1" applyFill="1" applyBorder="1"/>
    <xf numFmtId="0" fontId="64" fillId="35" borderId="27" xfId="210" applyFont="1" applyFill="1" applyBorder="1"/>
    <xf numFmtId="0" fontId="64" fillId="38" borderId="76" xfId="210" applyFont="1" applyFill="1" applyBorder="1" applyAlignment="1">
      <alignment horizontal="center"/>
    </xf>
    <xf numFmtId="172" fontId="87" fillId="0" borderId="26" xfId="219" applyNumberFormat="1" applyFont="1" applyFill="1" applyBorder="1"/>
    <xf numFmtId="0" fontId="88" fillId="0" borderId="80" xfId="210" applyFont="1" applyBorder="1" applyAlignment="1">
      <alignment horizontal="center"/>
    </xf>
    <xf numFmtId="0" fontId="87" fillId="36" borderId="80" xfId="210" applyFont="1" applyFill="1" applyBorder="1" applyAlignment="1">
      <alignment horizontal="center"/>
    </xf>
    <xf numFmtId="0" fontId="65" fillId="0" borderId="0" xfId="210" applyFont="1"/>
    <xf numFmtId="0" fontId="88" fillId="0" borderId="123" xfId="210" applyFont="1" applyBorder="1" applyAlignment="1">
      <alignment horizontal="center"/>
    </xf>
    <xf numFmtId="0" fontId="87" fillId="36" borderId="123" xfId="210" applyFont="1" applyFill="1" applyBorder="1" applyAlignment="1">
      <alignment horizontal="center"/>
    </xf>
    <xf numFmtId="0" fontId="87" fillId="24" borderId="13" xfId="210" applyFont="1" applyFill="1" applyBorder="1"/>
    <xf numFmtId="172" fontId="87" fillId="0" borderId="35" xfId="219" applyNumberFormat="1" applyFont="1" applyFill="1" applyBorder="1"/>
    <xf numFmtId="172" fontId="87" fillId="0" borderId="12" xfId="219" applyNumberFormat="1" applyFont="1" applyFill="1" applyBorder="1"/>
    <xf numFmtId="172" fontId="87" fillId="0" borderId="23" xfId="219" applyNumberFormat="1" applyFont="1" applyFill="1" applyBorder="1"/>
    <xf numFmtId="0" fontId="88" fillId="0" borderId="107" xfId="210" applyFont="1" applyBorder="1" applyAlignment="1">
      <alignment horizontal="center"/>
    </xf>
    <xf numFmtId="0" fontId="87" fillId="36" borderId="107" xfId="210" applyFont="1" applyFill="1" applyBorder="1" applyAlignment="1">
      <alignment horizontal="center"/>
    </xf>
    <xf numFmtId="0" fontId="87" fillId="24" borderId="0" xfId="210" applyFont="1" applyFill="1" applyBorder="1" applyAlignment="1">
      <alignment horizontal="center"/>
    </xf>
    <xf numFmtId="0" fontId="89" fillId="24" borderId="30" xfId="210" applyFont="1" applyFill="1" applyBorder="1" applyAlignment="1">
      <alignment horizontal="center"/>
    </xf>
    <xf numFmtId="0" fontId="92" fillId="0" borderId="0" xfId="210" applyFont="1"/>
    <xf numFmtId="0" fontId="87" fillId="24" borderId="32" xfId="210" applyFont="1" applyFill="1" applyBorder="1" applyAlignment="1">
      <alignment horizontal="center"/>
    </xf>
    <xf numFmtId="172" fontId="87" fillId="0" borderId="32" xfId="219" applyNumberFormat="1" applyFont="1" applyFill="1" applyBorder="1"/>
    <xf numFmtId="0" fontId="89" fillId="0" borderId="0" xfId="210" applyFont="1" applyAlignment="1">
      <alignment horizontal="center"/>
    </xf>
    <xf numFmtId="172" fontId="87" fillId="24" borderId="0" xfId="219" applyNumberFormat="1" applyFont="1" applyFill="1" applyBorder="1"/>
    <xf numFmtId="172" fontId="87" fillId="24" borderId="26" xfId="219" applyNumberFormat="1" applyFont="1" applyFill="1" applyBorder="1"/>
    <xf numFmtId="172" fontId="87" fillId="0" borderId="0" xfId="210" applyNumberFormat="1" applyFont="1"/>
    <xf numFmtId="172" fontId="87" fillId="0" borderId="0" xfId="210" applyNumberFormat="1" applyFont="1" applyFill="1"/>
    <xf numFmtId="172" fontId="87" fillId="24" borderId="35" xfId="219" applyNumberFormat="1" applyFont="1" applyFill="1" applyBorder="1"/>
    <xf numFmtId="172" fontId="87" fillId="24" borderId="12" xfId="219" applyNumberFormat="1" applyFont="1" applyFill="1" applyBorder="1"/>
    <xf numFmtId="172" fontId="87" fillId="24" borderId="23" xfId="219" applyNumberFormat="1" applyFont="1" applyFill="1" applyBorder="1"/>
    <xf numFmtId="0" fontId="92" fillId="0" borderId="0" xfId="210" applyFont="1" applyFill="1"/>
    <xf numFmtId="0" fontId="87" fillId="24" borderId="0" xfId="210" applyFont="1" applyFill="1"/>
    <xf numFmtId="0" fontId="89" fillId="0" borderId="0" xfId="210" applyFont="1" applyFill="1"/>
    <xf numFmtId="0" fontId="87" fillId="0" borderId="130" xfId="210" applyFont="1" applyFill="1" applyBorder="1"/>
    <xf numFmtId="0" fontId="87" fillId="0" borderId="30" xfId="210" applyFont="1" applyFill="1" applyBorder="1"/>
    <xf numFmtId="0" fontId="89" fillId="31" borderId="36" xfId="210" applyFont="1" applyFill="1" applyBorder="1"/>
    <xf numFmtId="0" fontId="87" fillId="31" borderId="22" xfId="210" applyFont="1" applyFill="1" applyBorder="1"/>
    <xf numFmtId="172" fontId="87" fillId="31" borderId="22" xfId="210" applyNumberFormat="1" applyFont="1" applyFill="1" applyBorder="1"/>
    <xf numFmtId="172" fontId="87" fillId="31" borderId="131" xfId="210" applyNumberFormat="1" applyFont="1" applyFill="1" applyBorder="1"/>
    <xf numFmtId="0" fontId="87" fillId="30" borderId="0" xfId="210" applyFont="1" applyFill="1" applyBorder="1"/>
    <xf numFmtId="0" fontId="89" fillId="30" borderId="0" xfId="210" applyFont="1" applyFill="1" applyBorder="1"/>
    <xf numFmtId="172" fontId="87" fillId="30" borderId="0" xfId="210" applyNumberFormat="1" applyFont="1" applyFill="1" applyBorder="1"/>
    <xf numFmtId="164" fontId="87" fillId="24" borderId="30" xfId="210" applyNumberFormat="1" applyFont="1" applyFill="1" applyBorder="1"/>
    <xf numFmtId="0" fontId="87" fillId="24" borderId="104" xfId="210" applyFont="1" applyFill="1" applyBorder="1"/>
    <xf numFmtId="0" fontId="64" fillId="35" borderId="126" xfId="210" applyFont="1" applyFill="1" applyBorder="1" applyAlignment="1">
      <alignment horizontal="left"/>
    </xf>
    <xf numFmtId="3" fontId="87" fillId="24" borderId="30" xfId="210" applyNumberFormat="1" applyFont="1" applyFill="1" applyBorder="1"/>
    <xf numFmtId="0" fontId="87" fillId="24" borderId="37" xfId="210" applyFont="1" applyFill="1" applyBorder="1"/>
    <xf numFmtId="172" fontId="87" fillId="24" borderId="104" xfId="219" applyNumberFormat="1" applyFont="1" applyFill="1" applyBorder="1"/>
    <xf numFmtId="0" fontId="64" fillId="35" borderId="17" xfId="210" applyFont="1" applyFill="1" applyBorder="1" applyAlignment="1">
      <alignment horizontal="center" vertical="center"/>
    </xf>
    <xf numFmtId="0" fontId="87" fillId="24" borderId="130" xfId="210" applyFont="1" applyFill="1" applyBorder="1" applyAlignment="1">
      <alignment horizontal="left" vertical="center" indent="1"/>
    </xf>
    <xf numFmtId="0" fontId="87" fillId="30" borderId="30" xfId="210" applyFont="1" applyFill="1" applyBorder="1" applyAlignment="1">
      <alignment horizontal="center" vertical="center"/>
    </xf>
    <xf numFmtId="172" fontId="87" fillId="30" borderId="30" xfId="210" applyNumberFormat="1" applyFont="1" applyFill="1" applyBorder="1"/>
    <xf numFmtId="172" fontId="87" fillId="30" borderId="37" xfId="210" applyNumberFormat="1" applyFont="1" applyFill="1" applyBorder="1"/>
    <xf numFmtId="0" fontId="87" fillId="24" borderId="110" xfId="210" applyFont="1" applyFill="1" applyBorder="1" applyAlignment="1">
      <alignment horizontal="left" vertical="center" indent="1"/>
    </xf>
    <xf numFmtId="0" fontId="87" fillId="30" borderId="84" xfId="210" applyFont="1" applyFill="1" applyBorder="1" applyAlignment="1">
      <alignment horizontal="center" vertical="center"/>
    </xf>
    <xf numFmtId="172" fontId="87" fillId="30" borderId="84" xfId="210" applyNumberFormat="1" applyFont="1" applyFill="1" applyBorder="1"/>
    <xf numFmtId="172" fontId="87" fillId="30" borderId="119" xfId="210" applyNumberFormat="1" applyFont="1" applyFill="1" applyBorder="1"/>
    <xf numFmtId="0" fontId="87" fillId="24" borderId="108" xfId="210" applyFont="1" applyFill="1" applyBorder="1" applyAlignment="1">
      <alignment horizontal="left" vertical="center" indent="1"/>
    </xf>
    <xf numFmtId="0" fontId="87" fillId="30" borderId="35" xfId="210" applyFont="1" applyFill="1" applyBorder="1" applyAlignment="1">
      <alignment horizontal="center" vertical="center"/>
    </xf>
    <xf numFmtId="172" fontId="87" fillId="30" borderId="35" xfId="210" applyNumberFormat="1" applyFont="1" applyFill="1" applyBorder="1"/>
    <xf numFmtId="172" fontId="87" fillId="30" borderId="104" xfId="210" applyNumberFormat="1" applyFont="1" applyFill="1" applyBorder="1"/>
    <xf numFmtId="0" fontId="89" fillId="24" borderId="128" xfId="210" applyFont="1" applyFill="1" applyBorder="1" applyAlignment="1">
      <alignment vertical="center"/>
    </xf>
    <xf numFmtId="0" fontId="87" fillId="30" borderId="44" xfId="210" applyFont="1" applyFill="1" applyBorder="1" applyAlignment="1">
      <alignment horizontal="center" vertical="center"/>
    </xf>
    <xf numFmtId="0" fontId="87" fillId="30" borderId="44" xfId="210" applyFont="1" applyFill="1" applyBorder="1"/>
    <xf numFmtId="172" fontId="87" fillId="30" borderId="44" xfId="210" applyNumberFormat="1" applyFont="1" applyFill="1" applyBorder="1"/>
    <xf numFmtId="172" fontId="87" fillId="30" borderId="74" xfId="210" applyNumberFormat="1" applyFont="1" applyFill="1" applyBorder="1"/>
    <xf numFmtId="172" fontId="89" fillId="30" borderId="30" xfId="210" applyNumberFormat="1" applyFont="1" applyFill="1" applyBorder="1"/>
    <xf numFmtId="172" fontId="89" fillId="30" borderId="37" xfId="210" applyNumberFormat="1" applyFont="1" applyFill="1" applyBorder="1"/>
    <xf numFmtId="0" fontId="87" fillId="30" borderId="30" xfId="210" applyFont="1" applyFill="1" applyBorder="1"/>
    <xf numFmtId="0" fontId="89" fillId="24" borderId="103" xfId="210" applyFont="1" applyFill="1" applyBorder="1" applyAlignment="1">
      <alignment horizontal="left" vertical="center" indent="1"/>
    </xf>
    <xf numFmtId="0" fontId="87" fillId="30" borderId="41" xfId="210" applyFont="1" applyFill="1" applyBorder="1" applyAlignment="1">
      <alignment horizontal="center" vertical="center"/>
    </xf>
    <xf numFmtId="0" fontId="89" fillId="30" borderId="41" xfId="210" applyFont="1" applyFill="1" applyBorder="1"/>
    <xf numFmtId="172" fontId="89" fillId="30" borderId="41" xfId="210" applyNumberFormat="1" applyFont="1" applyFill="1" applyBorder="1"/>
    <xf numFmtId="172" fontId="89" fillId="30" borderId="42" xfId="210" applyNumberFormat="1" applyFont="1" applyFill="1" applyBorder="1"/>
    <xf numFmtId="0" fontId="89" fillId="24" borderId="130" xfId="210" applyFont="1" applyFill="1" applyBorder="1" applyAlignment="1">
      <alignment horizontal="left" vertical="center"/>
    </xf>
    <xf numFmtId="0" fontId="87" fillId="30" borderId="41" xfId="210" applyFont="1" applyFill="1" applyBorder="1"/>
    <xf numFmtId="0" fontId="89" fillId="24" borderId="14" xfId="210" applyFont="1" applyFill="1" applyBorder="1" applyAlignment="1">
      <alignment vertical="center"/>
    </xf>
    <xf numFmtId="0" fontId="87" fillId="30" borderId="19" xfId="210" applyFont="1" applyFill="1" applyBorder="1" applyAlignment="1">
      <alignment horizontal="center" vertical="center"/>
    </xf>
    <xf numFmtId="0" fontId="89" fillId="24" borderId="130" xfId="210" applyFont="1" applyFill="1" applyBorder="1" applyAlignment="1">
      <alignment vertical="center"/>
    </xf>
    <xf numFmtId="0" fontId="89" fillId="30" borderId="108" xfId="210" applyFont="1" applyFill="1" applyBorder="1" applyAlignment="1">
      <alignment horizontal="left" indent="1"/>
    </xf>
    <xf numFmtId="0" fontId="87" fillId="30" borderId="35" xfId="210" applyFont="1" applyFill="1" applyBorder="1"/>
    <xf numFmtId="172" fontId="89" fillId="30" borderId="35" xfId="210" applyNumberFormat="1" applyFont="1" applyFill="1" applyBorder="1"/>
    <xf numFmtId="172" fontId="89" fillId="30" borderId="104" xfId="210" applyNumberFormat="1" applyFont="1" applyFill="1" applyBorder="1"/>
    <xf numFmtId="0" fontId="89" fillId="31" borderId="78" xfId="210" applyFont="1" applyFill="1" applyBorder="1"/>
    <xf numFmtId="0" fontId="89" fillId="31" borderId="97" xfId="210" applyFont="1" applyFill="1" applyBorder="1" applyAlignment="1">
      <alignment horizontal="center" vertical="center"/>
    </xf>
    <xf numFmtId="0" fontId="89" fillId="31" borderId="97" xfId="210" applyFont="1" applyFill="1" applyBorder="1"/>
    <xf numFmtId="172" fontId="89" fillId="31" borderId="97" xfId="210" applyNumberFormat="1" applyFont="1" applyFill="1" applyBorder="1"/>
    <xf numFmtId="172" fontId="89" fillId="31" borderId="98" xfId="210" applyNumberFormat="1" applyFont="1" applyFill="1" applyBorder="1"/>
    <xf numFmtId="0" fontId="64" fillId="35" borderId="27" xfId="210" applyFont="1" applyFill="1" applyBorder="1" applyAlignment="1">
      <alignment horizontal="center" vertical="center"/>
    </xf>
    <xf numFmtId="0" fontId="87" fillId="35" borderId="43" xfId="210" applyFont="1" applyFill="1" applyBorder="1"/>
    <xf numFmtId="0" fontId="87" fillId="0" borderId="13" xfId="210" applyFont="1" applyBorder="1"/>
    <xf numFmtId="0" fontId="87" fillId="24" borderId="12" xfId="210" applyFont="1" applyFill="1" applyBorder="1" applyAlignment="1">
      <alignment vertical="center"/>
    </xf>
    <xf numFmtId="187" fontId="87" fillId="24" borderId="35" xfId="219" applyNumberFormat="1" applyFont="1" applyFill="1" applyBorder="1" applyAlignment="1">
      <alignment horizontal="center" vertical="center"/>
    </xf>
    <xf numFmtId="187" fontId="87" fillId="24" borderId="104" xfId="219" applyNumberFormat="1" applyFont="1" applyFill="1" applyBorder="1" applyAlignment="1">
      <alignment horizontal="center" vertical="center"/>
    </xf>
    <xf numFmtId="187" fontId="87" fillId="30" borderId="0" xfId="210" applyNumberFormat="1" applyFont="1" applyFill="1" applyBorder="1"/>
    <xf numFmtId="0" fontId="64" fillId="0" borderId="0" xfId="210" applyFont="1" applyFill="1" applyBorder="1" applyAlignment="1">
      <alignment horizontal="center"/>
    </xf>
    <xf numFmtId="172" fontId="87" fillId="0" borderId="0" xfId="210" applyNumberFormat="1" applyFont="1" applyFill="1" applyBorder="1"/>
    <xf numFmtId="172" fontId="89" fillId="0" borderId="0" xfId="210" applyNumberFormat="1" applyFont="1" applyFill="1" applyBorder="1"/>
    <xf numFmtId="0" fontId="87" fillId="30" borderId="0" xfId="210" applyFont="1" applyFill="1"/>
    <xf numFmtId="0" fontId="87" fillId="30" borderId="0" xfId="210" applyFont="1" applyFill="1" applyAlignment="1">
      <alignment horizontal="center" vertical="center"/>
    </xf>
    <xf numFmtId="0" fontId="64" fillId="35" borderId="78" xfId="210" applyFont="1" applyFill="1" applyBorder="1" applyAlignment="1">
      <alignment horizontal="center" vertical="center"/>
    </xf>
    <xf numFmtId="0" fontId="87" fillId="0" borderId="82" xfId="210" applyFont="1" applyBorder="1"/>
    <xf numFmtId="0" fontId="64" fillId="35" borderId="97" xfId="210" applyFont="1" applyFill="1" applyBorder="1" applyAlignment="1">
      <alignment horizontal="center" vertical="center"/>
    </xf>
    <xf numFmtId="0" fontId="64" fillId="35" borderId="98" xfId="210" applyFont="1" applyFill="1" applyBorder="1" applyAlignment="1">
      <alignment horizontal="center" vertical="center" wrapText="1"/>
    </xf>
    <xf numFmtId="0" fontId="87" fillId="0" borderId="123" xfId="210" applyFont="1" applyFill="1" applyBorder="1" applyAlignment="1">
      <alignment horizontal="left" indent="1"/>
    </xf>
    <xf numFmtId="168" fontId="87" fillId="0" borderId="37" xfId="220" applyNumberFormat="1" applyFont="1" applyFill="1" applyBorder="1" applyAlignment="1">
      <alignment horizontal="center"/>
    </xf>
    <xf numFmtId="171" fontId="87" fillId="0" borderId="0" xfId="219" applyNumberFormat="1" applyFont="1" applyFill="1" applyBorder="1"/>
    <xf numFmtId="0" fontId="87" fillId="0" borderId="123" xfId="210" applyFont="1" applyFill="1" applyBorder="1" applyAlignment="1">
      <alignment horizontal="left" vertical="justify" indent="1"/>
    </xf>
    <xf numFmtId="9" fontId="87" fillId="0" borderId="0" xfId="220" applyFont="1" applyFill="1" applyBorder="1"/>
    <xf numFmtId="0" fontId="87" fillId="0" borderId="107" xfId="210" applyFont="1" applyFill="1" applyBorder="1" applyAlignment="1">
      <alignment horizontal="left" indent="1"/>
    </xf>
    <xf numFmtId="168" fontId="87" fillId="0" borderId="104" xfId="220" applyNumberFormat="1" applyFont="1" applyFill="1" applyBorder="1" applyAlignment="1">
      <alignment horizontal="center"/>
    </xf>
    <xf numFmtId="0" fontId="65" fillId="0" borderId="0" xfId="210" applyFont="1" applyFill="1" applyBorder="1" applyAlignment="1">
      <alignment horizontal="center"/>
    </xf>
    <xf numFmtId="171" fontId="92" fillId="0" borderId="0" xfId="219" applyNumberFormat="1" applyFont="1" applyFill="1" applyBorder="1"/>
    <xf numFmtId="0" fontId="64" fillId="35" borderId="81" xfId="210" applyFont="1" applyFill="1" applyBorder="1"/>
    <xf numFmtId="0" fontId="64" fillId="35" borderId="82" xfId="210" applyFont="1" applyFill="1" applyBorder="1" applyAlignment="1">
      <alignment horizontal="center"/>
    </xf>
    <xf numFmtId="0" fontId="64" fillId="35" borderId="97" xfId="210" applyFont="1" applyFill="1" applyBorder="1" applyAlignment="1">
      <alignment horizontal="center"/>
    </xf>
    <xf numFmtId="0" fontId="64" fillId="35" borderId="98" xfId="210" applyFont="1" applyFill="1" applyBorder="1" applyAlignment="1">
      <alignment horizontal="center"/>
    </xf>
    <xf numFmtId="0" fontId="87" fillId="0" borderId="31" xfId="210" applyFont="1" applyFill="1" applyBorder="1"/>
    <xf numFmtId="0" fontId="87" fillId="0" borderId="32" xfId="210" applyFont="1" applyFill="1" applyBorder="1" applyAlignment="1">
      <alignment horizontal="center"/>
    </xf>
    <xf numFmtId="171" fontId="87" fillId="0" borderId="34" xfId="219" applyNumberFormat="1" applyFont="1" applyFill="1" applyBorder="1" applyAlignment="1">
      <alignment horizontal="right"/>
    </xf>
    <xf numFmtId="171" fontId="87" fillId="0" borderId="75" xfId="219" applyNumberFormat="1" applyFont="1" applyFill="1" applyBorder="1" applyAlignment="1">
      <alignment horizontal="right"/>
    </xf>
    <xf numFmtId="0" fontId="89" fillId="0" borderId="11" xfId="210" applyFont="1" applyFill="1" applyBorder="1"/>
    <xf numFmtId="171" fontId="87" fillId="0" borderId="30" xfId="219" applyNumberFormat="1" applyFont="1" applyFill="1" applyBorder="1" applyAlignment="1">
      <alignment horizontal="right"/>
    </xf>
    <xf numFmtId="171" fontId="87" fillId="0" borderId="37" xfId="219" applyNumberFormat="1" applyFont="1" applyFill="1" applyBorder="1" applyAlignment="1">
      <alignment horizontal="right"/>
    </xf>
    <xf numFmtId="171" fontId="87" fillId="0" borderId="30" xfId="219" applyNumberFormat="1" applyFont="1" applyFill="1" applyBorder="1"/>
    <xf numFmtId="171" fontId="87" fillId="0" borderId="37" xfId="219" applyNumberFormat="1" applyFont="1" applyFill="1" applyBorder="1"/>
    <xf numFmtId="0" fontId="87" fillId="0" borderId="12" xfId="210" applyFont="1" applyFill="1" applyBorder="1" applyAlignment="1">
      <alignment horizontal="center"/>
    </xf>
    <xf numFmtId="171" fontId="87" fillId="0" borderId="35" xfId="219" applyNumberFormat="1" applyFont="1" applyFill="1" applyBorder="1" applyAlignment="1">
      <alignment horizontal="right"/>
    </xf>
    <xf numFmtId="171" fontId="87" fillId="0" borderId="104" xfId="219" applyNumberFormat="1" applyFont="1" applyFill="1" applyBorder="1" applyAlignment="1">
      <alignment horizontal="right"/>
    </xf>
    <xf numFmtId="171" fontId="89" fillId="0" borderId="0" xfId="219" applyNumberFormat="1" applyFont="1" applyFill="1" applyBorder="1"/>
    <xf numFmtId="0" fontId="64" fillId="35" borderId="78" xfId="210" applyFont="1" applyFill="1" applyBorder="1"/>
    <xf numFmtId="0" fontId="89" fillId="0" borderId="97" xfId="210" applyFont="1" applyFill="1" applyBorder="1" applyAlignment="1">
      <alignment horizontal="center"/>
    </xf>
    <xf numFmtId="171" fontId="89" fillId="0" borderId="97" xfId="210" applyNumberFormat="1" applyFont="1" applyFill="1" applyBorder="1" applyAlignment="1">
      <alignment horizontal="center"/>
    </xf>
    <xf numFmtId="171" fontId="89" fillId="0" borderId="98" xfId="210" applyNumberFormat="1" applyFont="1" applyFill="1" applyBorder="1" applyAlignment="1">
      <alignment horizontal="center"/>
    </xf>
    <xf numFmtId="0" fontId="87" fillId="0" borderId="97" xfId="210" applyFont="1" applyFill="1" applyBorder="1" applyAlignment="1">
      <alignment horizontal="center"/>
    </xf>
    <xf numFmtId="171" fontId="87" fillId="0" borderId="97" xfId="219" applyNumberFormat="1" applyFont="1" applyFill="1" applyBorder="1"/>
    <xf numFmtId="9" fontId="87" fillId="0" borderId="97" xfId="220" applyFont="1" applyFill="1" applyBorder="1"/>
    <xf numFmtId="9" fontId="87" fillId="0" borderId="98" xfId="220" applyFont="1" applyFill="1" applyBorder="1"/>
    <xf numFmtId="172" fontId="89" fillId="0" borderId="0" xfId="219" applyNumberFormat="1" applyFont="1" applyFill="1" applyBorder="1"/>
    <xf numFmtId="0" fontId="87" fillId="0" borderId="82" xfId="210" applyFont="1" applyFill="1" applyBorder="1" applyAlignment="1">
      <alignment horizontal="center"/>
    </xf>
    <xf numFmtId="0" fontId="65" fillId="0" borderId="0" xfId="210" applyFont="1" applyFill="1" applyBorder="1" applyAlignment="1">
      <alignment horizontal="left"/>
    </xf>
    <xf numFmtId="171" fontId="87" fillId="0" borderId="0" xfId="210" applyNumberFormat="1" applyFont="1" applyFill="1" applyBorder="1"/>
    <xf numFmtId="171" fontId="87" fillId="0" borderId="0" xfId="219" applyNumberFormat="1" applyFont="1" applyFill="1" applyBorder="1" applyAlignment="1">
      <alignment horizontal="center"/>
    </xf>
    <xf numFmtId="0" fontId="89" fillId="0" borderId="0" xfId="210" applyFont="1" applyFill="1" applyBorder="1" applyAlignment="1">
      <alignment horizontal="center" vertical="center"/>
    </xf>
    <xf numFmtId="0" fontId="87" fillId="0" borderId="0" xfId="210" applyFont="1" applyFill="1" applyBorder="1" applyAlignment="1">
      <alignment vertical="center"/>
    </xf>
    <xf numFmtId="0" fontId="89" fillId="0" borderId="0" xfId="210" applyFont="1" applyFill="1" applyBorder="1" applyAlignment="1">
      <alignment vertical="center"/>
    </xf>
    <xf numFmtId="1" fontId="87" fillId="0" borderId="0" xfId="210" applyNumberFormat="1" applyFont="1" applyFill="1" applyBorder="1" applyAlignment="1">
      <alignment vertical="center"/>
    </xf>
    <xf numFmtId="172" fontId="87" fillId="0" borderId="0" xfId="219" applyNumberFormat="1" applyFont="1" applyFill="1" applyBorder="1" applyAlignment="1">
      <alignment vertical="center"/>
    </xf>
    <xf numFmtId="0" fontId="87" fillId="0" borderId="0" xfId="210" applyFont="1" applyFill="1" applyBorder="1" applyAlignment="1">
      <alignment horizontal="left" vertical="center"/>
    </xf>
    <xf numFmtId="0" fontId="89" fillId="0" borderId="0" xfId="210" applyFont="1" applyFill="1" applyBorder="1" applyAlignment="1">
      <alignment horizontal="left" vertical="center"/>
    </xf>
    <xf numFmtId="0" fontId="92" fillId="0" borderId="0" xfId="210" applyFont="1" applyFill="1" applyBorder="1"/>
    <xf numFmtId="188" fontId="87" fillId="0" borderId="0" xfId="219" applyNumberFormat="1" applyFont="1" applyFill="1" applyBorder="1" applyAlignment="1">
      <alignment vertical="center"/>
    </xf>
    <xf numFmtId="0" fontId="89" fillId="0" borderId="0" xfId="210" applyFont="1" applyFill="1" applyBorder="1" applyAlignment="1"/>
    <xf numFmtId="2" fontId="87" fillId="0" borderId="0" xfId="210" applyNumberFormat="1" applyFont="1" applyFill="1" applyBorder="1" applyAlignment="1">
      <alignment vertical="center"/>
    </xf>
    <xf numFmtId="0" fontId="87" fillId="0" borderId="0" xfId="210" applyFont="1" applyFill="1" applyBorder="1" applyAlignment="1">
      <alignment horizontal="right"/>
    </xf>
    <xf numFmtId="172" fontId="89" fillId="0" borderId="0" xfId="219" applyNumberFormat="1" applyFont="1" applyFill="1" applyBorder="1" applyAlignment="1">
      <alignment horizontal="right" vertical="center"/>
    </xf>
    <xf numFmtId="171" fontId="87" fillId="0" borderId="0" xfId="210" applyNumberFormat="1" applyFont="1" applyFill="1" applyBorder="1" applyAlignment="1">
      <alignment vertical="center"/>
    </xf>
    <xf numFmtId="172" fontId="87" fillId="0" borderId="0" xfId="210" applyNumberFormat="1" applyFont="1" applyFill="1" applyBorder="1" applyAlignment="1">
      <alignment vertical="center"/>
    </xf>
    <xf numFmtId="189" fontId="87" fillId="0" borderId="0" xfId="210" applyNumberFormat="1" applyFont="1" applyFill="1" applyBorder="1" applyAlignment="1">
      <alignment horizontal="right"/>
    </xf>
    <xf numFmtId="0" fontId="87" fillId="0" borderId="0" xfId="210" applyFont="1" applyFill="1" applyBorder="1" applyAlignment="1">
      <alignment horizontal="left" vertical="center" indent="2"/>
    </xf>
    <xf numFmtId="172" fontId="93" fillId="0" borderId="0" xfId="219" applyNumberFormat="1" applyFont="1" applyFill="1" applyBorder="1" applyAlignment="1">
      <alignment vertical="center"/>
    </xf>
    <xf numFmtId="171" fontId="73" fillId="0" borderId="0" xfId="210" applyNumberFormat="1" applyFont="1" applyFill="1" applyBorder="1" applyAlignment="1">
      <alignment vertical="center"/>
    </xf>
    <xf numFmtId="3" fontId="87" fillId="0" borderId="0" xfId="210" applyNumberFormat="1" applyFont="1" applyFill="1" applyBorder="1"/>
    <xf numFmtId="172" fontId="89" fillId="0" borderId="0" xfId="219" applyNumberFormat="1" applyFont="1" applyFill="1" applyBorder="1" applyAlignment="1">
      <alignment vertical="center"/>
    </xf>
    <xf numFmtId="0" fontId="89" fillId="0" borderId="0" xfId="210" applyFont="1" applyFill="1" applyBorder="1" applyAlignment="1">
      <alignment horizontal="right"/>
    </xf>
    <xf numFmtId="168" fontId="89" fillId="0" borderId="0" xfId="218" applyNumberFormat="1" applyFont="1" applyFill="1" applyBorder="1"/>
    <xf numFmtId="172" fontId="89" fillId="0" borderId="0" xfId="210" applyNumberFormat="1" applyFont="1" applyFill="1" applyBorder="1" applyAlignment="1">
      <alignment vertical="center"/>
    </xf>
    <xf numFmtId="189" fontId="87" fillId="0" borderId="0" xfId="210" applyNumberFormat="1" applyFont="1" applyFill="1" applyBorder="1"/>
    <xf numFmtId="2" fontId="89" fillId="0" borderId="0" xfId="210" applyNumberFormat="1" applyFont="1" applyFill="1" applyBorder="1"/>
    <xf numFmtId="0" fontId="89" fillId="0" borderId="0" xfId="210" applyFont="1" applyFill="1" applyBorder="1" applyAlignment="1">
      <alignment horizontal="center"/>
    </xf>
    <xf numFmtId="175" fontId="89" fillId="0" borderId="0" xfId="218" applyNumberFormat="1" applyFont="1" applyFill="1" applyBorder="1" applyAlignment="1">
      <alignment horizontal="center"/>
    </xf>
    <xf numFmtId="0" fontId="87" fillId="0" borderId="0" xfId="210" applyFont="1" applyFill="1" applyBorder="1" applyAlignment="1">
      <alignment horizontal="center" vertical="center"/>
    </xf>
    <xf numFmtId="172" fontId="87" fillId="0" borderId="0" xfId="210" applyNumberFormat="1" applyFont="1" applyFill="1" applyBorder="1" applyAlignment="1">
      <alignment horizontal="center" vertical="center"/>
    </xf>
    <xf numFmtId="1" fontId="89" fillId="0" borderId="0" xfId="218" applyNumberFormat="1" applyFont="1" applyFill="1" applyBorder="1" applyAlignment="1">
      <alignment horizontal="center"/>
    </xf>
    <xf numFmtId="176" fontId="89" fillId="0" borderId="0" xfId="210" applyNumberFormat="1" applyFont="1" applyFill="1" applyBorder="1" applyAlignment="1">
      <alignment horizontal="center" vertical="center"/>
    </xf>
    <xf numFmtId="0" fontId="92" fillId="39" borderId="0" xfId="210" applyFont="1" applyFill="1"/>
    <xf numFmtId="189" fontId="92" fillId="0" borderId="0" xfId="210" applyNumberFormat="1" applyFont="1" applyFill="1" applyBorder="1" applyAlignment="1">
      <alignment horizontal="right"/>
    </xf>
    <xf numFmtId="10" fontId="87" fillId="0" borderId="0" xfId="218" applyNumberFormat="1" applyFont="1" applyFill="1" applyBorder="1" applyAlignment="1">
      <alignment horizontal="center"/>
    </xf>
    <xf numFmtId="10" fontId="87" fillId="0" borderId="0" xfId="210" applyNumberFormat="1" applyFont="1" applyFill="1" applyBorder="1" applyAlignment="1">
      <alignment horizontal="center"/>
    </xf>
    <xf numFmtId="10" fontId="87" fillId="0" borderId="0" xfId="210" applyNumberFormat="1" applyFont="1" applyFill="1" applyBorder="1"/>
    <xf numFmtId="172" fontId="87" fillId="0" borderId="0" xfId="219" applyNumberFormat="1" applyFont="1" applyFill="1" applyBorder="1" applyAlignment="1">
      <alignment horizontal="center"/>
    </xf>
    <xf numFmtId="172" fontId="87" fillId="0" borderId="0" xfId="219" applyNumberFormat="1" applyFont="1" applyFill="1" applyBorder="1" applyAlignment="1">
      <alignment horizontal="right"/>
    </xf>
    <xf numFmtId="0" fontId="89" fillId="0" borderId="0" xfId="210" applyFont="1" applyFill="1" applyBorder="1" applyAlignment="1">
      <alignment wrapText="1"/>
    </xf>
    <xf numFmtId="1" fontId="87" fillId="0" borderId="0" xfId="210" applyNumberFormat="1" applyFont="1" applyFill="1" applyBorder="1"/>
    <xf numFmtId="1" fontId="87" fillId="24" borderId="0" xfId="210" applyNumberFormat="1" applyFont="1" applyFill="1" applyBorder="1"/>
    <xf numFmtId="0" fontId="89" fillId="24" borderId="0" xfId="210" applyFont="1" applyFill="1" applyBorder="1"/>
    <xf numFmtId="172" fontId="89" fillId="24" borderId="0" xfId="219" applyNumberFormat="1" applyFont="1" applyFill="1" applyBorder="1"/>
    <xf numFmtId="172" fontId="77" fillId="32" borderId="19" xfId="210" applyNumberFormat="1" applyFont="1" applyFill="1" applyBorder="1"/>
    <xf numFmtId="172" fontId="77" fillId="32" borderId="29" xfId="210" applyNumberFormat="1" applyFont="1" applyFill="1" applyBorder="1"/>
    <xf numFmtId="3" fontId="76" fillId="32" borderId="39" xfId="173" applyNumberFormat="1" applyFont="1" applyFill="1" applyBorder="1"/>
    <xf numFmtId="187" fontId="76" fillId="32" borderId="23" xfId="173" applyNumberFormat="1" applyFont="1" applyFill="1" applyBorder="1"/>
    <xf numFmtId="0" fontId="7" fillId="0" borderId="0" xfId="0" applyFont="1" applyFill="1" applyBorder="1" applyAlignment="1">
      <alignment vertical="center" wrapText="1"/>
    </xf>
    <xf numFmtId="165" fontId="12" fillId="0" borderId="132" xfId="40" applyFont="1" applyFill="1" applyBorder="1"/>
    <xf numFmtId="4" fontId="0" fillId="24" borderId="81" xfId="0" applyNumberFormat="1" applyFill="1" applyBorder="1"/>
    <xf numFmtId="0" fontId="55" fillId="28" borderId="82" xfId="0" applyFont="1" applyFill="1" applyBorder="1" applyAlignment="1">
      <alignment wrapText="1"/>
    </xf>
    <xf numFmtId="0" fontId="42" fillId="0" borderId="58" xfId="0" applyFont="1" applyFill="1" applyBorder="1" applyAlignment="1">
      <alignment horizontal="center"/>
    </xf>
    <xf numFmtId="39" fontId="54" fillId="28" borderId="76" xfId="0" applyNumberFormat="1" applyFont="1" applyFill="1" applyBorder="1"/>
    <xf numFmtId="165" fontId="54" fillId="35" borderId="49" xfId="40" applyFont="1" applyFill="1" applyBorder="1" applyAlignment="1">
      <alignment horizontal="right"/>
    </xf>
    <xf numFmtId="171" fontId="54" fillId="35" borderId="123" xfId="0" applyNumberFormat="1" applyFont="1" applyFill="1" applyBorder="1"/>
    <xf numFmtId="3" fontId="82" fillId="0" borderId="0" xfId="212" applyNumberFormat="1" applyFont="1" applyFill="1" applyBorder="1"/>
    <xf numFmtId="0" fontId="82" fillId="0" borderId="0" xfId="212" applyFont="1" applyFill="1" applyBorder="1" applyAlignment="1">
      <alignment horizontal="left" indent="1"/>
    </xf>
    <xf numFmtId="0" fontId="94" fillId="35" borderId="0" xfId="0" applyFont="1" applyFill="1" applyAlignment="1">
      <alignment horizontal="center" vertical="center"/>
    </xf>
    <xf numFmtId="0" fontId="94" fillId="35" borderId="0" xfId="0" applyFont="1" applyFill="1" applyAlignment="1">
      <alignment horizontal="center" vertical="center" wrapText="1"/>
    </xf>
    <xf numFmtId="0" fontId="61" fillId="0" borderId="0" xfId="0" applyFont="1" applyAlignment="1">
      <alignment horizontal="left" indent="1"/>
    </xf>
    <xf numFmtId="3" fontId="61" fillId="37" borderId="0" xfId="0" applyNumberFormat="1" applyFont="1" applyFill="1" applyAlignment="1">
      <alignment horizontal="center"/>
    </xf>
    <xf numFmtId="3" fontId="61" fillId="1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9" fontId="61" fillId="0" borderId="0" xfId="57" applyNumberFormat="1" applyFont="1" applyAlignment="1">
      <alignment horizontal="center"/>
    </xf>
    <xf numFmtId="186" fontId="61" fillId="0" borderId="0" xfId="0" applyNumberFormat="1" applyFont="1" applyAlignment="1">
      <alignment horizontal="center"/>
    </xf>
    <xf numFmtId="0" fontId="61" fillId="1" borderId="0" xfId="0" applyFont="1" applyFill="1" applyAlignment="1">
      <alignment horizontal="center"/>
    </xf>
    <xf numFmtId="0" fontId="95" fillId="31" borderId="0" xfId="0" applyFont="1" applyFill="1" applyAlignment="1">
      <alignment horizontal="left" indent="1"/>
    </xf>
    <xf numFmtId="3" fontId="95" fillId="31" borderId="0" xfId="0" applyNumberFormat="1" applyFont="1" applyFill="1" applyAlignment="1">
      <alignment horizontal="center"/>
    </xf>
    <xf numFmtId="186" fontId="95" fillId="31" borderId="0" xfId="0" applyNumberFormat="1" applyFont="1" applyFill="1" applyAlignment="1">
      <alignment horizontal="center"/>
    </xf>
    <xf numFmtId="9" fontId="95" fillId="31" borderId="0" xfId="57" applyNumberFormat="1" applyFont="1" applyFill="1" applyAlignment="1">
      <alignment horizontal="center"/>
    </xf>
    <xf numFmtId="165" fontId="4" fillId="0" borderId="0" xfId="40" applyFont="1"/>
    <xf numFmtId="0" fontId="63" fillId="0" borderId="0" xfId="0" applyFont="1"/>
    <xf numFmtId="0" fontId="64" fillId="34" borderId="0" xfId="0" applyFont="1" applyFill="1"/>
    <xf numFmtId="0" fontId="65" fillId="34" borderId="0" xfId="0" applyFont="1" applyFill="1"/>
    <xf numFmtId="3" fontId="61" fillId="0" borderId="0" xfId="0" applyNumberFormat="1" applyFont="1" applyFill="1" applyAlignment="1">
      <alignment horizontal="center"/>
    </xf>
    <xf numFmtId="186" fontId="61" fillId="0" borderId="0" xfId="0" applyNumberFormat="1" applyFont="1" applyFill="1" applyAlignment="1">
      <alignment horizontal="center"/>
    </xf>
    <xf numFmtId="172" fontId="96" fillId="32" borderId="30" xfId="219" applyNumberFormat="1" applyFont="1" applyFill="1" applyBorder="1"/>
    <xf numFmtId="172" fontId="96" fillId="32" borderId="37" xfId="219" applyNumberFormat="1" applyFont="1" applyFill="1" applyBorder="1"/>
    <xf numFmtId="172" fontId="97" fillId="32" borderId="30" xfId="219" applyNumberFormat="1" applyFont="1" applyFill="1" applyBorder="1"/>
    <xf numFmtId="172" fontId="97" fillId="32" borderId="37" xfId="219" applyNumberFormat="1" applyFont="1" applyFill="1" applyBorder="1"/>
    <xf numFmtId="0" fontId="96" fillId="32" borderId="19" xfId="210" applyFont="1" applyFill="1" applyBorder="1"/>
    <xf numFmtId="172" fontId="85" fillId="32" borderId="19" xfId="210" applyNumberFormat="1" applyFont="1" applyFill="1" applyBorder="1"/>
    <xf numFmtId="172" fontId="85" fillId="32" borderId="29" xfId="210" applyNumberFormat="1" applyFont="1" applyFill="1" applyBorder="1"/>
    <xf numFmtId="0" fontId="77" fillId="32" borderId="76" xfId="0" applyFont="1" applyFill="1" applyBorder="1" applyAlignment="1">
      <alignment horizontal="center" vertical="center" wrapText="1"/>
    </xf>
    <xf numFmtId="0" fontId="87" fillId="0" borderId="0" xfId="0" applyFont="1"/>
    <xf numFmtId="0" fontId="64" fillId="0" borderId="0" xfId="0" applyFont="1" applyFill="1" applyAlignment="1">
      <alignment horizontal="left" indent="1"/>
    </xf>
    <xf numFmtId="0" fontId="63" fillId="0" borderId="0" xfId="0" applyFont="1" applyFill="1"/>
    <xf numFmtId="0" fontId="64" fillId="34" borderId="0" xfId="0" applyFont="1" applyFill="1" applyAlignment="1">
      <alignment horizontal="left" indent="1"/>
    </xf>
    <xf numFmtId="168" fontId="91" fillId="0" borderId="0" xfId="220" applyNumberFormat="1" applyFont="1"/>
    <xf numFmtId="164" fontId="63" fillId="41" borderId="0" xfId="0" applyNumberFormat="1" applyFont="1" applyFill="1"/>
    <xf numFmtId="172" fontId="63" fillId="0" borderId="0" xfId="0" applyNumberFormat="1" applyFont="1"/>
    <xf numFmtId="43" fontId="63" fillId="0" borderId="0" xfId="0" applyNumberFormat="1" applyFont="1"/>
    <xf numFmtId="172" fontId="91" fillId="0" borderId="0" xfId="0" applyNumberFormat="1" applyFont="1"/>
    <xf numFmtId="168" fontId="63" fillId="0" borderId="0" xfId="220" applyNumberFormat="1" applyFont="1"/>
    <xf numFmtId="0" fontId="63" fillId="24" borderId="0" xfId="0" applyFont="1" applyFill="1" applyBorder="1"/>
    <xf numFmtId="172" fontId="91" fillId="0" borderId="0" xfId="0" applyNumberFormat="1" applyFont="1" applyFill="1"/>
    <xf numFmtId="172" fontId="92" fillId="0" borderId="0" xfId="0" applyNumberFormat="1" applyFont="1"/>
    <xf numFmtId="9" fontId="63" fillId="0" borderId="0" xfId="220" applyFont="1"/>
    <xf numFmtId="0" fontId="63" fillId="30" borderId="0" xfId="0" applyFont="1" applyFill="1" applyBorder="1"/>
    <xf numFmtId="168" fontId="88" fillId="0" borderId="0" xfId="220" applyNumberFormat="1" applyFont="1"/>
    <xf numFmtId="168" fontId="87" fillId="0" borderId="0" xfId="220" applyNumberFormat="1" applyFont="1"/>
    <xf numFmtId="0" fontId="98" fillId="30" borderId="0" xfId="0" applyFont="1" applyFill="1" applyBorder="1" applyAlignment="1">
      <alignment horizontal="left" indent="1"/>
    </xf>
    <xf numFmtId="0" fontId="63" fillId="0" borderId="0" xfId="0" applyFont="1" applyBorder="1"/>
    <xf numFmtId="172" fontId="63" fillId="0" borderId="0" xfId="0" applyNumberFormat="1" applyFont="1" applyBorder="1"/>
    <xf numFmtId="0" fontId="63" fillId="0" borderId="0" xfId="0" applyFont="1" applyBorder="1" applyAlignment="1">
      <alignment horizontal="left"/>
    </xf>
    <xf numFmtId="168" fontId="87" fillId="30" borderId="0" xfId="0" applyNumberFormat="1" applyFont="1" applyFill="1" applyBorder="1" applyAlignment="1">
      <alignment horizontal="center"/>
    </xf>
    <xf numFmtId="0" fontId="87" fillId="30" borderId="0" xfId="0" applyFont="1" applyFill="1" applyBorder="1" applyAlignment="1">
      <alignment horizontal="left"/>
    </xf>
    <xf numFmtId="0" fontId="73" fillId="30" borderId="0" xfId="0" applyFont="1" applyFill="1" applyBorder="1" applyAlignment="1">
      <alignment horizontal="left" indent="2"/>
    </xf>
    <xf numFmtId="9" fontId="99" fillId="30" borderId="0" xfId="0" applyNumberFormat="1" applyFont="1" applyFill="1" applyBorder="1" applyAlignment="1">
      <alignment horizontal="center"/>
    </xf>
    <xf numFmtId="9" fontId="74" fillId="0" borderId="0" xfId="0" applyNumberFormat="1" applyFont="1" applyAlignment="1">
      <alignment horizontal="center"/>
    </xf>
    <xf numFmtId="0" fontId="64" fillId="38" borderId="0" xfId="0" applyFont="1" applyFill="1" applyAlignment="1">
      <alignment horizontal="left" indent="1"/>
    </xf>
    <xf numFmtId="0" fontId="64" fillId="38" borderId="0" xfId="0" applyFont="1" applyFill="1"/>
    <xf numFmtId="0" fontId="63" fillId="0" borderId="0" xfId="0" applyFont="1" applyAlignment="1">
      <alignment horizontal="left" indent="1"/>
    </xf>
    <xf numFmtId="168" fontId="87" fillId="0" borderId="0" xfId="0" applyNumberFormat="1" applyFont="1"/>
    <xf numFmtId="0" fontId="64" fillId="38" borderId="0" xfId="0" applyFont="1" applyFill="1" applyAlignment="1">
      <alignment horizontal="left" indent="2"/>
    </xf>
    <xf numFmtId="0" fontId="74" fillId="0" borderId="0" xfId="0" applyFont="1" applyAlignment="1">
      <alignment horizontal="left" indent="3"/>
    </xf>
    <xf numFmtId="172" fontId="74" fillId="0" borderId="0" xfId="0" applyNumberFormat="1" applyFont="1"/>
    <xf numFmtId="172" fontId="88" fillId="0" borderId="0" xfId="0" applyNumberFormat="1" applyFont="1"/>
    <xf numFmtId="0" fontId="63" fillId="0" borderId="0" xfId="0" applyFont="1" applyFill="1" applyAlignment="1">
      <alignment horizontal="left" indent="1"/>
    </xf>
    <xf numFmtId="172" fontId="63" fillId="0" borderId="0" xfId="0" applyNumberFormat="1" applyFont="1" applyFill="1"/>
    <xf numFmtId="0" fontId="87" fillId="0" borderId="0" xfId="0" applyFont="1" applyFill="1" applyBorder="1" applyAlignment="1">
      <alignment horizontal="left" indent="1"/>
    </xf>
    <xf numFmtId="0" fontId="87" fillId="30" borderId="0" xfId="0" applyFont="1" applyFill="1" applyBorder="1" applyAlignment="1">
      <alignment horizontal="left" indent="1"/>
    </xf>
    <xf numFmtId="171" fontId="92" fillId="0" borderId="0" xfId="0" applyNumberFormat="1" applyFont="1" applyFill="1"/>
    <xf numFmtId="171" fontId="92" fillId="0" borderId="0" xfId="0" applyNumberFormat="1" applyFont="1"/>
    <xf numFmtId="165" fontId="63" fillId="0" borderId="0" xfId="0" applyNumberFormat="1" applyFont="1"/>
    <xf numFmtId="0" fontId="100" fillId="0" borderId="0" xfId="0" applyFont="1"/>
    <xf numFmtId="172" fontId="100" fillId="0" borderId="0" xfId="0" applyNumberFormat="1" applyFont="1"/>
    <xf numFmtId="9" fontId="92" fillId="0" borderId="0" xfId="0" applyNumberFormat="1" applyFont="1"/>
    <xf numFmtId="171" fontId="63" fillId="0" borderId="0" xfId="0" applyNumberFormat="1" applyFont="1" applyFill="1"/>
    <xf numFmtId="172" fontId="100" fillId="0" borderId="0" xfId="0" applyNumberFormat="1" applyFont="1" applyFill="1"/>
    <xf numFmtId="10" fontId="63" fillId="0" borderId="0" xfId="220" applyNumberFormat="1" applyFont="1"/>
    <xf numFmtId="165" fontId="63" fillId="0" borderId="0" xfId="40" applyFont="1"/>
    <xf numFmtId="168" fontId="63" fillId="0" borderId="0" xfId="0" applyNumberFormat="1" applyFont="1"/>
    <xf numFmtId="171" fontId="63" fillId="0" borderId="0" xfId="0" applyNumberFormat="1" applyFont="1"/>
    <xf numFmtId="0" fontId="63" fillId="30" borderId="0" xfId="0" applyFont="1" applyFill="1" applyBorder="1" applyAlignment="1">
      <alignment horizontal="center"/>
    </xf>
    <xf numFmtId="0" fontId="64" fillId="34" borderId="0" xfId="0" applyFont="1" applyFill="1" applyAlignment="1">
      <alignment horizontal="right"/>
    </xf>
    <xf numFmtId="0" fontId="63" fillId="0" borderId="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64" fillId="34" borderId="0" xfId="0" applyFont="1" applyFill="1" applyAlignment="1">
      <alignment horizontal="left" indent="2"/>
    </xf>
    <xf numFmtId="0" fontId="63" fillId="24" borderId="0" xfId="0" applyFont="1" applyFill="1" applyBorder="1" applyAlignment="1">
      <alignment horizontal="center"/>
    </xf>
    <xf numFmtId="0" fontId="8" fillId="40" borderId="0" xfId="0" applyFont="1" applyFill="1" applyBorder="1"/>
    <xf numFmtId="172" fontId="100" fillId="40" borderId="0" xfId="0" applyNumberFormat="1" applyFont="1" applyFill="1"/>
    <xf numFmtId="172" fontId="87" fillId="0" borderId="0" xfId="0" applyNumberFormat="1" applyFont="1"/>
    <xf numFmtId="9" fontId="73" fillId="0" borderId="0" xfId="0" applyNumberFormat="1" applyFont="1" applyFill="1"/>
    <xf numFmtId="9" fontId="74" fillId="0" borderId="0" xfId="0" applyNumberFormat="1" applyFont="1" applyFill="1"/>
    <xf numFmtId="9" fontId="63" fillId="0" borderId="0" xfId="0" applyNumberFormat="1" applyFont="1"/>
    <xf numFmtId="0" fontId="65" fillId="38" borderId="0" xfId="0" applyFont="1" applyFill="1"/>
    <xf numFmtId="0" fontId="63" fillId="38" borderId="0" xfId="0" applyFont="1" applyFill="1"/>
    <xf numFmtId="9" fontId="63" fillId="0" borderId="0" xfId="220" applyFont="1" applyFill="1"/>
    <xf numFmtId="9" fontId="88" fillId="0" borderId="0" xfId="220" applyFont="1" applyFill="1"/>
    <xf numFmtId="0" fontId="88" fillId="38" borderId="0" xfId="0" applyFont="1" applyFill="1"/>
    <xf numFmtId="3" fontId="63" fillId="0" borderId="0" xfId="0" applyNumberFormat="1" applyFont="1"/>
    <xf numFmtId="0" fontId="63" fillId="40" borderId="0" xfId="0" applyFont="1" applyFill="1"/>
    <xf numFmtId="9" fontId="63" fillId="40" borderId="0" xfId="220" applyFont="1" applyFill="1"/>
    <xf numFmtId="171" fontId="63" fillId="40" borderId="0" xfId="0" applyNumberFormat="1" applyFont="1" applyFill="1"/>
    <xf numFmtId="10" fontId="88" fillId="0" borderId="0" xfId="0" applyNumberFormat="1" applyFont="1"/>
    <xf numFmtId="10" fontId="63" fillId="0" borderId="0" xfId="0" applyNumberFormat="1" applyFont="1"/>
    <xf numFmtId="0" fontId="100" fillId="36" borderId="0" xfId="0" applyFont="1" applyFill="1"/>
    <xf numFmtId="172" fontId="100" fillId="36" borderId="0" xfId="0" applyNumberFormat="1" applyFont="1" applyFill="1"/>
    <xf numFmtId="0" fontId="100" fillId="33" borderId="0" xfId="0" applyFont="1" applyFill="1"/>
    <xf numFmtId="172" fontId="100" fillId="33" borderId="0" xfId="0" applyNumberFormat="1" applyFont="1" applyFill="1"/>
    <xf numFmtId="0" fontId="84" fillId="0" borderId="0" xfId="0" applyFont="1"/>
    <xf numFmtId="0" fontId="0" fillId="0" borderId="0" xfId="0" applyFont="1"/>
    <xf numFmtId="0" fontId="64" fillId="35" borderId="0" xfId="0" applyFont="1" applyFill="1"/>
    <xf numFmtId="0" fontId="63" fillId="0" borderId="0" xfId="0" applyFont="1" applyFill="1" applyAlignment="1">
      <alignment horizontal="center"/>
    </xf>
    <xf numFmtId="171" fontId="63" fillId="0" borderId="0" xfId="0" applyNumberFormat="1" applyFont="1" applyFill="1" applyBorder="1"/>
    <xf numFmtId="0" fontId="0" fillId="0" borderId="0" xfId="0" applyFont="1" applyFill="1"/>
    <xf numFmtId="190" fontId="91" fillId="0" borderId="0" xfId="0" applyNumberFormat="1" applyFont="1" applyBorder="1" applyAlignment="1">
      <alignment horizontal="center"/>
    </xf>
    <xf numFmtId="3" fontId="0" fillId="0" borderId="0" xfId="0" applyNumberFormat="1" applyFont="1" applyFill="1"/>
    <xf numFmtId="165" fontId="0" fillId="0" borderId="0" xfId="0" applyNumberFormat="1" applyFont="1"/>
    <xf numFmtId="0" fontId="89" fillId="0" borderId="0" xfId="0" applyFont="1" applyFill="1" applyAlignment="1">
      <alignment horizontal="center"/>
    </xf>
    <xf numFmtId="168" fontId="88" fillId="0" borderId="0" xfId="220" applyNumberFormat="1" applyFont="1" applyFill="1" applyBorder="1" applyAlignment="1">
      <alignment horizontal="center"/>
    </xf>
    <xf numFmtId="0" fontId="87" fillId="0" borderId="0" xfId="0" applyFont="1" applyFill="1" applyBorder="1"/>
    <xf numFmtId="172" fontId="63" fillId="0" borderId="0" xfId="0" applyNumberFormat="1" applyFont="1" applyFill="1" applyBorder="1"/>
    <xf numFmtId="10" fontId="63" fillId="0" borderId="0" xfId="220" applyNumberFormat="1" applyFont="1" applyFill="1" applyBorder="1"/>
    <xf numFmtId="10" fontId="63" fillId="30" borderId="0" xfId="220" applyNumberFormat="1" applyFont="1" applyFill="1" applyBorder="1"/>
    <xf numFmtId="172" fontId="101" fillId="0" borderId="0" xfId="0" applyNumberFormat="1" applyFont="1" applyFill="1"/>
    <xf numFmtId="0" fontId="101" fillId="32" borderId="19" xfId="0" applyFont="1" applyFill="1" applyBorder="1"/>
    <xf numFmtId="172" fontId="102" fillId="32" borderId="19" xfId="0" applyNumberFormat="1" applyFont="1" applyFill="1" applyBorder="1"/>
    <xf numFmtId="172" fontId="101" fillId="32" borderId="19" xfId="0" applyNumberFormat="1" applyFont="1" applyFill="1" applyBorder="1"/>
    <xf numFmtId="172" fontId="89" fillId="32" borderId="30" xfId="210" applyNumberFormat="1" applyFont="1" applyFill="1" applyBorder="1"/>
    <xf numFmtId="0" fontId="64" fillId="35" borderId="118" xfId="210" applyFont="1" applyFill="1" applyBorder="1"/>
    <xf numFmtId="0" fontId="64" fillId="35" borderId="34" xfId="210" applyFont="1" applyFill="1" applyBorder="1" applyAlignment="1">
      <alignment horizontal="center"/>
    </xf>
    <xf numFmtId="0" fontId="64" fillId="35" borderId="112" xfId="210" applyFont="1" applyFill="1" applyBorder="1" applyAlignment="1">
      <alignment horizontal="center"/>
    </xf>
    <xf numFmtId="0" fontId="64" fillId="35" borderId="118" xfId="210" applyFont="1" applyFill="1" applyBorder="1" applyAlignment="1">
      <alignment horizontal="center"/>
    </xf>
    <xf numFmtId="0" fontId="64" fillId="35" borderId="75" xfId="210" applyFont="1" applyFill="1" applyBorder="1" applyAlignment="1">
      <alignment horizontal="center"/>
    </xf>
    <xf numFmtId="0" fontId="87" fillId="24" borderId="118" xfId="210" applyFont="1" applyFill="1" applyBorder="1"/>
    <xf numFmtId="0" fontId="87" fillId="24" borderId="34" xfId="210" applyFont="1" applyFill="1" applyBorder="1" applyAlignment="1">
      <alignment horizontal="center"/>
    </xf>
    <xf numFmtId="172" fontId="87" fillId="24" borderId="34" xfId="216" applyNumberFormat="1" applyFont="1" applyFill="1" applyBorder="1"/>
    <xf numFmtId="172" fontId="87" fillId="24" borderId="75" xfId="216" applyNumberFormat="1" applyFont="1" applyFill="1" applyBorder="1"/>
    <xf numFmtId="0" fontId="87" fillId="24" borderId="128" xfId="210" applyFont="1" applyFill="1" applyBorder="1"/>
    <xf numFmtId="0" fontId="87" fillId="24" borderId="44" xfId="210" applyFont="1" applyFill="1" applyBorder="1" applyAlignment="1">
      <alignment horizontal="center"/>
    </xf>
    <xf numFmtId="0" fontId="87" fillId="24" borderId="44" xfId="210" applyFont="1" applyFill="1" applyBorder="1"/>
    <xf numFmtId="180" fontId="87" fillId="0" borderId="30" xfId="40" applyNumberFormat="1" applyFont="1" applyBorder="1"/>
    <xf numFmtId="185" fontId="87" fillId="24" borderId="35" xfId="216" applyNumberFormat="1" applyFont="1" applyFill="1" applyBorder="1"/>
    <xf numFmtId="185" fontId="87" fillId="24" borderId="44" xfId="216" applyNumberFormat="1" applyFont="1" applyFill="1" applyBorder="1"/>
    <xf numFmtId="10" fontId="87" fillId="0" borderId="0" xfId="173" applyNumberFormat="1" applyFont="1"/>
    <xf numFmtId="171" fontId="87" fillId="0" borderId="0" xfId="40" applyNumberFormat="1" applyFont="1"/>
    <xf numFmtId="43" fontId="87" fillId="0" borderId="0" xfId="173" applyNumberFormat="1" applyFont="1"/>
    <xf numFmtId="0" fontId="1" fillId="0" borderId="0" xfId="221"/>
    <xf numFmtId="0" fontId="8" fillId="24" borderId="81" xfId="222" applyNumberFormat="1" applyFont="1" applyFill="1" applyBorder="1" applyAlignment="1">
      <alignment horizontal="center" vertical="center" wrapText="1"/>
    </xf>
    <xf numFmtId="0" fontId="103" fillId="24" borderId="97" xfId="221" applyFont="1" applyFill="1" applyBorder="1" applyAlignment="1" applyProtection="1">
      <alignment horizontal="center" vertical="center"/>
    </xf>
    <xf numFmtId="0" fontId="103" fillId="24" borderId="82" xfId="221" applyFont="1" applyFill="1" applyBorder="1" applyAlignment="1" applyProtection="1">
      <alignment horizontal="center" vertical="center"/>
    </xf>
    <xf numFmtId="0" fontId="8" fillId="24" borderId="97" xfId="221" applyFont="1" applyFill="1" applyBorder="1" applyAlignment="1" applyProtection="1">
      <alignment horizontal="center" vertical="center" wrapText="1"/>
    </xf>
    <xf numFmtId="0" fontId="103" fillId="24" borderId="98" xfId="221" applyFont="1" applyFill="1" applyBorder="1" applyAlignment="1" applyProtection="1">
      <alignment horizontal="center" vertical="center" wrapText="1"/>
    </xf>
    <xf numFmtId="0" fontId="7" fillId="24" borderId="45" xfId="222" applyNumberFormat="1" applyFont="1" applyFill="1" applyBorder="1" applyAlignment="1">
      <alignment horizontal="center"/>
    </xf>
    <xf numFmtId="0" fontId="7" fillId="24" borderId="99" xfId="221" applyFont="1" applyFill="1" applyBorder="1" applyAlignment="1" applyProtection="1"/>
    <xf numFmtId="171" fontId="7" fillId="24" borderId="62" xfId="223" applyNumberFormat="1" applyFont="1" applyFill="1" applyBorder="1"/>
    <xf numFmtId="3" fontId="1" fillId="0" borderId="37" xfId="221" applyNumberFormat="1" applyBorder="1"/>
    <xf numFmtId="171" fontId="7" fillId="24" borderId="102" xfId="223" applyNumberFormat="1" applyFont="1" applyFill="1" applyBorder="1"/>
    <xf numFmtId="0" fontId="7" fillId="24" borderId="94" xfId="222" applyNumberFormat="1" applyFont="1" applyFill="1" applyBorder="1" applyAlignment="1">
      <alignment horizontal="center"/>
    </xf>
    <xf numFmtId="0" fontId="7" fillId="24" borderId="38" xfId="221" applyFont="1" applyFill="1" applyBorder="1" applyAlignment="1" applyProtection="1"/>
    <xf numFmtId="3" fontId="1" fillId="0" borderId="50" xfId="221" applyNumberFormat="1" applyBorder="1"/>
    <xf numFmtId="0" fontId="7" fillId="24" borderId="68" xfId="221" applyFont="1" applyFill="1" applyBorder="1" applyAlignment="1" applyProtection="1"/>
    <xf numFmtId="171" fontId="7" fillId="24" borderId="50" xfId="223" applyNumberFormat="1" applyFont="1" applyFill="1" applyBorder="1"/>
    <xf numFmtId="184" fontId="1" fillId="0" borderId="0" xfId="221" applyNumberFormat="1"/>
    <xf numFmtId="171" fontId="7" fillId="24" borderId="63" xfId="223" applyNumberFormat="1" applyFont="1" applyFill="1" applyBorder="1"/>
    <xf numFmtId="191" fontId="7" fillId="24" borderId="38" xfId="224" applyNumberFormat="1" applyFont="1" applyFill="1" applyBorder="1" applyAlignment="1" applyProtection="1"/>
    <xf numFmtId="0" fontId="7" fillId="24" borderId="133" xfId="222" applyNumberFormat="1" applyFont="1" applyFill="1" applyBorder="1" applyAlignment="1">
      <alignment horizontal="center"/>
    </xf>
    <xf numFmtId="0" fontId="7" fillId="24" borderId="73" xfId="221" applyFont="1" applyFill="1" applyBorder="1" applyAlignment="1" applyProtection="1"/>
    <xf numFmtId="171" fontId="7" fillId="24" borderId="90" xfId="223" applyNumberFormat="1" applyFont="1" applyFill="1" applyBorder="1"/>
    <xf numFmtId="3" fontId="1" fillId="0" borderId="134" xfId="221" applyNumberFormat="1" applyBorder="1"/>
    <xf numFmtId="171" fontId="7" fillId="24" borderId="134" xfId="223" applyNumberFormat="1" applyFont="1" applyFill="1" applyBorder="1"/>
    <xf numFmtId="0" fontId="7" fillId="24" borderId="94" xfId="222" applyNumberFormat="1" applyFill="1" applyBorder="1" applyAlignment="1">
      <alignment horizontal="center"/>
    </xf>
    <xf numFmtId="0" fontId="105" fillId="24" borderId="68" xfId="221" applyFont="1" applyFill="1" applyBorder="1" applyAlignment="1" applyProtection="1"/>
    <xf numFmtId="0" fontId="105" fillId="24" borderId="63" xfId="223" applyNumberFormat="1" applyFont="1" applyFill="1" applyBorder="1" applyAlignment="1" applyProtection="1">
      <alignment horizontal="center" vertical="center"/>
    </xf>
    <xf numFmtId="165" fontId="7" fillId="24" borderId="68" xfId="223" applyNumberFormat="1" applyFont="1" applyFill="1" applyBorder="1"/>
    <xf numFmtId="0" fontId="7" fillId="24" borderId="116" xfId="222" applyNumberFormat="1" applyFill="1" applyBorder="1" applyAlignment="1">
      <alignment horizontal="center"/>
    </xf>
    <xf numFmtId="0" fontId="103" fillId="24" borderId="84" xfId="221" applyFont="1" applyFill="1" applyBorder="1" applyAlignment="1" applyProtection="1">
      <alignment horizontal="center"/>
    </xf>
    <xf numFmtId="0" fontId="105" fillId="24" borderId="85" xfId="223" applyNumberFormat="1" applyFont="1" applyFill="1" applyBorder="1" applyAlignment="1" applyProtection="1">
      <alignment horizontal="center" vertical="center"/>
    </xf>
    <xf numFmtId="165" fontId="7" fillId="24" borderId="84" xfId="223" applyNumberFormat="1" applyFont="1" applyFill="1" applyBorder="1"/>
    <xf numFmtId="171" fontId="8" fillId="24" borderId="119" xfId="223" applyNumberFormat="1" applyFont="1" applyFill="1" applyBorder="1"/>
    <xf numFmtId="0" fontId="7" fillId="24" borderId="53" xfId="222" applyNumberFormat="1" applyFill="1" applyBorder="1" applyAlignment="1">
      <alignment horizontal="center"/>
    </xf>
    <xf numFmtId="0" fontId="103" fillId="24" borderId="100" xfId="221" applyFont="1" applyFill="1" applyBorder="1" applyAlignment="1" applyProtection="1">
      <alignment horizontal="center" vertical="center" wrapText="1"/>
    </xf>
    <xf numFmtId="0" fontId="105" fillId="24" borderId="61" xfId="223" applyNumberFormat="1" applyFont="1" applyFill="1" applyBorder="1" applyAlignment="1" applyProtection="1">
      <alignment horizontal="center" vertical="center"/>
    </xf>
    <xf numFmtId="165" fontId="7" fillId="24" borderId="100" xfId="223" applyNumberFormat="1" applyFont="1" applyFill="1" applyBorder="1"/>
    <xf numFmtId="171" fontId="8" fillId="24" borderId="101" xfId="223" applyNumberFormat="1" applyFont="1" applyFill="1" applyBorder="1"/>
    <xf numFmtId="0" fontId="7" fillId="24" borderId="45" xfId="222" applyNumberFormat="1" applyFill="1" applyBorder="1" applyAlignment="1">
      <alignment horizontal="center"/>
    </xf>
    <xf numFmtId="0" fontId="105" fillId="24" borderId="99" xfId="221" applyFont="1" applyFill="1" applyBorder="1" applyAlignment="1" applyProtection="1"/>
    <xf numFmtId="171" fontId="105" fillId="24" borderId="60" xfId="223" applyNumberFormat="1" applyFont="1" applyFill="1" applyBorder="1" applyAlignment="1" applyProtection="1">
      <alignment horizontal="center"/>
    </xf>
    <xf numFmtId="165" fontId="7" fillId="24" borderId="99" xfId="223" applyNumberFormat="1" applyFont="1" applyFill="1" applyBorder="1" applyAlignment="1">
      <alignment horizontal="center" vertical="center" wrapText="1"/>
    </xf>
    <xf numFmtId="171" fontId="7" fillId="24" borderId="46" xfId="223" applyNumberFormat="1" applyFont="1" applyFill="1" applyBorder="1"/>
    <xf numFmtId="0" fontId="7" fillId="24" borderId="49" xfId="222" applyNumberFormat="1" applyFill="1" applyBorder="1" applyAlignment="1">
      <alignment horizontal="center"/>
    </xf>
    <xf numFmtId="0" fontId="105" fillId="24" borderId="38" xfId="221" applyFont="1" applyFill="1" applyBorder="1" applyAlignment="1" applyProtection="1"/>
    <xf numFmtId="0" fontId="105" fillId="24" borderId="62" xfId="221" applyFont="1" applyFill="1" applyBorder="1" applyAlignment="1" applyProtection="1">
      <alignment horizontal="center"/>
    </xf>
    <xf numFmtId="2" fontId="105" fillId="24" borderId="38" xfId="221" applyNumberFormat="1" applyFont="1" applyFill="1" applyBorder="1" applyAlignment="1" applyProtection="1">
      <alignment horizontal="right"/>
    </xf>
    <xf numFmtId="171" fontId="7" fillId="24" borderId="50" xfId="223" applyNumberFormat="1" applyFont="1" applyFill="1" applyBorder="1" applyAlignment="1">
      <alignment horizontal="center" vertical="center"/>
    </xf>
    <xf numFmtId="0" fontId="105" fillId="24" borderId="38" xfId="221" applyFont="1" applyFill="1" applyBorder="1"/>
    <xf numFmtId="0" fontId="105" fillId="24" borderId="62" xfId="221" applyFont="1" applyFill="1" applyBorder="1" applyAlignment="1">
      <alignment horizontal="center"/>
    </xf>
    <xf numFmtId="0" fontId="7" fillId="24" borderId="38" xfId="221" applyFont="1" applyFill="1" applyBorder="1"/>
    <xf numFmtId="0" fontId="103" fillId="24" borderId="100" xfId="221" applyFont="1" applyFill="1" applyBorder="1" applyAlignment="1" applyProtection="1">
      <alignment horizontal="center"/>
    </xf>
    <xf numFmtId="0" fontId="103" fillId="24" borderId="61" xfId="221" applyFont="1" applyFill="1" applyBorder="1" applyAlignment="1" applyProtection="1">
      <alignment horizontal="center"/>
    </xf>
    <xf numFmtId="0" fontId="7" fillId="24" borderId="100" xfId="221" applyFont="1" applyFill="1" applyBorder="1"/>
    <xf numFmtId="0" fontId="105" fillId="24" borderId="99" xfId="221" applyFont="1" applyFill="1" applyBorder="1"/>
    <xf numFmtId="0" fontId="105" fillId="24" borderId="60" xfId="221" applyFont="1" applyFill="1" applyBorder="1" applyAlignment="1">
      <alignment horizontal="center"/>
    </xf>
    <xf numFmtId="0" fontId="7" fillId="24" borderId="99" xfId="221" applyFont="1" applyFill="1" applyBorder="1" applyAlignment="1">
      <alignment horizontal="center" vertical="center" wrapText="1"/>
    </xf>
    <xf numFmtId="2" fontId="7" fillId="24" borderId="68" xfId="221" applyNumberFormat="1" applyFont="1" applyFill="1" applyBorder="1"/>
    <xf numFmtId="0" fontId="105" fillId="24" borderId="62" xfId="221" applyFont="1" applyFill="1" applyBorder="1"/>
    <xf numFmtId="43" fontId="0" fillId="0" borderId="0" xfId="223" applyFont="1"/>
    <xf numFmtId="0" fontId="105" fillId="24" borderId="60" xfId="221" applyFont="1" applyFill="1" applyBorder="1"/>
    <xf numFmtId="171" fontId="106" fillId="24" borderId="46" xfId="223" applyNumberFormat="1" applyFont="1" applyFill="1" applyBorder="1"/>
    <xf numFmtId="0" fontId="105" fillId="24" borderId="62" xfId="221" applyFont="1" applyFill="1" applyBorder="1" applyAlignment="1" applyProtection="1"/>
    <xf numFmtId="2" fontId="7" fillId="24" borderId="38" xfId="225" applyNumberFormat="1" applyFont="1" applyFill="1" applyBorder="1"/>
    <xf numFmtId="0" fontId="1" fillId="24" borderId="30" xfId="221" applyFill="1" applyBorder="1"/>
    <xf numFmtId="0" fontId="7" fillId="24" borderId="13" xfId="222" applyNumberFormat="1" applyFont="1" applyFill="1" applyBorder="1" applyAlignment="1">
      <alignment horizontal="center"/>
    </xf>
    <xf numFmtId="0" fontId="1" fillId="24" borderId="35" xfId="221" applyFill="1" applyBorder="1"/>
    <xf numFmtId="0" fontId="105" fillId="24" borderId="61" xfId="221" applyFont="1" applyFill="1" applyBorder="1" applyAlignment="1" applyProtection="1">
      <alignment horizontal="center"/>
    </xf>
    <xf numFmtId="189" fontId="7" fillId="24" borderId="100" xfId="225" applyNumberFormat="1" applyFont="1" applyFill="1" applyBorder="1"/>
    <xf numFmtId="171" fontId="7" fillId="24" borderId="101" xfId="223" applyNumberFormat="1" applyFont="1" applyFill="1" applyBorder="1"/>
    <xf numFmtId="0" fontId="107" fillId="24" borderId="100" xfId="221" applyFont="1" applyFill="1" applyBorder="1" applyAlignment="1" applyProtection="1">
      <alignment horizontal="center"/>
    </xf>
    <xf numFmtId="171" fontId="18" fillId="24" borderId="101" xfId="223" applyNumberFormat="1" applyFont="1" applyFill="1" applyBorder="1"/>
    <xf numFmtId="0" fontId="7" fillId="24" borderId="0" xfId="222" applyNumberFormat="1" applyFill="1"/>
    <xf numFmtId="0" fontId="1" fillId="24" borderId="0" xfId="221" applyFill="1"/>
    <xf numFmtId="0" fontId="7" fillId="24" borderId="0" xfId="221" applyFont="1" applyFill="1"/>
    <xf numFmtId="171" fontId="1" fillId="0" borderId="0" xfId="221" applyNumberFormat="1"/>
    <xf numFmtId="0" fontId="7" fillId="0" borderId="0" xfId="222" applyNumberFormat="1"/>
    <xf numFmtId="0" fontId="7" fillId="0" borderId="0" xfId="221" applyFont="1"/>
    <xf numFmtId="10" fontId="0" fillId="0" borderId="0" xfId="225" applyNumberFormat="1" applyFont="1"/>
    <xf numFmtId="43" fontId="1" fillId="0" borderId="0" xfId="221" applyNumberFormat="1"/>
    <xf numFmtId="10" fontId="0" fillId="0" borderId="0" xfId="223" applyNumberFormat="1" applyFont="1"/>
    <xf numFmtId="10" fontId="1" fillId="0" borderId="0" xfId="221" applyNumberFormat="1"/>
    <xf numFmtId="0" fontId="4" fillId="0" borderId="0" xfId="212" applyAlignment="1">
      <alignment horizontal="right"/>
    </xf>
    <xf numFmtId="0" fontId="108" fillId="0" borderId="0" xfId="212" applyFont="1"/>
    <xf numFmtId="3" fontId="101" fillId="32" borderId="0" xfId="212" applyNumberFormat="1" applyFont="1" applyFill="1"/>
    <xf numFmtId="165" fontId="9" fillId="0" borderId="0" xfId="40" applyFont="1" applyFill="1" applyBorder="1"/>
    <xf numFmtId="165" fontId="9" fillId="0" borderId="81" xfId="40" applyFont="1" applyFill="1" applyBorder="1" applyAlignment="1"/>
    <xf numFmtId="165" fontId="42" fillId="0" borderId="64" xfId="40" applyFont="1" applyFill="1" applyBorder="1"/>
    <xf numFmtId="165" fontId="42" fillId="0" borderId="55" xfId="40" applyFont="1" applyFill="1" applyBorder="1"/>
    <xf numFmtId="165" fontId="42" fillId="0" borderId="56" xfId="40" applyFont="1" applyFill="1" applyBorder="1"/>
    <xf numFmtId="165" fontId="54" fillId="28" borderId="97" xfId="40" applyFont="1" applyFill="1" applyBorder="1" applyAlignment="1">
      <alignment vertical="center" wrapText="1"/>
    </xf>
    <xf numFmtId="165" fontId="109" fillId="0" borderId="0" xfId="40" applyFont="1" applyFill="1" applyBorder="1" applyAlignment="1">
      <alignment wrapText="1"/>
    </xf>
    <xf numFmtId="165" fontId="42" fillId="0" borderId="0" xfId="40" applyFont="1"/>
    <xf numFmtId="165" fontId="42" fillId="0" borderId="0" xfId="40" applyFont="1" applyAlignment="1">
      <alignment horizontal="left"/>
    </xf>
    <xf numFmtId="165" fontId="50" fillId="0" borderId="0" xfId="40" applyFont="1" applyFill="1" applyBorder="1"/>
    <xf numFmtId="165" fontId="54" fillId="28" borderId="54" xfId="40" applyFont="1" applyFill="1" applyBorder="1" applyAlignment="1">
      <alignment horizontal="center" wrapText="1"/>
    </xf>
    <xf numFmtId="165" fontId="54" fillId="28" borderId="56" xfId="40" applyFont="1" applyFill="1" applyBorder="1" applyAlignment="1">
      <alignment horizontal="center" wrapText="1"/>
    </xf>
    <xf numFmtId="165" fontId="54" fillId="28" borderId="76" xfId="40" applyFont="1" applyFill="1" applyBorder="1"/>
    <xf numFmtId="165" fontId="54" fillId="28" borderId="71" xfId="40" applyFont="1" applyFill="1" applyBorder="1" applyAlignment="1">
      <alignment horizontal="center" vertical="center" wrapText="1"/>
    </xf>
    <xf numFmtId="165" fontId="42" fillId="0" borderId="0" xfId="40" applyFont="1" applyFill="1" applyBorder="1" applyAlignment="1">
      <alignment horizontal="center" vertical="center" wrapText="1"/>
    </xf>
    <xf numFmtId="165" fontId="42" fillId="0" borderId="109" xfId="40" applyFont="1" applyFill="1" applyBorder="1" applyAlignment="1">
      <alignment vertical="center" wrapText="1"/>
    </xf>
    <xf numFmtId="165" fontId="42" fillId="0" borderId="88" xfId="40" applyFont="1" applyFill="1" applyBorder="1" applyAlignment="1">
      <alignment vertical="center" wrapText="1"/>
    </xf>
    <xf numFmtId="165" fontId="42" fillId="0" borderId="93" xfId="40" applyFont="1" applyFill="1" applyBorder="1" applyAlignment="1">
      <alignment vertical="center" wrapText="1"/>
    </xf>
    <xf numFmtId="165" fontId="42" fillId="0" borderId="0" xfId="40" applyFont="1" applyBorder="1"/>
    <xf numFmtId="165" fontId="42" fillId="0" borderId="0" xfId="40" applyFont="1" applyFill="1" applyBorder="1"/>
    <xf numFmtId="165" fontId="9" fillId="0" borderId="0" xfId="40" applyFont="1" applyFill="1" applyBorder="1" applyAlignment="1">
      <alignment horizontal="center" vertical="center" wrapText="1"/>
    </xf>
    <xf numFmtId="165" fontId="9" fillId="0" borderId="0" xfId="40" applyFont="1" applyBorder="1"/>
    <xf numFmtId="165" fontId="12" fillId="0" borderId="105" xfId="40" applyFont="1" applyFill="1" applyBorder="1"/>
    <xf numFmtId="165" fontId="12" fillId="0" borderId="45" xfId="40" applyFont="1" applyFill="1" applyBorder="1"/>
    <xf numFmtId="165" fontId="12" fillId="0" borderId="94" xfId="40" applyFont="1" applyFill="1" applyBorder="1"/>
    <xf numFmtId="165" fontId="12" fillId="0" borderId="49" xfId="40" applyFont="1" applyFill="1" applyBorder="1"/>
    <xf numFmtId="165" fontId="12" fillId="0" borderId="53" xfId="40" applyFont="1" applyFill="1" applyBorder="1"/>
    <xf numFmtId="171" fontId="7" fillId="0" borderId="0" xfId="0" applyNumberFormat="1" applyFont="1" applyFill="1" applyBorder="1" applyAlignment="1">
      <alignment vertical="center" wrapText="1"/>
    </xf>
    <xf numFmtId="165" fontId="59" fillId="0" borderId="0" xfId="40" applyFont="1" applyFill="1"/>
    <xf numFmtId="0" fontId="8" fillId="0" borderId="54" xfId="0" applyFont="1" applyFill="1" applyBorder="1"/>
    <xf numFmtId="0" fontId="7" fillId="0" borderId="54" xfId="0" applyFont="1" applyFill="1" applyBorder="1"/>
    <xf numFmtId="165" fontId="7" fillId="0" borderId="54" xfId="40" applyFont="1" applyFill="1" applyBorder="1"/>
    <xf numFmtId="0" fontId="7" fillId="0" borderId="56" xfId="0" applyFont="1" applyFill="1" applyBorder="1"/>
    <xf numFmtId="171" fontId="7" fillId="0" borderId="54" xfId="40" applyNumberFormat="1" applyFont="1" applyFill="1" applyBorder="1"/>
    <xf numFmtId="0" fontId="12" fillId="0" borderId="54" xfId="0" applyFont="1" applyFill="1" applyBorder="1" applyAlignment="1">
      <alignment horizontal="center"/>
    </xf>
    <xf numFmtId="171" fontId="7" fillId="0" borderId="56" xfId="40" applyNumberFormat="1" applyFont="1" applyFill="1" applyBorder="1"/>
    <xf numFmtId="165" fontId="7" fillId="0" borderId="56" xfId="40" applyFont="1" applyFill="1" applyBorder="1"/>
    <xf numFmtId="0" fontId="12" fillId="0" borderId="101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165" fontId="12" fillId="0" borderId="135" xfId="0" applyNumberFormat="1" applyFont="1" applyFill="1" applyBorder="1"/>
    <xf numFmtId="172" fontId="87" fillId="0" borderId="30" xfId="216" applyNumberFormat="1" applyFont="1" applyFill="1" applyBorder="1"/>
    <xf numFmtId="43" fontId="9" fillId="0" borderId="70" xfId="44" applyFont="1" applyFill="1" applyBorder="1" applyAlignment="1">
      <alignment horizontal="center"/>
    </xf>
    <xf numFmtId="43" fontId="9" fillId="0" borderId="25" xfId="44" applyFont="1" applyFill="1" applyBorder="1" applyAlignment="1">
      <alignment horizontal="center"/>
    </xf>
    <xf numFmtId="0" fontId="54" fillId="28" borderId="118" xfId="0" applyFont="1" applyFill="1" applyBorder="1" applyAlignment="1">
      <alignment horizontal="center" vertical="center" wrapText="1"/>
    </xf>
    <xf numFmtId="0" fontId="54" fillId="28" borderId="103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41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43" xfId="0" applyFont="1" applyFill="1" applyBorder="1" applyAlignment="1">
      <alignment horizontal="center" vertical="center" wrapText="1"/>
    </xf>
    <xf numFmtId="0" fontId="54" fillId="28" borderId="125" xfId="0" applyFont="1" applyFill="1" applyBorder="1" applyAlignment="1">
      <alignment horizontal="center" vertical="center" wrapText="1"/>
    </xf>
    <xf numFmtId="0" fontId="54" fillId="28" borderId="75" xfId="0" applyFont="1" applyFill="1" applyBorder="1" applyAlignment="1">
      <alignment horizontal="center" vertical="center" wrapText="1"/>
    </xf>
    <xf numFmtId="0" fontId="54" fillId="28" borderId="42" xfId="0" applyFont="1" applyFill="1" applyBorder="1" applyAlignment="1">
      <alignment horizontal="center" vertical="center" wrapText="1"/>
    </xf>
    <xf numFmtId="43" fontId="9" fillId="0" borderId="28" xfId="44" applyFont="1" applyFill="1" applyBorder="1" applyAlignment="1">
      <alignment horizontal="center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113" xfId="0" applyFont="1" applyFill="1" applyBorder="1" applyAlignment="1">
      <alignment horizontal="center" vertical="center" wrapText="1"/>
    </xf>
    <xf numFmtId="0" fontId="54" fillId="28" borderId="112" xfId="0" applyFont="1" applyFill="1" applyBorder="1" applyAlignment="1">
      <alignment horizontal="center" vertical="center" wrapText="1"/>
    </xf>
    <xf numFmtId="0" fontId="54" fillId="28" borderId="96" xfId="0" applyFont="1" applyFill="1" applyBorder="1" applyAlignment="1">
      <alignment horizontal="center" vertical="center" wrapText="1"/>
    </xf>
    <xf numFmtId="43" fontId="9" fillId="0" borderId="72" xfId="44" applyFont="1" applyFill="1" applyBorder="1" applyAlignment="1">
      <alignment horizontal="center"/>
    </xf>
    <xf numFmtId="0" fontId="20" fillId="0" borderId="78" xfId="0" applyFont="1" applyFill="1" applyBorder="1" applyAlignment="1">
      <alignment horizontal="center"/>
    </xf>
    <xf numFmtId="0" fontId="0" fillId="0" borderId="98" xfId="0" applyBorder="1" applyAlignment="1">
      <alignment horizontal="center"/>
    </xf>
    <xf numFmtId="0" fontId="20" fillId="0" borderId="117" xfId="0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Alignment="1"/>
    <xf numFmtId="0" fontId="89" fillId="0" borderId="0" xfId="210" applyFont="1" applyFill="1" applyBorder="1" applyAlignment="1">
      <alignment horizontal="center" vertical="center"/>
    </xf>
    <xf numFmtId="0" fontId="87" fillId="0" borderId="0" xfId="210" applyFont="1" applyFill="1" applyBorder="1" applyAlignment="1">
      <alignment horizontal="center" vertical="center"/>
    </xf>
    <xf numFmtId="0" fontId="89" fillId="0" borderId="0" xfId="210" applyFont="1" applyFill="1" applyBorder="1" applyAlignment="1">
      <alignment horizontal="center"/>
    </xf>
    <xf numFmtId="0" fontId="8" fillId="24" borderId="0" xfId="217" applyFont="1" applyFill="1" applyAlignment="1">
      <alignment horizontal="center"/>
    </xf>
    <xf numFmtId="0" fontId="66" fillId="35" borderId="0" xfId="212" applyFont="1" applyFill="1" applyBorder="1" applyAlignment="1">
      <alignment horizontal="center"/>
    </xf>
    <xf numFmtId="3" fontId="69" fillId="36" borderId="0" xfId="212" applyNumberFormat="1" applyFont="1" applyFill="1" applyBorder="1" applyAlignment="1">
      <alignment horizontal="right" vertical="center"/>
    </xf>
    <xf numFmtId="168" fontId="69" fillId="36" borderId="0" xfId="213" applyNumberFormat="1" applyFont="1" applyFill="1" applyBorder="1" applyAlignment="1">
      <alignment horizontal="right" vertical="center"/>
    </xf>
    <xf numFmtId="165" fontId="18" fillId="0" borderId="0" xfId="40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" fontId="47" fillId="26" borderId="99" xfId="0" applyNumberFormat="1" applyFont="1" applyFill="1" applyBorder="1" applyAlignment="1">
      <alignment horizontal="center" vertical="center" wrapText="1"/>
    </xf>
    <xf numFmtId="4" fontId="47" fillId="26" borderId="84" xfId="0" applyNumberFormat="1" applyFont="1" applyFill="1" applyBorder="1" applyAlignment="1">
      <alignment horizontal="center" vertical="center" wrapText="1"/>
    </xf>
    <xf numFmtId="4" fontId="47" fillId="26" borderId="47" xfId="0" applyNumberFormat="1" applyFont="1" applyFill="1" applyBorder="1" applyAlignment="1">
      <alignment horizontal="center" vertical="center" wrapText="1"/>
    </xf>
    <xf numFmtId="4" fontId="47" fillId="26" borderId="1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7" fillId="26" borderId="46" xfId="0" applyNumberFormat="1" applyFont="1" applyFill="1" applyBorder="1" applyAlignment="1">
      <alignment horizontal="center" vertical="center" wrapText="1"/>
    </xf>
    <xf numFmtId="4" fontId="47" fillId="26" borderId="119" xfId="0" applyNumberFormat="1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5" fillId="28" borderId="27" xfId="0" applyFont="1" applyFill="1" applyBorder="1" applyAlignment="1">
      <alignment horizontal="center" wrapText="1"/>
    </xf>
    <xf numFmtId="0" fontId="55" fillId="28" borderId="28" xfId="0" applyFont="1" applyFill="1" applyBorder="1" applyAlignment="1">
      <alignment horizontal="center" wrapText="1"/>
    </xf>
    <xf numFmtId="0" fontId="55" fillId="28" borderId="120" xfId="0" applyFont="1" applyFill="1" applyBorder="1" applyAlignment="1">
      <alignment horizontal="center" wrapText="1"/>
    </xf>
    <xf numFmtId="0" fontId="55" fillId="28" borderId="121" xfId="0" applyFont="1" applyFill="1" applyBorder="1" applyAlignment="1">
      <alignment horizont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116" xfId="0" applyFont="1" applyFill="1" applyBorder="1" applyAlignment="1">
      <alignment horizontal="center" vertical="center" wrapText="1"/>
    </xf>
    <xf numFmtId="171" fontId="8" fillId="0" borderId="81" xfId="0" applyNumberFormat="1" applyFont="1" applyFill="1" applyBorder="1" applyAlignment="1">
      <alignment horizontal="center" vertical="center" wrapText="1"/>
    </xf>
    <xf numFmtId="171" fontId="8" fillId="0" borderId="82" xfId="0" applyNumberFormat="1" applyFont="1" applyFill="1" applyBorder="1" applyAlignment="1">
      <alignment horizontal="center" vertical="center" wrapText="1"/>
    </xf>
    <xf numFmtId="171" fontId="8" fillId="0" borderId="83" xfId="0" applyNumberFormat="1" applyFont="1" applyFill="1" applyBorder="1" applyAlignment="1">
      <alignment horizontal="center" vertical="center" wrapText="1"/>
    </xf>
    <xf numFmtId="0" fontId="58" fillId="28" borderId="45" xfId="0" applyFont="1" applyFill="1" applyBorder="1" applyAlignment="1">
      <alignment horizontal="center" wrapText="1"/>
    </xf>
    <xf numFmtId="0" fontId="58" fillId="28" borderId="53" xfId="0" applyFont="1" applyFill="1" applyBorder="1" applyAlignment="1">
      <alignment horizontal="center" wrapText="1"/>
    </xf>
    <xf numFmtId="0" fontId="58" fillId="28" borderId="54" xfId="0" applyFont="1" applyFill="1" applyBorder="1" applyAlignment="1">
      <alignment horizontal="center" wrapText="1"/>
    </xf>
    <xf numFmtId="0" fontId="58" fillId="28" borderId="56" xfId="0" applyFont="1" applyFill="1" applyBorder="1" applyAlignment="1">
      <alignment horizontal="center" wrapText="1"/>
    </xf>
    <xf numFmtId="165" fontId="7" fillId="0" borderId="11" xfId="0" applyNumberFormat="1" applyFont="1" applyFill="1" applyBorder="1" applyAlignment="1">
      <alignment horizontal="left" wrapText="1"/>
    </xf>
    <xf numFmtId="165" fontId="7" fillId="0" borderId="0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right"/>
    </xf>
    <xf numFmtId="0" fontId="55" fillId="28" borderId="82" xfId="0" applyFont="1" applyFill="1" applyBorder="1" applyAlignment="1">
      <alignment horizontal="center" vertical="center" wrapText="1"/>
    </xf>
    <xf numFmtId="0" fontId="55" fillId="28" borderId="8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5" fillId="28" borderId="77" xfId="0" applyFont="1" applyFill="1" applyBorder="1" applyAlignment="1">
      <alignment horizontal="center" vertical="center" wrapText="1"/>
    </xf>
    <xf numFmtId="0" fontId="55" fillId="28" borderId="117" xfId="0" applyFont="1" applyFill="1" applyBorder="1" applyAlignment="1">
      <alignment horizontal="center" vertical="center" wrapText="1"/>
    </xf>
    <xf numFmtId="0" fontId="55" fillId="28" borderId="118" xfId="0" applyFont="1" applyFill="1" applyBorder="1" applyAlignment="1">
      <alignment horizontal="center" vertical="center" wrapText="1"/>
    </xf>
    <xf numFmtId="0" fontId="55" fillId="28" borderId="10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43" fillId="26" borderId="44" xfId="0" applyFont="1" applyFill="1" applyBorder="1" applyAlignment="1">
      <alignment horizontal="center" vertical="center" wrapText="1"/>
    </xf>
    <xf numFmtId="0" fontId="43" fillId="26" borderId="41" xfId="0" applyFont="1" applyFill="1" applyBorder="1" applyAlignment="1">
      <alignment horizontal="center" vertical="center" wrapText="1"/>
    </xf>
    <xf numFmtId="0" fontId="43" fillId="26" borderId="120" xfId="0" applyFont="1" applyFill="1" applyBorder="1" applyAlignment="1">
      <alignment horizontal="center" wrapText="1"/>
    </xf>
    <xf numFmtId="0" fontId="43" fillId="26" borderId="121" xfId="0" applyFont="1" applyFill="1" applyBorder="1" applyAlignment="1">
      <alignment horizontal="center" wrapText="1"/>
    </xf>
    <xf numFmtId="0" fontId="43" fillId="26" borderId="19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43" fontId="9" fillId="0" borderId="27" xfId="44" applyFont="1" applyFill="1" applyBorder="1" applyAlignment="1">
      <alignment horizontal="center" vertical="center" wrapText="1"/>
    </xf>
    <xf numFmtId="43" fontId="9" fillId="0" borderId="43" xfId="44" applyFont="1" applyFill="1" applyBorder="1" applyAlignment="1">
      <alignment horizontal="center" vertical="center" wrapText="1"/>
    </xf>
    <xf numFmtId="43" fontId="9" fillId="0" borderId="28" xfId="44" applyFont="1" applyFill="1" applyBorder="1" applyAlignment="1">
      <alignment horizontal="center" vertical="center" wrapText="1"/>
    </xf>
    <xf numFmtId="43" fontId="9" fillId="0" borderId="72" xfId="44" applyFont="1" applyFill="1" applyBorder="1" applyAlignment="1">
      <alignment horizontal="center" vertical="center" wrapText="1"/>
    </xf>
    <xf numFmtId="43" fontId="9" fillId="0" borderId="114" xfId="44" applyFont="1" applyFill="1" applyBorder="1" applyAlignment="1">
      <alignment horizontal="center" vertical="center" wrapText="1"/>
    </xf>
    <xf numFmtId="43" fontId="9" fillId="0" borderId="115" xfId="44" applyFont="1" applyFill="1" applyBorder="1" applyAlignment="1">
      <alignment horizontal="center" vertical="center" wrapText="1"/>
    </xf>
    <xf numFmtId="0" fontId="43" fillId="26" borderId="24" xfId="0" applyFont="1" applyFill="1" applyBorder="1" applyAlignment="1">
      <alignment horizontal="center" wrapText="1"/>
    </xf>
    <xf numFmtId="43" fontId="43" fillId="26" borderId="19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9" fillId="24" borderId="81" xfId="221" applyFont="1" applyFill="1" applyBorder="1" applyAlignment="1">
      <alignment horizontal="center" vertical="center"/>
    </xf>
    <xf numFmtId="0" fontId="9" fillId="24" borderId="82" xfId="221" applyFont="1" applyFill="1" applyBorder="1" applyAlignment="1">
      <alignment horizontal="center" vertical="center"/>
    </xf>
    <xf numFmtId="0" fontId="9" fillId="24" borderId="83" xfId="221" applyFont="1" applyFill="1" applyBorder="1" applyAlignment="1">
      <alignment horizontal="center" vertical="center"/>
    </xf>
    <xf numFmtId="0" fontId="9" fillId="27" borderId="0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226">
    <cellStyle name="20% - Énfasis1" xfId="1" builtinId="30" customBuiltin="1"/>
    <cellStyle name="20% - Énfasis1 2" xfId="74"/>
    <cellStyle name="20% - Énfasis1 3" xfId="75"/>
    <cellStyle name="20% - Énfasis1 4" xfId="76"/>
    <cellStyle name="20% - Énfasis2" xfId="2" builtinId="34" customBuiltin="1"/>
    <cellStyle name="20% - Énfasis2 2" xfId="77"/>
    <cellStyle name="20% - Énfasis2 3" xfId="78"/>
    <cellStyle name="20% - Énfasis2 4" xfId="79"/>
    <cellStyle name="20% - Énfasis3" xfId="3" builtinId="38" customBuiltin="1"/>
    <cellStyle name="20% - Énfasis3 2" xfId="80"/>
    <cellStyle name="20% - Énfasis3 3" xfId="81"/>
    <cellStyle name="20% - Énfasis3 4" xfId="82"/>
    <cellStyle name="20% - Énfasis4" xfId="4" builtinId="42" customBuiltin="1"/>
    <cellStyle name="20% - Énfasis4 2" xfId="83"/>
    <cellStyle name="20% - Énfasis4 3" xfId="84"/>
    <cellStyle name="20% - Énfasis4 4" xfId="85"/>
    <cellStyle name="20% - Énfasis5" xfId="5" builtinId="46" customBuiltin="1"/>
    <cellStyle name="20% - Énfasis5 2" xfId="86"/>
    <cellStyle name="20% - Énfasis5 3" xfId="87"/>
    <cellStyle name="20% - Énfasis5 4" xfId="88"/>
    <cellStyle name="20% - Énfasis6" xfId="6" builtinId="50" customBuiltin="1"/>
    <cellStyle name="20% - Énfasis6 2" xfId="89"/>
    <cellStyle name="20% - Énfasis6 3" xfId="90"/>
    <cellStyle name="20% - Énfasis6 4" xfId="91"/>
    <cellStyle name="40% - Énfasis1" xfId="7" builtinId="31" customBuiltin="1"/>
    <cellStyle name="40% - Énfasis1 2" xfId="92"/>
    <cellStyle name="40% - Énfasis1 3" xfId="93"/>
    <cellStyle name="40% - Énfasis1 4" xfId="94"/>
    <cellStyle name="40% - Énfasis2" xfId="8" builtinId="35" customBuiltin="1"/>
    <cellStyle name="40% - Énfasis2 2" xfId="95"/>
    <cellStyle name="40% - Énfasis2 3" xfId="96"/>
    <cellStyle name="40% - Énfasis2 4" xfId="97"/>
    <cellStyle name="40% - Énfasis3" xfId="9" builtinId="39" customBuiltin="1"/>
    <cellStyle name="40% - Énfasis3 2" xfId="98"/>
    <cellStyle name="40% - Énfasis3 3" xfId="99"/>
    <cellStyle name="40% - Énfasis3 4" xfId="100"/>
    <cellStyle name="40% - Énfasis4" xfId="10" builtinId="43" customBuiltin="1"/>
    <cellStyle name="40% - Énfasis4 2" xfId="101"/>
    <cellStyle name="40% - Énfasis4 3" xfId="102"/>
    <cellStyle name="40% - Énfasis4 4" xfId="103"/>
    <cellStyle name="40% - Énfasis5" xfId="11" builtinId="47" customBuiltin="1"/>
    <cellStyle name="40% - Énfasis5 2" xfId="104"/>
    <cellStyle name="40% - Énfasis5 3" xfId="105"/>
    <cellStyle name="40% - Énfasis5 4" xfId="106"/>
    <cellStyle name="40% - Énfasis6" xfId="12" builtinId="51" customBuiltin="1"/>
    <cellStyle name="40% - Énfasis6 2" xfId="107"/>
    <cellStyle name="40% - Énfasis6 3" xfId="108"/>
    <cellStyle name="40% - Énfasis6 4" xfId="109"/>
    <cellStyle name="60% - Énfasis1" xfId="13" builtinId="32" customBuiltin="1"/>
    <cellStyle name="60% - Énfasis1 2" xfId="110"/>
    <cellStyle name="60% - Énfasis1 3" xfId="111"/>
    <cellStyle name="60% - Énfasis1 4" xfId="112"/>
    <cellStyle name="60% - Énfasis2" xfId="14" builtinId="36" customBuiltin="1"/>
    <cellStyle name="60% - Énfasis2 2" xfId="113"/>
    <cellStyle name="60% - Énfasis2 3" xfId="114"/>
    <cellStyle name="60% - Énfasis2 4" xfId="115"/>
    <cellStyle name="60% - Énfasis3" xfId="15" builtinId="40" customBuiltin="1"/>
    <cellStyle name="60% - Énfasis3 2" xfId="116"/>
    <cellStyle name="60% - Énfasis3 3" xfId="117"/>
    <cellStyle name="60% - Énfasis3 4" xfId="118"/>
    <cellStyle name="60% - Énfasis4" xfId="16" builtinId="44" customBuiltin="1"/>
    <cellStyle name="60% - Énfasis4 2" xfId="119"/>
    <cellStyle name="60% - Énfasis4 3" xfId="120"/>
    <cellStyle name="60% - Énfasis4 4" xfId="121"/>
    <cellStyle name="60% - Énfasis5" xfId="17" builtinId="48" customBuiltin="1"/>
    <cellStyle name="60% - Énfasis5 2" xfId="122"/>
    <cellStyle name="60% - Énfasis5 3" xfId="123"/>
    <cellStyle name="60% - Énfasis5 4" xfId="124"/>
    <cellStyle name="60% - Énfasis6" xfId="18" builtinId="52" customBuiltin="1"/>
    <cellStyle name="60% - Énfasis6 2" xfId="125"/>
    <cellStyle name="60% - Énfasis6 3" xfId="126"/>
    <cellStyle name="60% - Énfasis6 4" xfId="127"/>
    <cellStyle name="Buena" xfId="19" builtinId="26" customBuiltin="1"/>
    <cellStyle name="Buena 2" xfId="128"/>
    <cellStyle name="Buena 3" xfId="129"/>
    <cellStyle name="Buena 4" xfId="130"/>
    <cellStyle name="Cálculo" xfId="20" builtinId="22" customBuiltin="1"/>
    <cellStyle name="Cálculo 2" xfId="131"/>
    <cellStyle name="Cálculo 3" xfId="132"/>
    <cellStyle name="Cálculo 4" xfId="133"/>
    <cellStyle name="Celda de comprobación" xfId="21" builtinId="23" customBuiltin="1"/>
    <cellStyle name="Celda de comprobación 2" xfId="134"/>
    <cellStyle name="Celda de comprobación 3" xfId="135"/>
    <cellStyle name="Celda de comprobación 4" xfId="136"/>
    <cellStyle name="Celda vinculada" xfId="22" builtinId="24" customBuiltin="1"/>
    <cellStyle name="Celda vinculada 2" xfId="137"/>
    <cellStyle name="Celda vinculada 3" xfId="138"/>
    <cellStyle name="Celda vinculada 4" xfId="139"/>
    <cellStyle name="Encabezado 1" xfId="64" builtinId="16" customBuiltin="1"/>
    <cellStyle name="Encabezado 4" xfId="23" builtinId="19" customBuiltin="1"/>
    <cellStyle name="Encabezado 4 2" xfId="140"/>
    <cellStyle name="Encabezado 4 3" xfId="141"/>
    <cellStyle name="Encabezado 4 4" xfId="142"/>
    <cellStyle name="Énfasis1" xfId="24" builtinId="29" customBuiltin="1"/>
    <cellStyle name="Énfasis1 2" xfId="143"/>
    <cellStyle name="Énfasis1 3" xfId="144"/>
    <cellStyle name="Énfasis1 4" xfId="145"/>
    <cellStyle name="Énfasis2" xfId="25" builtinId="33" customBuiltin="1"/>
    <cellStyle name="Énfasis2 2" xfId="146"/>
    <cellStyle name="Énfasis2 3" xfId="147"/>
    <cellStyle name="Énfasis2 4" xfId="148"/>
    <cellStyle name="Énfasis3" xfId="26" builtinId="37" customBuiltin="1"/>
    <cellStyle name="Énfasis3 2" xfId="149"/>
    <cellStyle name="Énfasis3 3" xfId="150"/>
    <cellStyle name="Énfasis3 4" xfId="151"/>
    <cellStyle name="Énfasis4" xfId="27" builtinId="41" customBuiltin="1"/>
    <cellStyle name="Énfasis4 2" xfId="152"/>
    <cellStyle name="Énfasis4 3" xfId="153"/>
    <cellStyle name="Énfasis4 4" xfId="154"/>
    <cellStyle name="Énfasis5" xfId="28" builtinId="45" customBuiltin="1"/>
    <cellStyle name="Énfasis5 2" xfId="155"/>
    <cellStyle name="Énfasis5 3" xfId="156"/>
    <cellStyle name="Énfasis5 4" xfId="157"/>
    <cellStyle name="Énfasis6" xfId="29" builtinId="49" customBuiltin="1"/>
    <cellStyle name="Énfasis6 2" xfId="158"/>
    <cellStyle name="Énfasis6 3" xfId="159"/>
    <cellStyle name="Énfasis6 4" xfId="160"/>
    <cellStyle name="Entrada" xfId="30" builtinId="20" customBuiltin="1"/>
    <cellStyle name="Entrada 2" xfId="161"/>
    <cellStyle name="Entrada 3" xfId="162"/>
    <cellStyle name="Entrada 4" xfId="163"/>
    <cellStyle name="Euro" xfId="31"/>
    <cellStyle name="Euro 2" xfId="222"/>
    <cellStyle name="F2" xfId="32"/>
    <cellStyle name="F3" xfId="33"/>
    <cellStyle name="F4" xfId="34"/>
    <cellStyle name="F5" xfId="35"/>
    <cellStyle name="F6" xfId="36"/>
    <cellStyle name="F7" xfId="37"/>
    <cellStyle name="F8" xfId="38"/>
    <cellStyle name="Incorrecto" xfId="39" builtinId="27" customBuiltin="1"/>
    <cellStyle name="Incorrecto 2" xfId="164"/>
    <cellStyle name="Incorrecto 3" xfId="165"/>
    <cellStyle name="Incorrecto 4" xfId="166"/>
    <cellStyle name="Millares" xfId="40" builtinId="3"/>
    <cellStyle name="Millares [0]" xfId="41" builtinId="6"/>
    <cellStyle name="Millares 2" xfId="42"/>
    <cellStyle name="Millares 2 2" xfId="69"/>
    <cellStyle name="Millares 2 3" xfId="167"/>
    <cellStyle name="Millares 2 4" xfId="168"/>
    <cellStyle name="Millares 3" xfId="43"/>
    <cellStyle name="Millares 3 2" xfId="216"/>
    <cellStyle name="Millares 3 3" xfId="219"/>
    <cellStyle name="Millares 4" xfId="169"/>
    <cellStyle name="Millares 5" xfId="211"/>
    <cellStyle name="Millares 6" xfId="214"/>
    <cellStyle name="Millares 7" xfId="223"/>
    <cellStyle name="Millares_Cargos por Conexión - versión Final" xfId="44"/>
    <cellStyle name="Millares_Modulo 6" xfId="45"/>
    <cellStyle name="Millares_RESUMEN" xfId="46"/>
    <cellStyle name="Neutral" xfId="47" builtinId="28" customBuiltin="1"/>
    <cellStyle name="Neutral 2" xfId="170"/>
    <cellStyle name="Neutral 3" xfId="171"/>
    <cellStyle name="Neutral 4" xfId="172"/>
    <cellStyle name="Normal" xfId="0" builtinId="0"/>
    <cellStyle name="Normal 10" xfId="217"/>
    <cellStyle name="Normal 11" xfId="221"/>
    <cellStyle name="Normal 2" xfId="48"/>
    <cellStyle name="Normal 2 2" xfId="70"/>
    <cellStyle name="Normal 2 3" xfId="173"/>
    <cellStyle name="Normal 2 3 2" xfId="174"/>
    <cellStyle name="Normal 2 4" xfId="175"/>
    <cellStyle name="Normal 3" xfId="49"/>
    <cellStyle name="Normal 3 2" xfId="71"/>
    <cellStyle name="Normal 3 2 2" xfId="210"/>
    <cellStyle name="Normal 3 3" xfId="176"/>
    <cellStyle name="Normal 4" xfId="72"/>
    <cellStyle name="Normal 5" xfId="73"/>
    <cellStyle name="Normal 5 2" xfId="177"/>
    <cellStyle name="Normal 5 3" xfId="178"/>
    <cellStyle name="Normal 6" xfId="179"/>
    <cellStyle name="Normal 7" xfId="208"/>
    <cellStyle name="Normal 8" xfId="212"/>
    <cellStyle name="Normal 9" xfId="215"/>
    <cellStyle name="Normal_Cuentas de Balance - 19 Feb 04" xfId="50"/>
    <cellStyle name="Normal_PANAM2" xfId="224"/>
    <cellStyle name="Notas" xfId="51" builtinId="10" customBuiltin="1"/>
    <cellStyle name="Notas 2" xfId="180"/>
    <cellStyle name="Notas 3" xfId="181"/>
    <cellStyle name="Notas 4" xfId="182"/>
    <cellStyle name="Output Amounts" xfId="52"/>
    <cellStyle name="Output Column Headings" xfId="53"/>
    <cellStyle name="Output Line Items" xfId="54"/>
    <cellStyle name="Output Report Heading" xfId="55"/>
    <cellStyle name="Output Report Title" xfId="56"/>
    <cellStyle name="Porcentaje" xfId="57" builtinId="5"/>
    <cellStyle name="Porcentaje 2" xfId="68"/>
    <cellStyle name="Porcentaje 2 2" xfId="218"/>
    <cellStyle name="Porcentaje 3" xfId="209"/>
    <cellStyle name="Porcentaje 4" xfId="213"/>
    <cellStyle name="Porcentaje 5" xfId="220"/>
    <cellStyle name="Porcentaje 6" xfId="225"/>
    <cellStyle name="Porcentual 2" xfId="58"/>
    <cellStyle name="Porcentual 3" xfId="59"/>
    <cellStyle name="Porcentual 4" xfId="183"/>
    <cellStyle name="Salida" xfId="60" builtinId="21" customBuiltin="1"/>
    <cellStyle name="Salida 2" xfId="184"/>
    <cellStyle name="Salida 3" xfId="185"/>
    <cellStyle name="Salida 4" xfId="186"/>
    <cellStyle name="Texto de advertencia" xfId="61" builtinId="11" customBuiltin="1"/>
    <cellStyle name="Texto de advertencia 2" xfId="187"/>
    <cellStyle name="Texto de advertencia 3" xfId="188"/>
    <cellStyle name="Texto de advertencia 4" xfId="189"/>
    <cellStyle name="Texto explicativo" xfId="62" builtinId="53" customBuiltin="1"/>
    <cellStyle name="Texto explicativo 2" xfId="190"/>
    <cellStyle name="Texto explicativo 3" xfId="191"/>
    <cellStyle name="Texto explicativo 4" xfId="192"/>
    <cellStyle name="Título" xfId="63" builtinId="15" customBuiltin="1"/>
    <cellStyle name="Título 1 2" xfId="193"/>
    <cellStyle name="Título 1 3" xfId="194"/>
    <cellStyle name="Título 1 4" xfId="195"/>
    <cellStyle name="Título 2" xfId="65" builtinId="17" customBuiltin="1"/>
    <cellStyle name="Título 2 2" xfId="196"/>
    <cellStyle name="Título 2 3" xfId="197"/>
    <cellStyle name="Título 2 4" xfId="198"/>
    <cellStyle name="Título 3" xfId="66" builtinId="18" customBuiltin="1"/>
    <cellStyle name="Título 3 2" xfId="199"/>
    <cellStyle name="Título 3 3" xfId="200"/>
    <cellStyle name="Título 3 4" xfId="201"/>
    <cellStyle name="Título 4" xfId="202"/>
    <cellStyle name="Título 5" xfId="203"/>
    <cellStyle name="Título 6" xfId="204"/>
    <cellStyle name="Total" xfId="67" builtinId="25" customBuiltin="1"/>
    <cellStyle name="Total 2" xfId="205"/>
    <cellStyle name="Total 3" xfId="206"/>
    <cellStyle name="Total 4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3073" name="Text Box 1">
          <a:extLst>
            <a:ext uri="{FF2B5EF4-FFF2-40B4-BE49-F238E27FC236}">
              <a16:creationId xmlns="" xmlns:a16="http://schemas.microsoft.com/office/drawing/2014/main" id="{00000000-0008-0000-0700-0000010C0000}"/>
            </a:ext>
          </a:extLst>
        </xdr:cNvPr>
        <xdr:cNvSpPr txBox="1">
          <a:spLocks noChangeArrowheads="1"/>
        </xdr:cNvSpPr>
      </xdr:nvSpPr>
      <xdr:spPr bwMode="auto">
        <a:xfrm>
          <a:off x="5381625" y="1076325"/>
          <a:ext cx="52101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079" name="Text Box 7">
          <a:extLst>
            <a:ext uri="{FF2B5EF4-FFF2-40B4-BE49-F238E27FC236}">
              <a16:creationId xmlns="" xmlns:a16="http://schemas.microsoft.com/office/drawing/2014/main" id="{00000000-0008-0000-0700-0000070C0000}"/>
            </a:ext>
          </a:extLst>
        </xdr:cNvPr>
        <xdr:cNvSpPr txBox="1">
          <a:spLocks noChangeArrowheads="1"/>
        </xdr:cNvSpPr>
      </xdr:nvSpPr>
      <xdr:spPr bwMode="auto">
        <a:xfrm>
          <a:off x="5400675" y="1790700"/>
          <a:ext cx="52101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15</xdr:col>
      <xdr:colOff>23812</xdr:colOff>
      <xdr:row>1</xdr:row>
      <xdr:rowOff>297655</xdr:rowOff>
    </xdr:from>
    <xdr:to>
      <xdr:col>16</xdr:col>
      <xdr:colOff>535781</xdr:colOff>
      <xdr:row>3</xdr:row>
      <xdr:rowOff>142874</xdr:rowOff>
    </xdr:to>
    <xdr:sp macro="" textlink="">
      <xdr:nvSpPr>
        <xdr:cNvPr id="2" name="1 Llamada con línea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15478125" y="523874"/>
          <a:ext cx="1273969" cy="690563"/>
        </a:xfrm>
        <a:prstGeom prst="borderCallout1">
          <a:avLst>
            <a:gd name="adj1" fmla="val 18750"/>
            <a:gd name="adj2" fmla="val -8333"/>
            <a:gd name="adj3" fmla="val 248707"/>
            <a:gd name="adj4" fmla="val -3833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PA" sz="1400" b="1">
              <a:solidFill>
                <a:srgbClr val="FF0000"/>
              </a:solidFill>
            </a:rPr>
            <a:t>se consideran (6) meses ( enero a junio /2018</a:t>
          </a:r>
        </a:p>
        <a:p>
          <a:pPr algn="l"/>
          <a:endParaRPr lang="es-PA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23811</xdr:colOff>
      <xdr:row>1</xdr:row>
      <xdr:rowOff>488156</xdr:rowOff>
    </xdr:from>
    <xdr:to>
      <xdr:col>13</xdr:col>
      <xdr:colOff>750092</xdr:colOff>
      <xdr:row>5</xdr:row>
      <xdr:rowOff>261937</xdr:rowOff>
    </xdr:to>
    <xdr:sp macro="" textlink="">
      <xdr:nvSpPr>
        <xdr:cNvPr id="3" name="2 Llamada con línea 1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13192124" y="714375"/>
          <a:ext cx="1488281" cy="1309687"/>
        </a:xfrm>
        <a:prstGeom prst="borderCallout1">
          <a:avLst>
            <a:gd name="adj1" fmla="val 18750"/>
            <a:gd name="adj2" fmla="val -8333"/>
            <a:gd name="adj3" fmla="val 176136"/>
            <a:gd name="adj4" fmla="val -3136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PA" sz="1100" b="1">
              <a:solidFill>
                <a:srgbClr val="FF0000"/>
              </a:solidFill>
            </a:rPr>
            <a:t> se aplica el FA</a:t>
          </a:r>
          <a:r>
            <a:rPr lang="es-PA" sz="1100" b="1" baseline="0">
              <a:solidFill>
                <a:srgbClr val="FF0000"/>
              </a:solidFill>
            </a:rPr>
            <a:t> calcullado que permita recuperar los ingresos de enero a junio /2014, calculado con los cargos nuevos</a:t>
          </a:r>
        </a:p>
        <a:p>
          <a:pPr algn="l"/>
          <a:endParaRPr lang="es-PA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3911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" name="Text Box 7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391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5" name="Text Box 7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3911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" name="Text Box 7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391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5" name="Text Box 7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3911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" name="Text Box 7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391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5" name="Text Box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9" name="Text Box 7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rez/Desktop/Escritorio%202017/Pliego%20de%20Cargos%202017%20%202021/IMP2017_2021_21dic2017-consulta_publica%20desbloque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jandro\Revicoes%20tarif&#225;rias\PA\M0755-03Panam&#225;Transmisi&#243;n2003\Informes\Fase%20IVIMP\Modelo%20Tarifas%20Transmisi&#243;n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rez/AppData/Local/Microsoft/Windows/Temporary%20Internet%20Files/Content.Outlook/VDYPYMZJ/Unlocked_imp_etesa2017_2021_21dic2017-consulta_public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Documents%20and%20Settings\mrivera\Mis%20documentos\TARIFAS%20DE%20TRANSMISION\R&#233;gimen%202005-2009\IMP\IMP%202005-09%20(FINAL%20post%20consulta%20p&#250;blica)+M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Documents%20and%20Settings\Mrivera\Configuraci&#243;n%20local\Archivos%20temporales%20de%20Internet\OLK10\Cargos%20por%20Conexi&#243;n%20-%20versi&#243;n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Existente"/>
      <sheetName val="IMPA Indicativo"/>
      <sheetName val="Activos Reconocidos"/>
      <sheetName val="Tasa de Depreciación"/>
      <sheetName val="Base de Capital"/>
      <sheetName val="Anexo Activos_Depreciaciones"/>
      <sheetName val="Plan de Expansión"/>
      <sheetName val="Tercera Línea"/>
      <sheetName val="VNR"/>
      <sheetName val="CND_HID"/>
      <sheetName val="GEN_OBL"/>
      <sheetName val="Bienes e Instalaciones 31_12_16"/>
      <sheetName val="Conso Altas 2013_2016"/>
      <sheetName val="IMP RevTar_2013_2017"/>
      <sheetName val="Cuadro Informe"/>
    </sheetNames>
    <sheetDataSet>
      <sheetData sheetId="0">
        <row r="133">
          <cell r="E133">
            <v>4072.7023847139099</v>
          </cell>
        </row>
      </sheetData>
      <sheetData sheetId="1">
        <row r="13">
          <cell r="D13">
            <v>7.7600000000000002E-2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2">
        <row r="264">
          <cell r="C264">
            <v>702522925.19525671</v>
          </cell>
        </row>
      </sheetData>
      <sheetData sheetId="3"/>
      <sheetData sheetId="4"/>
      <sheetData sheetId="5"/>
      <sheetData sheetId="6">
        <row r="10">
          <cell r="C10">
            <v>25433</v>
          </cell>
          <cell r="D10">
            <v>14605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T"/>
      <sheetName val="IPSPT"/>
      <sheetName val="IPCT"/>
      <sheetName val="ACTIVOS"/>
      <sheetName val="VNR"/>
      <sheetName val="ADMT%-OMT%"/>
      <sheetName val="RRT"/>
      <sheetName val="CND"/>
      <sheetName val="Hidromet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4">
          <cell r="D14">
            <v>7.85E-2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Existente"/>
      <sheetName val="IMPA Indicativo"/>
      <sheetName val="Activos Reconocidos"/>
      <sheetName val="Tasa de Depreciación"/>
      <sheetName val="Base de Capital"/>
      <sheetName val="Plan de Expansión"/>
      <sheetName val="Tercera Línea"/>
      <sheetName val="VNR"/>
      <sheetName val="CND_HID"/>
      <sheetName val="GEN_OBL"/>
      <sheetName val="Anexo Activos_Depreciaciones"/>
      <sheetName val="Bienes e Instalaciones 31_12_16"/>
      <sheetName val="Conso Altas 2013_2016"/>
      <sheetName val="IMP RevTar_2013_2017"/>
      <sheetName val="Cuadro Informe"/>
    </sheetNames>
    <sheetDataSet>
      <sheetData sheetId="0"/>
      <sheetData sheetId="1">
        <row r="26">
          <cell r="D26">
            <v>0</v>
          </cell>
        </row>
      </sheetData>
      <sheetData sheetId="2">
        <row r="62">
          <cell r="C62">
            <v>204259966.1240339</v>
          </cell>
        </row>
      </sheetData>
      <sheetData sheetId="3"/>
      <sheetData sheetId="4"/>
      <sheetData sheetId="5"/>
      <sheetData sheetId="6"/>
      <sheetData sheetId="7">
        <row r="30">
          <cell r="F30">
            <v>327250502.4926365</v>
          </cell>
        </row>
        <row r="36">
          <cell r="F36">
            <v>36672308.815588608</v>
          </cell>
        </row>
        <row r="46">
          <cell r="G46">
            <v>65601620.907903925</v>
          </cell>
        </row>
        <row r="62">
          <cell r="Q62">
            <v>375272422.70262027</v>
          </cell>
        </row>
      </sheetData>
      <sheetData sheetId="8">
        <row r="12">
          <cell r="D12">
            <v>2017</v>
          </cell>
        </row>
      </sheetData>
      <sheetData sheetId="9">
        <row r="7">
          <cell r="E7">
            <v>2017</v>
          </cell>
        </row>
      </sheetData>
      <sheetData sheetId="10"/>
      <sheetData sheetId="11"/>
      <sheetData sheetId="12"/>
      <sheetData sheetId="13">
        <row r="53">
          <cell r="D53">
            <v>205159.74981340076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ones no implementadas"/>
      <sheetName val="IPCTvnr"/>
      <sheetName val="IPCT"/>
      <sheetName val="FA"/>
      <sheetName val="VNR2004"/>
      <sheetName val="Parámetros de eficiencia"/>
      <sheetName val="CX cxj  &quot;q´se incorporan&quot;"/>
      <sheetName val="Cargos - Años tarifarios"/>
      <sheetName val="CX cxj &quot;consideradas&quot;"/>
      <sheetName val="Ingresos Año1"/>
      <sheetName val="Ingresos Año2"/>
      <sheetName val="Ingresos Año3"/>
      <sheetName val="Ingresos Año4"/>
      <sheetName val="Ingresos Año5"/>
      <sheetName val="Ingresos Periodo"/>
      <sheetName val="CxC x Ag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 xml:space="preserve"> Salidas de Conexión</v>
          </cell>
        </row>
        <row r="8">
          <cell r="B8" t="str">
            <v>Miles B/./Salida</v>
          </cell>
        </row>
        <row r="9">
          <cell r="B9" t="str">
            <v>Miles B/./Salida</v>
          </cell>
        </row>
        <row r="10">
          <cell r="B10" t="str">
            <v>Miles B/./Salida</v>
          </cell>
        </row>
        <row r="11">
          <cell r="B11" t="str">
            <v>Miles B/./Salida</v>
          </cell>
        </row>
        <row r="13">
          <cell r="B13" t="str">
            <v>Miles B/./Salida</v>
          </cell>
        </row>
        <row r="21">
          <cell r="B21" t="str">
            <v>Miles B/./km</v>
          </cell>
        </row>
        <row r="22">
          <cell r="B22" t="str">
            <v>Miles B/./km</v>
          </cell>
        </row>
        <row r="23">
          <cell r="B23" t="str">
            <v>Miles B/./km</v>
          </cell>
        </row>
        <row r="24">
          <cell r="B24" t="str">
            <v>Miles B/./km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showGridLines="0" zoomScale="80" zoomScaleNormal="80" workbookViewId="0">
      <selection activeCell="I5" sqref="I5:I6"/>
    </sheetView>
  </sheetViews>
  <sheetFormatPr baseColWidth="10" defaultRowHeight="12.75" x14ac:dyDescent="0.2"/>
  <cols>
    <col min="1" max="1" width="5.85546875" style="31" customWidth="1"/>
    <col min="2" max="2" width="52" style="31" customWidth="1"/>
    <col min="3" max="3" width="17.5703125" style="31" customWidth="1"/>
    <col min="4" max="4" width="21.7109375" style="31" customWidth="1"/>
    <col min="5" max="5" width="17.28515625" style="31" customWidth="1"/>
    <col min="6" max="6" width="20.140625" style="31" customWidth="1"/>
    <col min="7" max="7" width="17.42578125" style="31" customWidth="1"/>
    <col min="8" max="8" width="20" style="31" customWidth="1"/>
    <col min="9" max="9" width="17" style="31" customWidth="1"/>
    <col min="10" max="10" width="19.28515625" style="31" customWidth="1"/>
    <col min="11" max="11" width="7" style="31" customWidth="1"/>
    <col min="12" max="16384" width="11.42578125" style="31"/>
  </cols>
  <sheetData>
    <row r="1" spans="2:10" ht="18" x14ac:dyDescent="0.25">
      <c r="B1" s="1028" t="s">
        <v>140</v>
      </c>
      <c r="C1" s="1028"/>
      <c r="D1" s="1028"/>
      <c r="E1" s="1029"/>
      <c r="F1" s="1029"/>
      <c r="G1" s="1029"/>
      <c r="H1" s="1029"/>
      <c r="I1" s="1029"/>
      <c r="J1" s="1029"/>
    </row>
    <row r="2" spans="2:10" ht="18" x14ac:dyDescent="0.25">
      <c r="B2" s="1028" t="s">
        <v>141</v>
      </c>
      <c r="C2" s="1028"/>
      <c r="D2" s="1028"/>
      <c r="E2" s="1029"/>
      <c r="F2" s="1029"/>
      <c r="G2" s="1029"/>
      <c r="H2" s="1029"/>
      <c r="I2" s="1029"/>
      <c r="J2" s="1029"/>
    </row>
    <row r="3" spans="2:10" ht="18.75" thickBot="1" x14ac:dyDescent="0.3">
      <c r="B3" s="1028" t="s">
        <v>152</v>
      </c>
      <c r="C3" s="1028"/>
      <c r="D3" s="1028"/>
      <c r="E3" s="1029"/>
      <c r="F3" s="1029"/>
      <c r="G3" s="1029"/>
      <c r="H3" s="1029"/>
      <c r="I3" s="1029"/>
      <c r="J3" s="1029"/>
    </row>
    <row r="4" spans="2:10" ht="18.75" thickBot="1" x14ac:dyDescent="0.3">
      <c r="B4" s="322"/>
      <c r="C4" s="1024" t="s">
        <v>338</v>
      </c>
      <c r="D4" s="1027"/>
      <c r="E4" s="1024" t="s">
        <v>339</v>
      </c>
      <c r="F4" s="1025"/>
      <c r="G4" s="1026" t="s">
        <v>340</v>
      </c>
      <c r="H4" s="1027"/>
      <c r="I4" s="1024" t="s">
        <v>341</v>
      </c>
      <c r="J4" s="1025"/>
    </row>
    <row r="5" spans="2:10" ht="26.45" customHeight="1" x14ac:dyDescent="0.2">
      <c r="B5" s="1009" t="s">
        <v>24</v>
      </c>
      <c r="C5" s="1011" t="s">
        <v>77</v>
      </c>
      <c r="D5" s="1016" t="s">
        <v>130</v>
      </c>
      <c r="E5" s="1009" t="s">
        <v>77</v>
      </c>
      <c r="F5" s="1016" t="s">
        <v>130</v>
      </c>
      <c r="G5" s="1019" t="s">
        <v>77</v>
      </c>
      <c r="H5" s="1021" t="s">
        <v>130</v>
      </c>
      <c r="I5" s="1009" t="s">
        <v>77</v>
      </c>
      <c r="J5" s="1016" t="s">
        <v>130</v>
      </c>
    </row>
    <row r="6" spans="2:10" x14ac:dyDescent="0.2">
      <c r="B6" s="1010"/>
      <c r="C6" s="1012"/>
      <c r="D6" s="1017"/>
      <c r="E6" s="1010"/>
      <c r="F6" s="1017"/>
      <c r="G6" s="1020"/>
      <c r="H6" s="1022"/>
      <c r="I6" s="1010"/>
      <c r="J6" s="1017"/>
    </row>
    <row r="7" spans="2:10" ht="15.75" x14ac:dyDescent="0.25">
      <c r="B7" s="217" t="s">
        <v>3</v>
      </c>
      <c r="C7" s="1007" t="s">
        <v>119</v>
      </c>
      <c r="D7" s="1008"/>
      <c r="E7" s="1018" t="s">
        <v>119</v>
      </c>
      <c r="F7" s="1008"/>
      <c r="G7" s="1023" t="s">
        <v>119</v>
      </c>
      <c r="H7" s="1023"/>
      <c r="I7" s="1018" t="s">
        <v>119</v>
      </c>
      <c r="J7" s="1008"/>
    </row>
    <row r="8" spans="2:10" ht="15" x14ac:dyDescent="0.2">
      <c r="B8" s="218" t="s">
        <v>86</v>
      </c>
      <c r="C8" s="215">
        <f>+'CX cxj Año1 '!K12</f>
        <v>175.35815110067529</v>
      </c>
      <c r="D8" s="219">
        <f>+'CX cxj Año1 '!M12</f>
        <v>92.94</v>
      </c>
      <c r="E8" s="325">
        <f>'CX cxj Año2'!K12</f>
        <v>175.35815110067529</v>
      </c>
      <c r="F8" s="219">
        <f>'CX cxj Año2'!M12</f>
        <v>92.94</v>
      </c>
      <c r="G8" s="323">
        <f>'CX cxj Año3'!K12</f>
        <v>175.35815110067529</v>
      </c>
      <c r="H8" s="216">
        <f>'CX cxj Año3'!M12</f>
        <v>92.94</v>
      </c>
      <c r="I8" s="325">
        <f>'CX cxj Año4'!K12</f>
        <v>175.35815110067529</v>
      </c>
      <c r="J8" s="219">
        <f>'CX cxj Año4'!M12</f>
        <v>92.94</v>
      </c>
    </row>
    <row r="9" spans="2:10" ht="15" x14ac:dyDescent="0.2">
      <c r="B9" s="218" t="s">
        <v>87</v>
      </c>
      <c r="C9" s="215">
        <f>+'CX cxj Año1 '!K13</f>
        <v>189.85965472563498</v>
      </c>
      <c r="D9" s="219">
        <f>+'CX cxj Año1 '!M13</f>
        <v>100.63</v>
      </c>
      <c r="E9" s="325">
        <f>'CX cxj Año2'!K13</f>
        <v>189.85965472563498</v>
      </c>
      <c r="F9" s="219">
        <f>'CX cxj Año2'!M13</f>
        <v>100.63</v>
      </c>
      <c r="G9" s="323">
        <f>'CX cxj Año3'!K13</f>
        <v>189.85965472563498</v>
      </c>
      <c r="H9" s="216">
        <f>'CX cxj Año3'!M13</f>
        <v>100.63</v>
      </c>
      <c r="I9" s="325">
        <f>'CX cxj Año4'!K13</f>
        <v>189.85965472563498</v>
      </c>
      <c r="J9" s="219">
        <f>'CX cxj Año4'!M13</f>
        <v>100.63</v>
      </c>
    </row>
    <row r="10" spans="2:10" ht="15" x14ac:dyDescent="0.2">
      <c r="B10" s="218" t="s">
        <v>88</v>
      </c>
      <c r="C10" s="215">
        <f>+'CX cxj Año1 '!K14</f>
        <v>89.574962337810661</v>
      </c>
      <c r="D10" s="219">
        <f>+'CX cxj Año1 '!M14</f>
        <v>47.47</v>
      </c>
      <c r="E10" s="325">
        <f>'CX cxj Año2'!K14</f>
        <v>89.574962337810661</v>
      </c>
      <c r="F10" s="219">
        <f>'CX cxj Año2'!M14</f>
        <v>47.47</v>
      </c>
      <c r="G10" s="323">
        <f>'CX cxj Año3'!K14</f>
        <v>89.574962337810661</v>
      </c>
      <c r="H10" s="216">
        <f>'CX cxj Año3'!M14</f>
        <v>47.47</v>
      </c>
      <c r="I10" s="325">
        <f>'CX cxj Año4'!K14</f>
        <v>89.574962337810661</v>
      </c>
      <c r="J10" s="219">
        <f>'CX cxj Año4'!M14</f>
        <v>47.47</v>
      </c>
    </row>
    <row r="11" spans="2:10" ht="15" x14ac:dyDescent="0.2">
      <c r="B11" s="218" t="s">
        <v>89</v>
      </c>
      <c r="C11" s="215">
        <f>+'CX cxj Año1 '!K15</f>
        <v>208.2039891881368</v>
      </c>
      <c r="D11" s="219">
        <f>+'CX cxj Año1 '!M15</f>
        <v>110.35</v>
      </c>
      <c r="E11" s="325">
        <f>'CX cxj Año2'!K15</f>
        <v>208.2039891881368</v>
      </c>
      <c r="F11" s="219">
        <f>'CX cxj Año2'!M15</f>
        <v>110.35</v>
      </c>
      <c r="G11" s="323">
        <f>'CX cxj Año3'!K15</f>
        <v>208.2039891881368</v>
      </c>
      <c r="H11" s="216">
        <f>'CX cxj Año3'!M15</f>
        <v>110.35</v>
      </c>
      <c r="I11" s="325">
        <f>'CX cxj Año4'!K15</f>
        <v>208.2039891881368</v>
      </c>
      <c r="J11" s="219">
        <f>'CX cxj Año4'!M15</f>
        <v>110.35</v>
      </c>
    </row>
    <row r="12" spans="2:10" ht="15" x14ac:dyDescent="0.2">
      <c r="B12" s="218" t="s">
        <v>180</v>
      </c>
      <c r="C12" s="215" t="str">
        <f>+'CX cxj Año1 '!K16</f>
        <v>N/A</v>
      </c>
      <c r="D12" s="219" t="str">
        <f>+'CX cxj Año1 '!M16</f>
        <v>N/A</v>
      </c>
      <c r="E12" s="325" t="str">
        <f>'CX cxj Año2'!K16</f>
        <v>N/A</v>
      </c>
      <c r="F12" s="219" t="str">
        <f>'CX cxj Año2'!M16</f>
        <v>N/A</v>
      </c>
      <c r="G12" s="323" t="str">
        <f>'CX cxj Año3'!K16</f>
        <v>N/A</v>
      </c>
      <c r="H12" s="216" t="str">
        <f>'CX cxj Año3'!M16</f>
        <v>N/A</v>
      </c>
      <c r="I12" s="325" t="str">
        <f>'CX cxj Año4'!K16</f>
        <v>N/A</v>
      </c>
      <c r="J12" s="219" t="str">
        <f>'CX cxj Año4'!M16</f>
        <v>N/A</v>
      </c>
    </row>
    <row r="13" spans="2:10" ht="15" x14ac:dyDescent="0.2">
      <c r="B13" s="218" t="s">
        <v>181</v>
      </c>
      <c r="C13" s="215" t="str">
        <f>+'CX cxj Año1 '!K17</f>
        <v>N/A</v>
      </c>
      <c r="D13" s="219" t="str">
        <f>+'CX cxj Año1 '!M17</f>
        <v>N/A</v>
      </c>
      <c r="E13" s="325" t="str">
        <f>'CX cxj Año2'!K17</f>
        <v>N/A</v>
      </c>
      <c r="F13" s="219" t="str">
        <f>'CX cxj Año2'!M17</f>
        <v>N/A</v>
      </c>
      <c r="G13" s="323" t="str">
        <f>'CX cxj Año3'!K17</f>
        <v>N/A</v>
      </c>
      <c r="H13" s="216" t="str">
        <f>'CX cxj Año3'!M17</f>
        <v>N/A</v>
      </c>
      <c r="I13" s="325" t="str">
        <f>'CX cxj Año4'!K17</f>
        <v>N/A</v>
      </c>
      <c r="J13" s="219" t="str">
        <f>'CX cxj Año4'!M17</f>
        <v>N/A</v>
      </c>
    </row>
    <row r="14" spans="2:10" ht="15" x14ac:dyDescent="0.2">
      <c r="B14" s="218" t="s">
        <v>90</v>
      </c>
      <c r="C14" s="215">
        <f>+'CX cxj Año1 '!K18</f>
        <v>602.30570772152805</v>
      </c>
      <c r="D14" s="219">
        <f>+'CX cxj Año1 '!M18</f>
        <v>319.22000000000003</v>
      </c>
      <c r="E14" s="325">
        <f>'CX cxj Año2'!K18</f>
        <v>602.30570772152805</v>
      </c>
      <c r="F14" s="219">
        <f>'CX cxj Año2'!M18</f>
        <v>319.22000000000003</v>
      </c>
      <c r="G14" s="323">
        <f>'CX cxj Año3'!K18</f>
        <v>602.30570772152805</v>
      </c>
      <c r="H14" s="216">
        <f>'CX cxj Año3'!M18</f>
        <v>319.22000000000003</v>
      </c>
      <c r="I14" s="325">
        <f>'CX cxj Año4'!K18</f>
        <v>602.30570772152805</v>
      </c>
      <c r="J14" s="219">
        <f>'CX cxj Año4'!M18</f>
        <v>319.22000000000003</v>
      </c>
    </row>
    <row r="15" spans="2:10" ht="15" x14ac:dyDescent="0.2">
      <c r="B15" s="218" t="s">
        <v>168</v>
      </c>
      <c r="C15" s="215">
        <f>+'CX cxj Año1 '!K19</f>
        <v>0</v>
      </c>
      <c r="D15" s="219">
        <f>+'CX cxj Año1 '!M19</f>
        <v>0</v>
      </c>
      <c r="E15" s="325">
        <f>'CX cxj Año2'!K19</f>
        <v>0</v>
      </c>
      <c r="F15" s="219">
        <f>'CX cxj Año2'!M19</f>
        <v>0</v>
      </c>
      <c r="G15" s="323">
        <f>'CX cxj Año3'!K19</f>
        <v>0</v>
      </c>
      <c r="H15" s="216">
        <f>'CX cxj Año3'!M19</f>
        <v>0</v>
      </c>
      <c r="I15" s="325">
        <f>'CX cxj Año4'!K19</f>
        <v>0</v>
      </c>
      <c r="J15" s="219">
        <f>'CX cxj Año4'!M19</f>
        <v>0</v>
      </c>
    </row>
    <row r="16" spans="2:10" ht="15.75" x14ac:dyDescent="0.25">
      <c r="B16" s="217" t="s">
        <v>4</v>
      </c>
      <c r="C16" s="1007" t="s">
        <v>178</v>
      </c>
      <c r="D16" s="1008"/>
      <c r="E16" s="1018" t="s">
        <v>178</v>
      </c>
      <c r="F16" s="1008"/>
      <c r="G16" s="1023" t="s">
        <v>178</v>
      </c>
      <c r="H16" s="1023"/>
      <c r="I16" s="1018" t="s">
        <v>178</v>
      </c>
      <c r="J16" s="1008"/>
    </row>
    <row r="17" spans="2:10" ht="15" x14ac:dyDescent="0.2">
      <c r="B17" s="220" t="s">
        <v>171</v>
      </c>
      <c r="C17" s="215">
        <f>+'CX cxj Año1 '!K21</f>
        <v>4.1373693185185187</v>
      </c>
      <c r="D17" s="219">
        <f>+'CX cxj Año1 '!M21</f>
        <v>2.19</v>
      </c>
      <c r="E17" s="325">
        <f>'CX cxj Año2'!K21</f>
        <v>4.1373693185185187</v>
      </c>
      <c r="F17" s="219">
        <f>'CX cxj Año2'!M21</f>
        <v>2.19</v>
      </c>
      <c r="G17" s="323">
        <f>'CX cxj Año3'!K21</f>
        <v>4.1373693185185187</v>
      </c>
      <c r="H17" s="216">
        <f>'CX cxj Año3'!M21</f>
        <v>2.19</v>
      </c>
      <c r="I17" s="325">
        <f>'CX cxj Año4'!K21</f>
        <v>4.1373693185185187</v>
      </c>
      <c r="J17" s="219">
        <f>'CX cxj Año4'!M21</f>
        <v>2.19</v>
      </c>
    </row>
    <row r="18" spans="2:10" ht="15" x14ac:dyDescent="0.2">
      <c r="B18" s="221" t="s">
        <v>5</v>
      </c>
      <c r="C18" s="215">
        <f>+'CX cxj Año1 '!K22</f>
        <v>5.4096354285714288</v>
      </c>
      <c r="D18" s="219">
        <f>+'CX cxj Año1 '!M22</f>
        <v>2.87</v>
      </c>
      <c r="E18" s="325">
        <f>'CX cxj Año2'!K22</f>
        <v>5.4096354285714288</v>
      </c>
      <c r="F18" s="219">
        <f>'CX cxj Año2'!M22</f>
        <v>2.87</v>
      </c>
      <c r="G18" s="323">
        <f>'CX cxj Año3'!K22</f>
        <v>5.4096354285714288</v>
      </c>
      <c r="H18" s="216">
        <f>'CX cxj Año3'!M22</f>
        <v>2.87</v>
      </c>
      <c r="I18" s="325">
        <f>'CX cxj Año4'!K22</f>
        <v>5.4096354285714288</v>
      </c>
      <c r="J18" s="219">
        <f>'CX cxj Año4'!M22</f>
        <v>2.87</v>
      </c>
    </row>
    <row r="19" spans="2:10" ht="15" x14ac:dyDescent="0.2">
      <c r="B19" s="221" t="s">
        <v>6</v>
      </c>
      <c r="C19" s="215">
        <f>+'CX cxj Año1 '!K23</f>
        <v>6.0307417185185193</v>
      </c>
      <c r="D19" s="219">
        <f>+'CX cxj Año1 '!M23</f>
        <v>3.2</v>
      </c>
      <c r="E19" s="325">
        <f>'CX cxj Año2'!K23</f>
        <v>6.0307417185185193</v>
      </c>
      <c r="F19" s="219">
        <f>'CX cxj Año2'!M23</f>
        <v>3.2</v>
      </c>
      <c r="G19" s="323">
        <f>'CX cxj Año3'!K23</f>
        <v>6.0307417185185193</v>
      </c>
      <c r="H19" s="216">
        <f>'CX cxj Año3'!M23</f>
        <v>3.2</v>
      </c>
      <c r="I19" s="325">
        <f>'CX cxj Año4'!K23</f>
        <v>6.0307417185185193</v>
      </c>
      <c r="J19" s="219">
        <f>'CX cxj Año4'!M23</f>
        <v>3.2</v>
      </c>
    </row>
    <row r="20" spans="2:10" ht="15" x14ac:dyDescent="0.2">
      <c r="B20" s="221" t="s">
        <v>7</v>
      </c>
      <c r="C20" s="215">
        <f>+'CX cxj Año1 '!K24</f>
        <v>4.7334310000000004</v>
      </c>
      <c r="D20" s="219">
        <f>+'CX cxj Año1 '!M24</f>
        <v>2.5099999999999998</v>
      </c>
      <c r="E20" s="325">
        <f>'CX cxj Año2'!K24</f>
        <v>4.7334310000000004</v>
      </c>
      <c r="F20" s="219">
        <f>'CX cxj Año2'!M24</f>
        <v>2.5099999999999998</v>
      </c>
      <c r="G20" s="323">
        <f>'CX cxj Año3'!K24</f>
        <v>4.7334310000000004</v>
      </c>
      <c r="H20" s="216">
        <f>'CX cxj Año3'!M24</f>
        <v>2.5099999999999998</v>
      </c>
      <c r="I20" s="325">
        <f>'CX cxj Año4'!K24</f>
        <v>4.7334310000000004</v>
      </c>
      <c r="J20" s="219">
        <f>'CX cxj Año4'!M24</f>
        <v>2.5099999999999998</v>
      </c>
    </row>
    <row r="21" spans="2:10" ht="15.75" x14ac:dyDescent="0.25">
      <c r="B21" s="222" t="s">
        <v>8</v>
      </c>
      <c r="C21" s="1007" t="s">
        <v>179</v>
      </c>
      <c r="D21" s="1008"/>
      <c r="E21" s="1018" t="s">
        <v>179</v>
      </c>
      <c r="F21" s="1008"/>
      <c r="G21" s="1023" t="s">
        <v>179</v>
      </c>
      <c r="H21" s="1023"/>
      <c r="I21" s="1018" t="s">
        <v>179</v>
      </c>
      <c r="J21" s="1008"/>
    </row>
    <row r="22" spans="2:10" ht="15" x14ac:dyDescent="0.2">
      <c r="B22" s="223" t="s">
        <v>135</v>
      </c>
      <c r="C22" s="215">
        <f>+'CX cxj Año1 '!K26</f>
        <v>23.783009919133391</v>
      </c>
      <c r="D22" s="224">
        <f>+'CX cxj Año1 '!M26</f>
        <v>12.6</v>
      </c>
      <c r="E22" s="325">
        <f>'CX cxj Año2'!K26</f>
        <v>23.783009919133391</v>
      </c>
      <c r="F22" s="219">
        <f>'CX cxj Año2'!M26</f>
        <v>12.6</v>
      </c>
      <c r="G22" s="323">
        <f>'CX cxj Año3'!K26</f>
        <v>23.783009919133391</v>
      </c>
      <c r="H22" s="216">
        <f>'CX cxj Año3'!M26</f>
        <v>12.6</v>
      </c>
      <c r="I22" s="325">
        <f>'CX cxj Año4'!K26</f>
        <v>23.783009919133391</v>
      </c>
      <c r="J22" s="219">
        <f>'CX cxj Año4'!M26</f>
        <v>12.6</v>
      </c>
    </row>
    <row r="23" spans="2:10" ht="15.75" x14ac:dyDescent="0.25">
      <c r="B23" s="223" t="s">
        <v>139</v>
      </c>
      <c r="C23" s="215">
        <f>+'CX cxj Año1 '!K27</f>
        <v>0</v>
      </c>
      <c r="D23" s="225" t="str">
        <f>+'CX cxj Año1 '!M27</f>
        <v>N/A</v>
      </c>
      <c r="E23" s="325" t="str">
        <f>+'CX cxj Año1 '!M27</f>
        <v>N/A</v>
      </c>
      <c r="F23" s="225">
        <f>+'CX cxj Año1 '!Q27</f>
        <v>0</v>
      </c>
      <c r="G23" s="323">
        <f>+'CX cxj Año1 '!Q27</f>
        <v>0</v>
      </c>
      <c r="H23" s="327">
        <f>+'CX cxj Año1 '!S27</f>
        <v>0</v>
      </c>
      <c r="I23" s="325">
        <f>+'CX cxj Año1 '!S27</f>
        <v>0</v>
      </c>
      <c r="J23" s="225">
        <f>+'CX cxj Año1 '!U27</f>
        <v>0</v>
      </c>
    </row>
    <row r="24" spans="2:10" ht="15.75" x14ac:dyDescent="0.25">
      <c r="B24" s="223" t="s">
        <v>93</v>
      </c>
      <c r="C24" s="215">
        <f>+'CX cxj Año1 '!K28</f>
        <v>0</v>
      </c>
      <c r="D24" s="225" t="str">
        <f>+'CX cxj Año1 '!M28</f>
        <v>N/A</v>
      </c>
      <c r="E24" s="325" t="str">
        <f>+'CX cxj Año1 '!M28</f>
        <v>N/A</v>
      </c>
      <c r="F24" s="225">
        <f>+'CX cxj Año1 '!Q28</f>
        <v>0</v>
      </c>
      <c r="G24" s="323">
        <f>+'CX cxj Año1 '!Q28</f>
        <v>0</v>
      </c>
      <c r="H24" s="327">
        <f>+'CX cxj Año1 '!S28</f>
        <v>0</v>
      </c>
      <c r="I24" s="325">
        <f>+'CX cxj Año1 '!S28</f>
        <v>0</v>
      </c>
      <c r="J24" s="225">
        <f>+'CX cxj Año1 '!U28</f>
        <v>0</v>
      </c>
    </row>
    <row r="25" spans="2:10" ht="15.75" x14ac:dyDescent="0.25">
      <c r="B25" s="223" t="s">
        <v>134</v>
      </c>
      <c r="C25" s="215">
        <f>+'CX cxj Año1 '!K29</f>
        <v>0</v>
      </c>
      <c r="D25" s="225" t="str">
        <f>+'CX cxj Año1 '!M31</f>
        <v>N/A</v>
      </c>
      <c r="E25" s="325" t="str">
        <f>+'CX cxj Año1 '!M29</f>
        <v>N/A</v>
      </c>
      <c r="F25" s="225">
        <f>+'CX cxj Año1 '!Q31</f>
        <v>0</v>
      </c>
      <c r="G25" s="323">
        <f>+'CX cxj Año1 '!Q29</f>
        <v>0</v>
      </c>
      <c r="H25" s="327">
        <f>+'CX cxj Año1 '!S31</f>
        <v>0</v>
      </c>
      <c r="I25" s="325">
        <f>+'CX cxj Año1 '!S29</f>
        <v>0</v>
      </c>
      <c r="J25" s="225">
        <f>+'CX cxj Año1 '!U31</f>
        <v>0</v>
      </c>
    </row>
    <row r="26" spans="2:10" ht="15.75" x14ac:dyDescent="0.25">
      <c r="B26" s="223" t="s">
        <v>138</v>
      </c>
      <c r="C26" s="215">
        <f>+'CX cxj Año1 '!K30</f>
        <v>0</v>
      </c>
      <c r="D26" s="225" t="s">
        <v>128</v>
      </c>
      <c r="E26" s="325" t="str">
        <f>+'CX cxj Año1 '!M30</f>
        <v>N/A</v>
      </c>
      <c r="F26" s="225" t="s">
        <v>128</v>
      </c>
      <c r="G26" s="323">
        <f>+'CX cxj Año1 '!Q30</f>
        <v>0</v>
      </c>
      <c r="H26" s="327" t="s">
        <v>128</v>
      </c>
      <c r="I26" s="325">
        <f>+'CX cxj Año1 '!S30</f>
        <v>0</v>
      </c>
      <c r="J26" s="225" t="s">
        <v>128</v>
      </c>
    </row>
    <row r="27" spans="2:10" ht="15.75" x14ac:dyDescent="0.25">
      <c r="B27" s="223" t="s">
        <v>137</v>
      </c>
      <c r="C27" s="215">
        <f>+'CX cxj Año1 '!K31</f>
        <v>0</v>
      </c>
      <c r="D27" s="225" t="s">
        <v>128</v>
      </c>
      <c r="E27" s="325" t="str">
        <f>+'CX cxj Año1 '!M31</f>
        <v>N/A</v>
      </c>
      <c r="F27" s="225" t="s">
        <v>128</v>
      </c>
      <c r="G27" s="323">
        <f>+'CX cxj Año1 '!Q31</f>
        <v>0</v>
      </c>
      <c r="H27" s="327" t="s">
        <v>128</v>
      </c>
      <c r="I27" s="325">
        <f>+'CX cxj Año1 '!S31</f>
        <v>0</v>
      </c>
      <c r="J27" s="225" t="s">
        <v>128</v>
      </c>
    </row>
    <row r="28" spans="2:10" ht="16.5" thickBot="1" x14ac:dyDescent="0.3">
      <c r="B28" s="228" t="s">
        <v>169</v>
      </c>
      <c r="C28" s="229"/>
      <c r="D28" s="230" t="s">
        <v>128</v>
      </c>
      <c r="E28" s="326" t="s">
        <v>128</v>
      </c>
      <c r="F28" s="230" t="s">
        <v>128</v>
      </c>
      <c r="G28" s="324">
        <f>+'CX cxj Año4'!K32</f>
        <v>0</v>
      </c>
      <c r="H28" s="328" t="s">
        <v>128</v>
      </c>
      <c r="I28" s="326">
        <f>+'CX cxj Año1 '!S32</f>
        <v>0</v>
      </c>
      <c r="J28" s="230" t="s">
        <v>128</v>
      </c>
    </row>
    <row r="29" spans="2:10" ht="15.75" x14ac:dyDescent="0.25">
      <c r="B29" s="85"/>
      <c r="C29" s="292"/>
      <c r="D29" s="293"/>
      <c r="E29" s="292"/>
      <c r="F29" s="293"/>
      <c r="G29" s="292"/>
      <c r="H29" s="293"/>
      <c r="I29" s="292"/>
      <c r="J29" s="293"/>
    </row>
    <row r="30" spans="2:10" ht="18.75" hidden="1" customHeight="1" x14ac:dyDescent="0.2">
      <c r="B30" s="1013" t="s">
        <v>126</v>
      </c>
      <c r="C30" s="1014"/>
      <c r="D30" s="1015"/>
      <c r="E30" s="136"/>
      <c r="F30" s="136"/>
      <c r="G30" s="135"/>
      <c r="H30" s="135"/>
      <c r="I30" s="135"/>
    </row>
    <row r="31" spans="2:10" ht="30.75" hidden="1" x14ac:dyDescent="0.25">
      <c r="B31" s="226" t="s">
        <v>127</v>
      </c>
      <c r="C31" s="1007" t="s">
        <v>119</v>
      </c>
      <c r="D31" s="1008"/>
      <c r="E31" s="137"/>
      <c r="F31" s="136"/>
      <c r="G31" s="135"/>
      <c r="H31" s="135"/>
      <c r="I31" s="135"/>
    </row>
    <row r="32" spans="2:10" ht="15.75" hidden="1" x14ac:dyDescent="0.25">
      <c r="B32" s="223" t="s">
        <v>120</v>
      </c>
      <c r="C32" s="215" t="e">
        <f>+#REF!</f>
        <v>#REF!</v>
      </c>
      <c r="D32" s="227" t="s">
        <v>128</v>
      </c>
      <c r="E32" s="137"/>
      <c r="F32" s="454" t="s">
        <v>347</v>
      </c>
      <c r="G32" s="135"/>
      <c r="H32" s="135"/>
      <c r="I32" s="135"/>
    </row>
    <row r="33" spans="2:9" ht="15.75" hidden="1" x14ac:dyDescent="0.25">
      <c r="B33" s="223" t="s">
        <v>121</v>
      </c>
      <c r="C33" s="215" t="e">
        <f>+#REF!</f>
        <v>#REF!</v>
      </c>
      <c r="D33" s="225" t="s">
        <v>128</v>
      </c>
      <c r="E33" s="137"/>
      <c r="F33" s="136"/>
      <c r="G33" s="135"/>
      <c r="H33" s="135"/>
      <c r="I33" s="135"/>
    </row>
    <row r="34" spans="2:9" ht="15.75" hidden="1" x14ac:dyDescent="0.25">
      <c r="B34" s="223" t="s">
        <v>122</v>
      </c>
      <c r="C34" s="215" t="e">
        <f>+#REF!</f>
        <v>#REF!</v>
      </c>
      <c r="D34" s="225" t="s">
        <v>128</v>
      </c>
      <c r="E34" s="137"/>
      <c r="F34" s="136"/>
      <c r="G34" s="135"/>
      <c r="H34" s="135"/>
      <c r="I34" s="135"/>
    </row>
    <row r="35" spans="2:9" ht="15.75" hidden="1" x14ac:dyDescent="0.25">
      <c r="B35" s="223" t="s">
        <v>123</v>
      </c>
      <c r="C35" s="215" t="e">
        <f>+#REF!</f>
        <v>#REF!</v>
      </c>
      <c r="D35" s="225" t="s">
        <v>128</v>
      </c>
      <c r="E35" s="137"/>
      <c r="F35" s="136"/>
      <c r="G35" s="135"/>
      <c r="H35" s="135"/>
      <c r="I35" s="135"/>
    </row>
    <row r="36" spans="2:9" ht="15.75" hidden="1" x14ac:dyDescent="0.25">
      <c r="B36" s="223" t="s">
        <v>124</v>
      </c>
      <c r="C36" s="215" t="e">
        <f>+#REF!</f>
        <v>#REF!</v>
      </c>
      <c r="D36" s="225" t="s">
        <v>128</v>
      </c>
      <c r="E36" s="137"/>
      <c r="F36" s="136"/>
      <c r="G36" s="135"/>
      <c r="H36" s="135"/>
      <c r="I36" s="135"/>
    </row>
    <row r="37" spans="2:9" ht="16.5" hidden="1" thickBot="1" x14ac:dyDescent="0.3">
      <c r="B37" s="228" t="s">
        <v>125</v>
      </c>
      <c r="C37" s="229" t="e">
        <f>+#REF!</f>
        <v>#REF!</v>
      </c>
      <c r="D37" s="230" t="s">
        <v>128</v>
      </c>
      <c r="E37" s="137"/>
      <c r="F37" s="136"/>
      <c r="G37" s="135"/>
      <c r="H37" s="135"/>
      <c r="I37" s="135"/>
    </row>
    <row r="38" spans="2:9" ht="15.75" hidden="1" x14ac:dyDescent="0.25">
      <c r="B38" s="85"/>
      <c r="C38" s="292"/>
      <c r="D38" s="293"/>
      <c r="E38" s="137"/>
      <c r="F38" s="136"/>
      <c r="G38" s="135"/>
      <c r="H38" s="135"/>
      <c r="I38" s="135"/>
    </row>
    <row r="39" spans="2:9" ht="15" hidden="1" x14ac:dyDescent="0.2">
      <c r="B39" s="85" t="s">
        <v>143</v>
      </c>
      <c r="C39" s="137"/>
      <c r="D39" s="137"/>
      <c r="E39" s="137"/>
      <c r="F39" s="136"/>
      <c r="G39" s="135"/>
      <c r="H39" s="135"/>
      <c r="I39" s="135"/>
    </row>
    <row r="40" spans="2:9" ht="15" hidden="1" x14ac:dyDescent="0.2">
      <c r="B40" s="85" t="s">
        <v>142</v>
      </c>
      <c r="C40" s="137"/>
      <c r="D40" s="137"/>
      <c r="E40" s="137"/>
      <c r="F40" s="136"/>
      <c r="G40" s="135"/>
      <c r="H40" s="135"/>
      <c r="I40" s="135"/>
    </row>
    <row r="41" spans="2:9" ht="15" hidden="1" x14ac:dyDescent="0.2">
      <c r="B41" s="85" t="s">
        <v>162</v>
      </c>
      <c r="C41" s="137"/>
      <c r="D41" s="137"/>
      <c r="E41" s="137"/>
      <c r="F41" s="136"/>
      <c r="G41" s="135"/>
      <c r="H41" s="135" t="s">
        <v>11</v>
      </c>
      <c r="I41" s="135"/>
    </row>
    <row r="42" spans="2:9" ht="15" hidden="1" x14ac:dyDescent="0.2">
      <c r="B42" s="85" t="s">
        <v>164</v>
      </c>
      <c r="C42" s="137"/>
      <c r="D42" s="137"/>
      <c r="E42" s="137"/>
      <c r="F42" s="136"/>
      <c r="G42" s="135"/>
      <c r="H42" s="135"/>
      <c r="I42" s="135"/>
    </row>
    <row r="43" spans="2:9" ht="15" hidden="1" x14ac:dyDescent="0.2">
      <c r="B43" s="85" t="s">
        <v>165</v>
      </c>
      <c r="C43" s="137"/>
      <c r="D43" s="137"/>
      <c r="E43" s="137"/>
      <c r="F43" s="136"/>
      <c r="G43" s="135"/>
      <c r="H43" s="135"/>
      <c r="I43" s="135"/>
    </row>
    <row r="44" spans="2:9" ht="15" x14ac:dyDescent="0.2">
      <c r="B44" s="85"/>
      <c r="C44" s="137"/>
      <c r="D44" s="137"/>
      <c r="E44" s="137"/>
      <c r="F44" s="136"/>
      <c r="G44" s="135"/>
      <c r="H44" s="135"/>
      <c r="I44" s="135"/>
    </row>
    <row r="45" spans="2:9" ht="15" x14ac:dyDescent="0.2">
      <c r="B45" s="85" t="s">
        <v>170</v>
      </c>
      <c r="C45" s="137"/>
      <c r="D45" s="137"/>
      <c r="E45" s="137"/>
      <c r="F45" s="136"/>
      <c r="G45" s="135"/>
      <c r="H45" s="135"/>
      <c r="I45" s="135"/>
    </row>
    <row r="46" spans="2:9" ht="15" x14ac:dyDescent="0.2">
      <c r="B46" s="85" t="s">
        <v>163</v>
      </c>
      <c r="C46" s="137"/>
      <c r="D46" s="137"/>
      <c r="E46" s="137"/>
      <c r="F46" s="136"/>
      <c r="G46" s="135"/>
      <c r="H46" s="135"/>
      <c r="I46" s="135"/>
    </row>
    <row r="47" spans="2:9" ht="15" x14ac:dyDescent="0.2">
      <c r="B47" s="85"/>
      <c r="C47" s="137"/>
      <c r="D47" s="137"/>
      <c r="E47" s="137"/>
      <c r="F47" s="136"/>
      <c r="G47" s="135"/>
      <c r="H47" s="135"/>
      <c r="I47" s="135"/>
    </row>
    <row r="48" spans="2:9" ht="15" x14ac:dyDescent="0.2">
      <c r="C48" s="85"/>
      <c r="D48" s="85"/>
      <c r="E48" s="85"/>
      <c r="F48" s="20"/>
    </row>
    <row r="49" spans="2:6" ht="15" x14ac:dyDescent="0.2">
      <c r="B49" s="85"/>
      <c r="C49" s="85"/>
      <c r="D49" s="85"/>
      <c r="E49" s="85"/>
      <c r="F49" s="20"/>
    </row>
    <row r="50" spans="2:6" ht="15" x14ac:dyDescent="0.2">
      <c r="B50" s="85"/>
      <c r="C50" s="85"/>
      <c r="D50" s="85"/>
      <c r="E50" s="85"/>
      <c r="F50" s="20"/>
    </row>
    <row r="51" spans="2:6" ht="15" x14ac:dyDescent="0.2">
      <c r="B51" s="85"/>
      <c r="C51" s="85"/>
      <c r="D51" s="85"/>
      <c r="E51" s="85"/>
      <c r="F51" s="20"/>
    </row>
    <row r="52" spans="2:6" ht="15" x14ac:dyDescent="0.2">
      <c r="B52" s="85"/>
      <c r="C52" s="85"/>
      <c r="D52" s="85"/>
      <c r="E52" s="85"/>
      <c r="F52" s="20"/>
    </row>
    <row r="53" spans="2:6" ht="15" x14ac:dyDescent="0.2">
      <c r="B53" s="85"/>
      <c r="C53" s="85"/>
      <c r="D53" s="85"/>
      <c r="E53" s="85"/>
      <c r="F53" s="20"/>
    </row>
    <row r="54" spans="2:6" x14ac:dyDescent="0.2">
      <c r="C54" s="20"/>
      <c r="D54" s="20"/>
      <c r="E54" s="20"/>
      <c r="F54" s="20"/>
    </row>
    <row r="55" spans="2:6" x14ac:dyDescent="0.2">
      <c r="E55" s="20"/>
      <c r="F55" s="20"/>
    </row>
  </sheetData>
  <sheetProtection algorithmName="SHA-512" hashValue="56VVvdKEkdkF3lXxFDQ8syx4RrVJjx5BNAfRUMWTTARY8alnu68SKVBbhKDH8ECcI6ihKx3xyaY3whPTLQhwQg==" saltValue="Mg9dq4Y4+Q9Tl3bkPDzrDg==" spinCount="100000" sheet="1" objects="1" scenarios="1"/>
  <mergeCells count="30">
    <mergeCell ref="E4:F4"/>
    <mergeCell ref="G4:H4"/>
    <mergeCell ref="I4:J4"/>
    <mergeCell ref="B1:J1"/>
    <mergeCell ref="B2:J2"/>
    <mergeCell ref="B3:J3"/>
    <mergeCell ref="C4:D4"/>
    <mergeCell ref="I5:I6"/>
    <mergeCell ref="J5:J6"/>
    <mergeCell ref="I7:J7"/>
    <mergeCell ref="I16:J16"/>
    <mergeCell ref="I21:J21"/>
    <mergeCell ref="G5:G6"/>
    <mergeCell ref="H5:H6"/>
    <mergeCell ref="G7:H7"/>
    <mergeCell ref="G16:H16"/>
    <mergeCell ref="G21:H21"/>
    <mergeCell ref="E5:E6"/>
    <mergeCell ref="F5:F6"/>
    <mergeCell ref="E7:F7"/>
    <mergeCell ref="E16:F16"/>
    <mergeCell ref="E21:F21"/>
    <mergeCell ref="C31:D31"/>
    <mergeCell ref="C7:D7"/>
    <mergeCell ref="C16:D16"/>
    <mergeCell ref="C21:D21"/>
    <mergeCell ref="B5:B6"/>
    <mergeCell ref="C5:C6"/>
    <mergeCell ref="B30:D30"/>
    <mergeCell ref="D5:D6"/>
  </mergeCells>
  <phoneticPr fontId="0" type="noConversion"/>
  <printOptions horizontalCentered="1" verticalCentered="1"/>
  <pageMargins left="0.62992125984251968" right="0.62992125984251968" top="0.98425196850393704" bottom="1.3779527559055118" header="0" footer="1.0629921259842521"/>
  <pageSetup scale="75" orientation="portrait" r:id="rId1"/>
  <headerFooter alignWithMargins="0">
    <oddHeader>&amp;F</oddHeader>
    <oddFooter>&amp;L&amp;8HOJA: 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80" zoomScaleNormal="80" workbookViewId="0">
      <selection activeCell="Q38" sqref="Q38"/>
    </sheetView>
  </sheetViews>
  <sheetFormatPr baseColWidth="10" defaultRowHeight="12.75" x14ac:dyDescent="0.2"/>
  <cols>
    <col min="1" max="1" width="38.42578125" style="31" customWidth="1"/>
    <col min="2" max="2" width="17.85546875" style="31" customWidth="1"/>
    <col min="3" max="3" width="14.42578125" style="31" customWidth="1"/>
    <col min="4" max="4" width="13.42578125" style="31" customWidth="1"/>
    <col min="5" max="5" width="11.85546875" style="31" customWidth="1"/>
    <col min="6" max="6" width="11.42578125" style="31"/>
    <col min="7" max="7" width="12.85546875" style="31" customWidth="1"/>
    <col min="8" max="8" width="11.28515625" style="31" customWidth="1"/>
    <col min="9" max="9" width="17.5703125" style="31" customWidth="1"/>
    <col min="10" max="10" width="11.85546875" style="31" customWidth="1"/>
    <col min="11" max="11" width="23.28515625" style="31" customWidth="1"/>
    <col min="12" max="16384" width="11.42578125" style="31"/>
  </cols>
  <sheetData>
    <row r="1" spans="1:17" ht="18" x14ac:dyDescent="0.25">
      <c r="A1" s="1028" t="s">
        <v>13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7" ht="39.6" customHeight="1" thickBot="1" x14ac:dyDescent="0.25">
      <c r="A2" s="1084" t="s">
        <v>23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</row>
    <row r="3" spans="1:17" ht="27.6" customHeight="1" x14ac:dyDescent="0.2">
      <c r="A3" s="1085" t="s">
        <v>25</v>
      </c>
      <c r="B3" s="1086"/>
      <c r="C3" s="1086"/>
      <c r="D3" s="1086"/>
      <c r="E3" s="1093" t="s">
        <v>78</v>
      </c>
      <c r="F3" s="1094"/>
      <c r="G3" s="1094"/>
      <c r="H3" s="1094"/>
      <c r="I3" s="1094"/>
      <c r="J3" s="1094"/>
      <c r="K3" s="1095"/>
    </row>
    <row r="4" spans="1:17" ht="27.6" customHeight="1" thickBot="1" x14ac:dyDescent="0.25">
      <c r="A4" s="1087"/>
      <c r="B4" s="1088"/>
      <c r="C4" s="1088"/>
      <c r="D4" s="1088"/>
      <c r="E4" s="24"/>
      <c r="F4" s="20"/>
      <c r="G4" s="20"/>
      <c r="H4" s="20"/>
      <c r="I4" s="20"/>
      <c r="J4" s="20"/>
      <c r="K4" s="30"/>
    </row>
    <row r="5" spans="1:17" ht="27.6" customHeight="1" x14ac:dyDescent="0.2">
      <c r="A5" s="1087"/>
      <c r="B5" s="1088"/>
      <c r="C5" s="1088"/>
      <c r="D5" s="1088"/>
      <c r="E5" s="1093" t="s">
        <v>79</v>
      </c>
      <c r="F5" s="1094"/>
      <c r="G5" s="1094"/>
      <c r="H5" s="1094"/>
      <c r="I5" s="1094"/>
      <c r="J5" s="1094"/>
      <c r="K5" s="1095"/>
    </row>
    <row r="6" spans="1:17" ht="27.6" customHeight="1" thickBot="1" x14ac:dyDescent="0.25">
      <c r="A6" s="1089"/>
      <c r="B6" s="1090"/>
      <c r="C6" s="1090"/>
      <c r="D6" s="1090"/>
      <c r="E6" s="32"/>
      <c r="F6" s="28"/>
      <c r="G6" s="28"/>
      <c r="H6" s="28"/>
      <c r="I6" s="28"/>
      <c r="J6" s="28"/>
      <c r="K6" s="29"/>
    </row>
    <row r="7" spans="1:17" ht="18" customHeight="1" thickBot="1" x14ac:dyDescent="0.25">
      <c r="A7" s="66"/>
      <c r="B7" s="66"/>
      <c r="C7" s="66"/>
      <c r="D7" s="66"/>
      <c r="E7" s="20"/>
      <c r="F7" s="20"/>
      <c r="G7" s="20"/>
      <c r="H7" s="28"/>
      <c r="I7" s="20"/>
      <c r="J7" s="20"/>
      <c r="K7" s="20"/>
    </row>
    <row r="8" spans="1:17" ht="26.45" customHeight="1" x14ac:dyDescent="0.2">
      <c r="A8" s="1083" t="s">
        <v>24</v>
      </c>
      <c r="B8" s="1083" t="s">
        <v>17</v>
      </c>
      <c r="C8" s="1078" t="s">
        <v>1</v>
      </c>
      <c r="D8" s="1078" t="s">
        <v>173</v>
      </c>
      <c r="E8" s="1091" t="s">
        <v>85</v>
      </c>
      <c r="F8" s="1092" t="s">
        <v>131</v>
      </c>
      <c r="G8" s="1092" t="s">
        <v>132</v>
      </c>
      <c r="H8" s="1092" t="s">
        <v>133</v>
      </c>
      <c r="I8" s="1092" t="s">
        <v>76</v>
      </c>
      <c r="J8" s="87"/>
      <c r="K8" s="1083" t="s">
        <v>77</v>
      </c>
      <c r="L8" s="1082" t="s">
        <v>74</v>
      </c>
      <c r="M8" s="1083" t="s">
        <v>130</v>
      </c>
      <c r="N8" s="347"/>
      <c r="O8" s="338" t="s">
        <v>191</v>
      </c>
      <c r="Q8" s="1080" t="s">
        <v>175</v>
      </c>
    </row>
    <row r="9" spans="1:17" ht="16.899999999999999" customHeight="1" x14ac:dyDescent="0.2">
      <c r="A9" s="1083"/>
      <c r="B9" s="1083"/>
      <c r="C9" s="1079"/>
      <c r="D9" s="1079"/>
      <c r="E9" s="1091"/>
      <c r="F9" s="1092"/>
      <c r="G9" s="1092"/>
      <c r="H9" s="1092"/>
      <c r="I9" s="1092"/>
      <c r="J9" s="88"/>
      <c r="K9" s="1083"/>
      <c r="L9" s="1082"/>
      <c r="M9" s="1083"/>
      <c r="N9" s="347"/>
      <c r="O9" s="338"/>
      <c r="Q9" s="1081"/>
    </row>
    <row r="10" spans="1:17" ht="18.75" customHeight="1" x14ac:dyDescent="0.25">
      <c r="A10" s="93" t="s">
        <v>15</v>
      </c>
      <c r="B10" s="91"/>
      <c r="C10" s="308"/>
      <c r="D10" s="91"/>
      <c r="E10" s="309"/>
      <c r="F10" s="144">
        <v>1.9742400000000004E-2</v>
      </c>
      <c r="G10" s="144">
        <v>7.9074074074074064E-3</v>
      </c>
      <c r="H10" s="231">
        <v>3.5000000000000003E-2</v>
      </c>
      <c r="I10" s="144">
        <v>7.7600000000000002E-2</v>
      </c>
      <c r="J10" s="145"/>
      <c r="K10" s="92"/>
      <c r="L10" s="209">
        <f>+'CX cxj Año1 '!L10</f>
        <v>0.53</v>
      </c>
      <c r="M10" s="92"/>
      <c r="N10" s="348"/>
      <c r="O10" s="339"/>
      <c r="Q10" s="311"/>
    </row>
    <row r="11" spans="1:17" x14ac:dyDescent="0.2">
      <c r="A11" s="96" t="s">
        <v>3</v>
      </c>
      <c r="B11" s="84"/>
      <c r="C11" s="89"/>
      <c r="D11" s="84"/>
      <c r="E11" s="89"/>
      <c r="F11" s="90"/>
      <c r="G11" s="69"/>
      <c r="H11" s="90"/>
      <c r="I11" s="97"/>
      <c r="J11" s="69"/>
      <c r="K11" s="106"/>
      <c r="L11" s="90"/>
      <c r="M11" s="97"/>
      <c r="N11" s="20"/>
      <c r="O11" s="20"/>
      <c r="Q11" s="312"/>
    </row>
    <row r="12" spans="1:17" x14ac:dyDescent="0.2">
      <c r="A12" s="98" t="s">
        <v>86</v>
      </c>
      <c r="B12" s="26" t="str">
        <f>+[6]VNR2004!B8</f>
        <v>Miles B/./Salida</v>
      </c>
      <c r="C12" s="71">
        <f>+'CX cxj Año1 '!C12</f>
        <v>3750.9816450146568</v>
      </c>
      <c r="D12" s="26">
        <f>+' VNR'!D5</f>
        <v>3</v>
      </c>
      <c r="E12" s="71">
        <f>+C12/D12</f>
        <v>1250.3272150048856</v>
      </c>
      <c r="F12" s="26">
        <f>$E12*$F$10</f>
        <v>24.68446000951246</v>
      </c>
      <c r="G12" s="72">
        <f>+$E12*$G$10</f>
        <v>9.8868466816127061</v>
      </c>
      <c r="H12" s="26">
        <f>$E12*$H$10</f>
        <v>43.761452525171002</v>
      </c>
      <c r="I12" s="99">
        <f>$E12*$I$10</f>
        <v>97.025391884379133</v>
      </c>
      <c r="J12" s="70"/>
      <c r="K12" s="107">
        <f>+F12+G12+H12+I12</f>
        <v>175.35815110067529</v>
      </c>
      <c r="L12" s="108"/>
      <c r="M12" s="297">
        <f>ROUND(+K12*$L$10,2)</f>
        <v>92.94</v>
      </c>
      <c r="N12" s="51"/>
      <c r="O12" s="344">
        <v>12</v>
      </c>
      <c r="P12" s="124"/>
      <c r="Q12" s="313">
        <f>+M12*D12/12*O12</f>
        <v>278.82</v>
      </c>
    </row>
    <row r="13" spans="1:17" x14ac:dyDescent="0.2">
      <c r="A13" s="98" t="s">
        <v>87</v>
      </c>
      <c r="B13" s="26" t="str">
        <f>+[6]VNR2004!B9</f>
        <v>Miles B/./Salida</v>
      </c>
      <c r="C13" s="71">
        <f>+'CX cxj Año1 '!C13</f>
        <v>17598.423534825444</v>
      </c>
      <c r="D13" s="26">
        <f>+' VNR'!D6</f>
        <v>13</v>
      </c>
      <c r="E13" s="71">
        <f t="shared" ref="E13:E15" si="0">+C13/D13</f>
        <v>1353.724887294265</v>
      </c>
      <c r="F13" s="26">
        <f t="shared" ref="F13:F26" si="1">$E13*$F$10</f>
        <v>26.725778214918304</v>
      </c>
      <c r="G13" s="72">
        <f t="shared" ref="G13:G26" si="2">+$E13*$G$10</f>
        <v>10.704454201382427</v>
      </c>
      <c r="H13" s="26">
        <f t="shared" ref="H13:H26" si="3">$E13*$H$10</f>
        <v>47.380371055299278</v>
      </c>
      <c r="I13" s="99">
        <f t="shared" ref="I13:I26" si="4">$E13*$I$10</f>
        <v>105.04905125403496</v>
      </c>
      <c r="J13" s="70"/>
      <c r="K13" s="107">
        <f t="shared" ref="K13:K19" si="5">+F13+G13+H13+I13</f>
        <v>189.85965472563498</v>
      </c>
      <c r="L13" s="108"/>
      <c r="M13" s="297">
        <f t="shared" ref="M13:M23" si="6">ROUND(+K13*$L$10,2)</f>
        <v>100.63</v>
      </c>
      <c r="N13" s="51"/>
      <c r="O13" s="344">
        <v>12</v>
      </c>
      <c r="Q13" s="313">
        <f t="shared" ref="Q13:Q15" si="7">+M13*D13/12*O13</f>
        <v>1308.19</v>
      </c>
    </row>
    <row r="14" spans="1:17" x14ac:dyDescent="0.2">
      <c r="A14" s="98" t="s">
        <v>88</v>
      </c>
      <c r="B14" s="26" t="str">
        <f>+[6]VNR2004!B10</f>
        <v>Miles B/./Salida</v>
      </c>
      <c r="C14" s="71">
        <f>+'CX cxj Año1 '!C14</f>
        <v>1916.0446062704473</v>
      </c>
      <c r="D14" s="26">
        <f>+' VNR'!D7</f>
        <v>3</v>
      </c>
      <c r="E14" s="71">
        <f t="shared" si="0"/>
        <v>638.68153542348239</v>
      </c>
      <c r="F14" s="26">
        <f t="shared" si="1"/>
        <v>12.609106344944561</v>
      </c>
      <c r="G14" s="72">
        <f t="shared" si="2"/>
        <v>5.0503151041819807</v>
      </c>
      <c r="H14" s="26">
        <f t="shared" si="3"/>
        <v>22.353853739821886</v>
      </c>
      <c r="I14" s="99">
        <f t="shared" si="4"/>
        <v>49.561687148862234</v>
      </c>
      <c r="J14" s="70"/>
      <c r="K14" s="107">
        <f t="shared" si="5"/>
        <v>89.574962337810661</v>
      </c>
      <c r="L14" s="108"/>
      <c r="M14" s="297">
        <f t="shared" si="6"/>
        <v>47.47</v>
      </c>
      <c r="N14" s="51"/>
      <c r="O14" s="344">
        <v>12</v>
      </c>
      <c r="Q14" s="313">
        <f t="shared" si="7"/>
        <v>142.41</v>
      </c>
    </row>
    <row r="15" spans="1:17" x14ac:dyDescent="0.2">
      <c r="A15" s="98" t="s">
        <v>89</v>
      </c>
      <c r="B15" s="26" t="str">
        <f>+[6]VNR2004!B11</f>
        <v>Miles B/./Salida</v>
      </c>
      <c r="C15" s="71">
        <f>+'CX cxj Año1 '!C15</f>
        <v>4453.5673817361767</v>
      </c>
      <c r="D15" s="26">
        <f>+' VNR'!D8</f>
        <v>3</v>
      </c>
      <c r="E15" s="71">
        <f t="shared" si="0"/>
        <v>1484.5224605787255</v>
      </c>
      <c r="F15" s="26">
        <f t="shared" si="1"/>
        <v>29.308036225729435</v>
      </c>
      <c r="G15" s="72">
        <f t="shared" si="2"/>
        <v>11.738723901242883</v>
      </c>
      <c r="H15" s="26">
        <f t="shared" si="3"/>
        <v>51.958286120255394</v>
      </c>
      <c r="I15" s="99">
        <f t="shared" si="4"/>
        <v>115.19894294090911</v>
      </c>
      <c r="J15" s="70"/>
      <c r="K15" s="107">
        <f t="shared" si="5"/>
        <v>208.2039891881368</v>
      </c>
      <c r="L15" s="108"/>
      <c r="M15" s="297">
        <f t="shared" si="6"/>
        <v>110.35</v>
      </c>
      <c r="N15" s="51"/>
      <c r="O15" s="344">
        <v>12</v>
      </c>
      <c r="Q15" s="313">
        <f t="shared" si="7"/>
        <v>331.04999999999995</v>
      </c>
    </row>
    <row r="16" spans="1:17" x14ac:dyDescent="0.2">
      <c r="A16" s="98" t="s">
        <v>98</v>
      </c>
      <c r="B16" s="68" t="s">
        <v>68</v>
      </c>
      <c r="C16" s="71">
        <f>+'CX cxj Año1 '!C16+' VNR'!F38/2+' VNR'!L38/2</f>
        <v>0</v>
      </c>
      <c r="D16" s="26">
        <f>+' VNR'!D9</f>
        <v>0</v>
      </c>
      <c r="E16" s="71">
        <f>+' VNR'!E9</f>
        <v>0</v>
      </c>
      <c r="F16" s="26">
        <f t="shared" si="1"/>
        <v>0</v>
      </c>
      <c r="G16" s="72">
        <f t="shared" si="2"/>
        <v>0</v>
      </c>
      <c r="H16" s="26">
        <f t="shared" si="3"/>
        <v>0</v>
      </c>
      <c r="I16" s="99">
        <f t="shared" si="4"/>
        <v>0</v>
      </c>
      <c r="J16" s="70"/>
      <c r="K16" s="298" t="s">
        <v>128</v>
      </c>
      <c r="L16" s="108"/>
      <c r="M16" s="298" t="s">
        <v>128</v>
      </c>
      <c r="N16" s="333"/>
      <c r="O16" s="345"/>
      <c r="Q16" s="313">
        <f>+' VNR'!O9</f>
        <v>0</v>
      </c>
    </row>
    <row r="17" spans="1:17" x14ac:dyDescent="0.2">
      <c r="A17" s="98" t="s">
        <v>99</v>
      </c>
      <c r="B17" s="26" t="str">
        <f>+[6]VNR2004!B13</f>
        <v>Miles B/./Salida</v>
      </c>
      <c r="C17" s="71">
        <f>+'CX cxj Año1 '!C17+' VNR'!F39/2+' VNR'!L39/2</f>
        <v>0</v>
      </c>
      <c r="D17" s="26"/>
      <c r="E17" s="71"/>
      <c r="F17" s="26">
        <f t="shared" si="1"/>
        <v>0</v>
      </c>
      <c r="G17" s="72">
        <f t="shared" si="2"/>
        <v>0</v>
      </c>
      <c r="H17" s="26">
        <f t="shared" si="3"/>
        <v>0</v>
      </c>
      <c r="I17" s="99">
        <f t="shared" si="4"/>
        <v>0</v>
      </c>
      <c r="J17" s="70"/>
      <c r="K17" s="211" t="s">
        <v>128</v>
      </c>
      <c r="L17" s="108"/>
      <c r="M17" s="298" t="s">
        <v>128</v>
      </c>
      <c r="N17" s="333"/>
      <c r="O17" s="345"/>
      <c r="Q17" s="313"/>
    </row>
    <row r="18" spans="1:17" x14ac:dyDescent="0.2">
      <c r="A18" s="119" t="s">
        <v>90</v>
      </c>
      <c r="B18" s="68" t="s">
        <v>68</v>
      </c>
      <c r="C18" s="71">
        <f>+'CX cxj Año1 '!C18</f>
        <v>21472.603736699202</v>
      </c>
      <c r="D18" s="26">
        <f>+' VNR'!D11</f>
        <v>5</v>
      </c>
      <c r="E18" s="71">
        <f t="shared" ref="E18" si="8">+C18/D18</f>
        <v>4294.5207473398405</v>
      </c>
      <c r="F18" s="26">
        <f t="shared" si="1"/>
        <v>84.784146402282076</v>
      </c>
      <c r="G18" s="72">
        <f t="shared" si="2"/>
        <v>33.958525168779843</v>
      </c>
      <c r="H18" s="26">
        <f t="shared" si="3"/>
        <v>150.30822615689442</v>
      </c>
      <c r="I18" s="99">
        <f t="shared" si="4"/>
        <v>333.25480999357166</v>
      </c>
      <c r="J18" s="70"/>
      <c r="K18" s="210">
        <f t="shared" si="5"/>
        <v>602.30570772152805</v>
      </c>
      <c r="L18" s="108"/>
      <c r="M18" s="297">
        <f>ROUND(+K18*$L$10,2)</f>
        <v>319.22000000000003</v>
      </c>
      <c r="N18" s="51"/>
      <c r="O18" s="344">
        <v>12</v>
      </c>
      <c r="Q18" s="313">
        <f t="shared" ref="Q18:Q19" si="9">+M18*D18/12*O18</f>
        <v>1596.1000000000004</v>
      </c>
    </row>
    <row r="19" spans="1:17" x14ac:dyDescent="0.2">
      <c r="A19" s="214" t="s">
        <v>168</v>
      </c>
      <c r="B19" s="68" t="s">
        <v>68</v>
      </c>
      <c r="C19" s="71">
        <v>0</v>
      </c>
      <c r="D19" s="26">
        <v>0</v>
      </c>
      <c r="E19" s="71">
        <v>0</v>
      </c>
      <c r="F19" s="26">
        <f t="shared" si="1"/>
        <v>0</v>
      </c>
      <c r="G19" s="72">
        <f t="shared" si="2"/>
        <v>0</v>
      </c>
      <c r="H19" s="26">
        <f t="shared" si="3"/>
        <v>0</v>
      </c>
      <c r="I19" s="99">
        <f t="shared" si="4"/>
        <v>0</v>
      </c>
      <c r="J19" s="70"/>
      <c r="K19" s="210">
        <f t="shared" si="5"/>
        <v>0</v>
      </c>
      <c r="L19" s="108"/>
      <c r="M19" s="297">
        <f>ROUND(+K19*$L$10,2)</f>
        <v>0</v>
      </c>
      <c r="N19" s="51"/>
      <c r="O19" s="344">
        <v>12</v>
      </c>
      <c r="Q19" s="313">
        <f t="shared" si="9"/>
        <v>0</v>
      </c>
    </row>
    <row r="20" spans="1:17" x14ac:dyDescent="0.2">
      <c r="A20" s="316" t="s">
        <v>4</v>
      </c>
      <c r="B20" s="26"/>
      <c r="C20" s="71">
        <f>+'CX cxj Año1 '!C20+' VNR'!F43/2+' VNR'!L43/2</f>
        <v>0</v>
      </c>
      <c r="D20" s="26"/>
      <c r="E20" s="71"/>
      <c r="F20" s="26"/>
      <c r="G20" s="72"/>
      <c r="H20" s="26"/>
      <c r="I20" s="99"/>
      <c r="J20" s="70"/>
      <c r="K20" s="210"/>
      <c r="L20" s="108"/>
      <c r="M20" s="297"/>
      <c r="N20" s="51"/>
      <c r="O20" s="344"/>
      <c r="Q20" s="313"/>
    </row>
    <row r="21" spans="1:17" x14ac:dyDescent="0.2">
      <c r="A21" s="125" t="str">
        <f>+' VNR'!B15</f>
        <v>CXTR Reductor 60/80/100 MVA</v>
      </c>
      <c r="B21" s="26" t="s">
        <v>97</v>
      </c>
      <c r="C21" s="71">
        <f>+'CX cxj Año1 '!C21</f>
        <v>5900</v>
      </c>
      <c r="D21" s="26">
        <f>+'CX cxj Año1 '!D21</f>
        <v>200</v>
      </c>
      <c r="E21" s="71">
        <f t="shared" ref="E21:E24" si="10">+C21/D21</f>
        <v>29.5</v>
      </c>
      <c r="F21" s="26">
        <f t="shared" si="1"/>
        <v>0.58240080000000016</v>
      </c>
      <c r="G21" s="72">
        <f t="shared" si="2"/>
        <v>0.23326851851851849</v>
      </c>
      <c r="H21" s="26">
        <f t="shared" si="3"/>
        <v>1.0325000000000002</v>
      </c>
      <c r="I21" s="99">
        <f t="shared" si="4"/>
        <v>2.2892000000000001</v>
      </c>
      <c r="J21" s="70"/>
      <c r="K21" s="212">
        <f>+G21+F21+H21+I21</f>
        <v>4.1373693185185187</v>
      </c>
      <c r="L21" s="108"/>
      <c r="M21" s="297">
        <f t="shared" si="6"/>
        <v>2.19</v>
      </c>
      <c r="N21" s="51"/>
      <c r="O21" s="344">
        <v>12</v>
      </c>
      <c r="Q21" s="313">
        <f t="shared" ref="Q21:Q24" si="11">+M21*D21/12*O21</f>
        <v>438</v>
      </c>
    </row>
    <row r="22" spans="1:17" x14ac:dyDescent="0.2">
      <c r="A22" s="126" t="s">
        <v>5</v>
      </c>
      <c r="B22" s="26" t="s">
        <v>97</v>
      </c>
      <c r="C22" s="71">
        <f>+'CX cxj Año1 '!C22</f>
        <v>5400</v>
      </c>
      <c r="D22" s="26">
        <f>+'CX cxj Año1 '!D22</f>
        <v>140</v>
      </c>
      <c r="E22" s="71">
        <f t="shared" si="10"/>
        <v>38.571428571428569</v>
      </c>
      <c r="F22" s="26">
        <f t="shared" si="1"/>
        <v>0.76149257142857152</v>
      </c>
      <c r="G22" s="72">
        <f t="shared" si="2"/>
        <v>0.30499999999999994</v>
      </c>
      <c r="H22" s="26">
        <f t="shared" si="3"/>
        <v>1.35</v>
      </c>
      <c r="I22" s="99">
        <f t="shared" si="4"/>
        <v>2.9931428571428569</v>
      </c>
      <c r="J22" s="70"/>
      <c r="K22" s="212">
        <f>+G22+F22+H22+I22</f>
        <v>5.4096354285714288</v>
      </c>
      <c r="L22" s="108"/>
      <c r="M22" s="297">
        <f t="shared" si="6"/>
        <v>2.87</v>
      </c>
      <c r="N22" s="51"/>
      <c r="O22" s="344">
        <v>12</v>
      </c>
      <c r="Q22" s="313">
        <f t="shared" si="11"/>
        <v>401.8</v>
      </c>
    </row>
    <row r="23" spans="1:17" x14ac:dyDescent="0.2">
      <c r="A23" s="126" t="s">
        <v>6</v>
      </c>
      <c r="B23" s="26" t="s">
        <v>97</v>
      </c>
      <c r="C23" s="71">
        <f>+'CX cxj Año1 '!C23</f>
        <v>4300</v>
      </c>
      <c r="D23" s="26">
        <f>+'CX cxj Año1 '!D23</f>
        <v>100</v>
      </c>
      <c r="E23" s="71">
        <f t="shared" si="10"/>
        <v>43</v>
      </c>
      <c r="F23" s="26">
        <f t="shared" si="1"/>
        <v>0.84892320000000021</v>
      </c>
      <c r="G23" s="72">
        <f t="shared" si="2"/>
        <v>0.3400185185185185</v>
      </c>
      <c r="H23" s="26">
        <f t="shared" si="3"/>
        <v>1.5050000000000001</v>
      </c>
      <c r="I23" s="99">
        <f t="shared" si="4"/>
        <v>3.3368000000000002</v>
      </c>
      <c r="J23" s="70"/>
      <c r="K23" s="111">
        <f>+G23+F23+H23+I23</f>
        <v>6.0307417185185193</v>
      </c>
      <c r="L23" s="108"/>
      <c r="M23" s="297">
        <f t="shared" si="6"/>
        <v>3.2</v>
      </c>
      <c r="N23" s="51"/>
      <c r="O23" s="344">
        <v>12</v>
      </c>
      <c r="Q23" s="313">
        <f t="shared" si="11"/>
        <v>320</v>
      </c>
    </row>
    <row r="24" spans="1:17" x14ac:dyDescent="0.2">
      <c r="A24" s="320" t="s">
        <v>7</v>
      </c>
      <c r="B24" s="26" t="s">
        <v>97</v>
      </c>
      <c r="C24" s="71">
        <f>+'CX cxj Año1 '!C24</f>
        <v>810</v>
      </c>
      <c r="D24" s="26">
        <f>+'CX cxj Año1 '!D24</f>
        <v>24</v>
      </c>
      <c r="E24" s="71">
        <f t="shared" si="10"/>
        <v>33.75</v>
      </c>
      <c r="F24" s="26">
        <f t="shared" si="1"/>
        <v>0.66630600000000018</v>
      </c>
      <c r="G24" s="72">
        <f t="shared" si="2"/>
        <v>0.26687499999999997</v>
      </c>
      <c r="H24" s="26">
        <f t="shared" si="3"/>
        <v>1.1812500000000001</v>
      </c>
      <c r="I24" s="99">
        <f t="shared" si="4"/>
        <v>2.6190000000000002</v>
      </c>
      <c r="J24" s="70"/>
      <c r="K24" s="111">
        <f>+G24+F24+H24+I24</f>
        <v>4.7334310000000004</v>
      </c>
      <c r="L24" s="108"/>
      <c r="M24" s="297">
        <f>ROUND(+K24*$L$10,2)</f>
        <v>2.5099999999999998</v>
      </c>
      <c r="N24" s="51"/>
      <c r="O24" s="344">
        <v>12</v>
      </c>
      <c r="P24" s="33"/>
      <c r="Q24" s="313">
        <f t="shared" si="11"/>
        <v>60.239999999999995</v>
      </c>
    </row>
    <row r="25" spans="1:17" x14ac:dyDescent="0.2">
      <c r="A25" s="120" t="s">
        <v>8</v>
      </c>
      <c r="B25" s="213" t="s">
        <v>11</v>
      </c>
      <c r="C25" s="71">
        <f>+'CX cxj Año1 '!C25+' VNR'!F49/2+' VNR'!L49/2</f>
        <v>0</v>
      </c>
      <c r="D25" s="26">
        <f>+'CX cxj Año1 '!D25</f>
        <v>0</v>
      </c>
      <c r="E25" s="71"/>
      <c r="F25" s="26"/>
      <c r="G25" s="72"/>
      <c r="H25" s="26"/>
      <c r="I25" s="99"/>
      <c r="J25" s="70"/>
      <c r="K25" s="111"/>
      <c r="L25" s="108"/>
      <c r="M25" s="109"/>
      <c r="N25" s="51"/>
      <c r="O25" s="346"/>
      <c r="P25" s="33"/>
      <c r="Q25" s="313"/>
    </row>
    <row r="26" spans="1:17" x14ac:dyDescent="0.2">
      <c r="A26" s="100" t="s">
        <v>135</v>
      </c>
      <c r="B26" s="26" t="str">
        <f>+[6]VNR2004!B21</f>
        <v>Miles B/./km</v>
      </c>
      <c r="C26" s="71">
        <f>+'CX cxj Año1 '!C26</f>
        <v>6494.7631425745503</v>
      </c>
      <c r="D26" s="26">
        <f>+' VNR'!E76</f>
        <v>38.299999999999997</v>
      </c>
      <c r="E26" s="71">
        <f>+' VNR'!E22</f>
        <v>169.57606116382638</v>
      </c>
      <c r="F26" s="26">
        <f t="shared" si="1"/>
        <v>3.3478384299207264</v>
      </c>
      <c r="G26" s="72">
        <f t="shared" si="2"/>
        <v>1.340907002165812</v>
      </c>
      <c r="H26" s="26">
        <f t="shared" si="3"/>
        <v>5.9351621407339241</v>
      </c>
      <c r="I26" s="99">
        <f t="shared" si="4"/>
        <v>13.159102346312928</v>
      </c>
      <c r="J26" s="70"/>
      <c r="K26" s="107">
        <f t="shared" ref="K26" si="12">+F26+G26+H26+I26</f>
        <v>23.783009919133391</v>
      </c>
      <c r="L26" s="108"/>
      <c r="M26" s="109">
        <f>ROUND(+K26*$L$10,2)</f>
        <v>12.6</v>
      </c>
      <c r="N26" s="51"/>
      <c r="O26" s="344">
        <v>12</v>
      </c>
      <c r="P26" s="33"/>
      <c r="Q26" s="313">
        <f t="shared" ref="Q26" si="13">+M26*D26/12*O26</f>
        <v>482.57999999999993</v>
      </c>
    </row>
    <row r="27" spans="1:17" x14ac:dyDescent="0.2">
      <c r="A27" s="100" t="s">
        <v>139</v>
      </c>
      <c r="B27" s="26" t="str">
        <f>+[6]VNR2004!B22</f>
        <v>Miles B/./km</v>
      </c>
      <c r="C27" s="71"/>
      <c r="D27" s="26"/>
      <c r="E27" s="71"/>
      <c r="F27" s="26"/>
      <c r="G27" s="72"/>
      <c r="H27" s="26"/>
      <c r="I27" s="99"/>
      <c r="J27" s="70"/>
      <c r="K27" s="107"/>
      <c r="L27" s="108"/>
      <c r="M27" s="110" t="s">
        <v>128</v>
      </c>
      <c r="N27" s="333"/>
      <c r="O27" s="333"/>
      <c r="P27" s="33"/>
      <c r="Q27" s="313">
        <f>+' VNR'!O23</f>
        <v>0</v>
      </c>
    </row>
    <row r="28" spans="1:17" x14ac:dyDescent="0.2">
      <c r="A28" s="100" t="s">
        <v>93</v>
      </c>
      <c r="B28" s="26" t="str">
        <f>+[6]VNR2004!B23</f>
        <v>Miles B/./km</v>
      </c>
      <c r="C28" s="71"/>
      <c r="D28" s="26"/>
      <c r="E28" s="71"/>
      <c r="F28" s="26"/>
      <c r="G28" s="72"/>
      <c r="H28" s="26"/>
      <c r="I28" s="99"/>
      <c r="J28" s="70"/>
      <c r="K28" s="107"/>
      <c r="L28" s="108"/>
      <c r="M28" s="110" t="s">
        <v>128</v>
      </c>
      <c r="N28" s="333"/>
      <c r="O28" s="333"/>
      <c r="Q28" s="313">
        <f>+' VNR'!O24</f>
        <v>0</v>
      </c>
    </row>
    <row r="29" spans="1:17" x14ac:dyDescent="0.2">
      <c r="A29" s="100" t="s">
        <v>134</v>
      </c>
      <c r="B29" s="26" t="str">
        <f>+[6]VNR2004!B24</f>
        <v>Miles B/./km</v>
      </c>
      <c r="C29" s="71"/>
      <c r="D29" s="94"/>
      <c r="E29" s="143"/>
      <c r="F29" s="26"/>
      <c r="G29" s="72"/>
      <c r="H29" s="26"/>
      <c r="I29" s="99"/>
      <c r="J29" s="70"/>
      <c r="K29" s="107"/>
      <c r="L29" s="112"/>
      <c r="M29" s="110" t="s">
        <v>128</v>
      </c>
      <c r="N29" s="333"/>
      <c r="O29" s="333"/>
      <c r="Q29" s="314">
        <f>+' VNR'!K25</f>
        <v>0</v>
      </c>
    </row>
    <row r="30" spans="1:17" x14ac:dyDescent="0.2">
      <c r="A30" s="100" t="s">
        <v>138</v>
      </c>
      <c r="B30" s="68" t="s">
        <v>136</v>
      </c>
      <c r="C30" s="71"/>
      <c r="D30" s="310"/>
      <c r="E30" s="143"/>
      <c r="F30" s="94"/>
      <c r="G30" s="95"/>
      <c r="H30" s="94"/>
      <c r="I30" s="101"/>
      <c r="J30" s="70"/>
      <c r="K30" s="113"/>
      <c r="L30" s="112"/>
      <c r="M30" s="110" t="s">
        <v>128</v>
      </c>
      <c r="N30" s="333"/>
      <c r="O30" s="333"/>
      <c r="Q30" s="314">
        <f>+' VNR'!K26</f>
        <v>0</v>
      </c>
    </row>
    <row r="31" spans="1:17" ht="13.5" thickBot="1" x14ac:dyDescent="0.25">
      <c r="A31" s="102" t="s">
        <v>137</v>
      </c>
      <c r="B31" s="103" t="str">
        <f>+[6]VNR2004!B24</f>
        <v>Miles B/./km</v>
      </c>
      <c r="C31" s="103"/>
      <c r="D31" s="103"/>
      <c r="E31" s="105"/>
      <c r="F31" s="103"/>
      <c r="G31" s="104"/>
      <c r="H31" s="103"/>
      <c r="I31" s="105"/>
      <c r="J31" s="70"/>
      <c r="K31" s="114"/>
      <c r="L31" s="115"/>
      <c r="M31" s="116" t="s">
        <v>128</v>
      </c>
      <c r="N31" s="333"/>
      <c r="O31" s="333"/>
      <c r="Q31" s="315">
        <f>+' VNR'!O27</f>
        <v>0</v>
      </c>
    </row>
    <row r="32" spans="1:17" x14ac:dyDescent="0.2">
      <c r="A32" s="86"/>
      <c r="C32" s="39"/>
      <c r="Q32" s="39"/>
    </row>
    <row r="33" spans="1:17" x14ac:dyDescent="0.2">
      <c r="A33" s="86"/>
      <c r="B33" s="331"/>
      <c r="C33" s="331"/>
      <c r="D33" s="331"/>
      <c r="E33" s="331"/>
      <c r="F33" s="331"/>
      <c r="G33" s="332"/>
      <c r="H33" s="331"/>
      <c r="I33" s="331"/>
      <c r="J33" s="20"/>
      <c r="K33" s="332"/>
      <c r="L33" s="27"/>
      <c r="M33" s="333"/>
      <c r="N33" s="333"/>
      <c r="O33" s="333"/>
      <c r="Q33" s="331"/>
    </row>
    <row r="34" spans="1:17" x14ac:dyDescent="0.2">
      <c r="A34" s="86"/>
      <c r="C34" s="39"/>
      <c r="P34" s="31" t="s">
        <v>12</v>
      </c>
      <c r="Q34" s="39">
        <f>SUM(Q12:Q24)</f>
        <v>4876.6100000000006</v>
      </c>
    </row>
    <row r="37" spans="1:17" x14ac:dyDescent="0.2">
      <c r="Q37" s="39">
        <f>+Q34+Q26</f>
        <v>5359.1900000000005</v>
      </c>
    </row>
  </sheetData>
  <sheetProtection algorithmName="SHA-512" hashValue="bZatYJ1Qylgvp2Mk9wBG+X87SjK5nc4feTGAnc1Tdac1aFT60Z4K+3SbxyaAsoI7W+TtUrpOczYcKPwufos/BQ==" saltValue="R/qD85BPDTI3OXi7J/9pSQ==" spinCount="100000" sheet="1" objects="1" scenarios="1"/>
  <mergeCells count="18">
    <mergeCell ref="A8:A9"/>
    <mergeCell ref="B8:B9"/>
    <mergeCell ref="C8:C9"/>
    <mergeCell ref="D8:D9"/>
    <mergeCell ref="E8:E9"/>
    <mergeCell ref="A1:K1"/>
    <mergeCell ref="A2:K2"/>
    <mergeCell ref="A3:D6"/>
    <mergeCell ref="E3:K3"/>
    <mergeCell ref="E5:K5"/>
    <mergeCell ref="L8:L9"/>
    <mergeCell ref="M8:M9"/>
    <mergeCell ref="Q8:Q9"/>
    <mergeCell ref="F8:F9"/>
    <mergeCell ref="G8:G9"/>
    <mergeCell ref="I8:I9"/>
    <mergeCell ref="K8:K9"/>
    <mergeCell ref="H8:H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85" zoomScaleNormal="85" workbookViewId="0">
      <selection activeCell="Q39" sqref="Q39"/>
    </sheetView>
  </sheetViews>
  <sheetFormatPr baseColWidth="10" defaultRowHeight="12.75" x14ac:dyDescent="0.2"/>
  <cols>
    <col min="1" max="1" width="38.42578125" style="31" customWidth="1"/>
    <col min="2" max="2" width="17.85546875" style="31" customWidth="1"/>
    <col min="3" max="3" width="14.42578125" style="31" customWidth="1"/>
    <col min="4" max="4" width="13.42578125" style="31" customWidth="1"/>
    <col min="5" max="5" width="11.85546875" style="31" customWidth="1"/>
    <col min="6" max="6" width="11.42578125" style="31"/>
    <col min="7" max="7" width="12.85546875" style="31" customWidth="1"/>
    <col min="8" max="8" width="11.28515625" style="31" customWidth="1"/>
    <col min="9" max="9" width="17.5703125" style="31" customWidth="1"/>
    <col min="10" max="10" width="11.85546875" style="31" customWidth="1"/>
    <col min="11" max="11" width="23.28515625" style="31" customWidth="1"/>
    <col min="12" max="16384" width="11.42578125" style="31"/>
  </cols>
  <sheetData>
    <row r="1" spans="1:17" ht="18" x14ac:dyDescent="0.25">
      <c r="A1" s="1028" t="s">
        <v>13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7" ht="39.6" customHeight="1" thickBot="1" x14ac:dyDescent="0.25">
      <c r="A2" s="1084" t="s">
        <v>23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</row>
    <row r="3" spans="1:17" ht="27.6" customHeight="1" x14ac:dyDescent="0.2">
      <c r="A3" s="1085" t="s">
        <v>25</v>
      </c>
      <c r="B3" s="1086"/>
      <c r="C3" s="1086"/>
      <c r="D3" s="1086"/>
      <c r="E3" s="1093" t="s">
        <v>78</v>
      </c>
      <c r="F3" s="1094"/>
      <c r="G3" s="1094"/>
      <c r="H3" s="1094"/>
      <c r="I3" s="1094"/>
      <c r="J3" s="1094"/>
      <c r="K3" s="1095"/>
    </row>
    <row r="4" spans="1:17" ht="27.6" customHeight="1" thickBot="1" x14ac:dyDescent="0.25">
      <c r="A4" s="1087"/>
      <c r="B4" s="1088"/>
      <c r="C4" s="1088"/>
      <c r="D4" s="1088"/>
      <c r="E4" s="24"/>
      <c r="F4" s="20"/>
      <c r="G4" s="20"/>
      <c r="H4" s="20"/>
      <c r="I4" s="20"/>
      <c r="J4" s="20"/>
      <c r="K4" s="30"/>
    </row>
    <row r="5" spans="1:17" ht="27.6" customHeight="1" x14ac:dyDescent="0.2">
      <c r="A5" s="1087"/>
      <c r="B5" s="1088"/>
      <c r="C5" s="1088"/>
      <c r="D5" s="1088"/>
      <c r="E5" s="1093" t="s">
        <v>79</v>
      </c>
      <c r="F5" s="1094"/>
      <c r="G5" s="1094"/>
      <c r="H5" s="1094"/>
      <c r="I5" s="1094"/>
      <c r="J5" s="1094"/>
      <c r="K5" s="1095"/>
    </row>
    <row r="6" spans="1:17" ht="27.6" customHeight="1" thickBot="1" x14ac:dyDescent="0.25">
      <c r="A6" s="1089"/>
      <c r="B6" s="1090"/>
      <c r="C6" s="1090"/>
      <c r="D6" s="1090"/>
      <c r="E6" s="32"/>
      <c r="F6" s="28"/>
      <c r="G6" s="28"/>
      <c r="H6" s="28"/>
      <c r="I6" s="28"/>
      <c r="J6" s="28"/>
      <c r="K6" s="29"/>
    </row>
    <row r="7" spans="1:17" ht="18" customHeight="1" thickBot="1" x14ac:dyDescent="0.25">
      <c r="A7" s="66"/>
      <c r="B7" s="66"/>
      <c r="C7" s="66"/>
      <c r="D7" s="66"/>
      <c r="E7" s="20"/>
      <c r="F7" s="20"/>
      <c r="G7" s="20"/>
      <c r="H7" s="28"/>
      <c r="I7" s="20"/>
      <c r="J7" s="20"/>
      <c r="K7" s="20"/>
    </row>
    <row r="8" spans="1:17" ht="26.45" customHeight="1" x14ac:dyDescent="0.2">
      <c r="A8" s="1083" t="s">
        <v>24</v>
      </c>
      <c r="B8" s="1083" t="s">
        <v>17</v>
      </c>
      <c r="C8" s="1078" t="s">
        <v>1</v>
      </c>
      <c r="D8" s="1078" t="s">
        <v>173</v>
      </c>
      <c r="E8" s="1091" t="s">
        <v>85</v>
      </c>
      <c r="F8" s="1092" t="s">
        <v>131</v>
      </c>
      <c r="G8" s="1092" t="s">
        <v>132</v>
      </c>
      <c r="H8" s="1092" t="s">
        <v>133</v>
      </c>
      <c r="I8" s="1092" t="s">
        <v>76</v>
      </c>
      <c r="J8" s="87"/>
      <c r="K8" s="1083" t="s">
        <v>77</v>
      </c>
      <c r="L8" s="1082" t="s">
        <v>74</v>
      </c>
      <c r="M8" s="1083" t="s">
        <v>130</v>
      </c>
      <c r="N8" s="347"/>
      <c r="O8" s="338" t="s">
        <v>191</v>
      </c>
      <c r="Q8" s="1080" t="s">
        <v>175</v>
      </c>
    </row>
    <row r="9" spans="1:17" ht="16.899999999999999" customHeight="1" x14ac:dyDescent="0.2">
      <c r="A9" s="1083"/>
      <c r="B9" s="1083"/>
      <c r="C9" s="1079"/>
      <c r="D9" s="1079"/>
      <c r="E9" s="1091"/>
      <c r="F9" s="1092"/>
      <c r="G9" s="1092"/>
      <c r="H9" s="1092"/>
      <c r="I9" s="1092"/>
      <c r="J9" s="88"/>
      <c r="K9" s="1083"/>
      <c r="L9" s="1082"/>
      <c r="M9" s="1083"/>
      <c r="N9" s="347"/>
      <c r="O9" s="338"/>
      <c r="Q9" s="1081"/>
    </row>
    <row r="10" spans="1:17" ht="18.75" customHeight="1" x14ac:dyDescent="0.25">
      <c r="A10" s="93" t="s">
        <v>15</v>
      </c>
      <c r="B10" s="91"/>
      <c r="C10" s="308"/>
      <c r="D10" s="91"/>
      <c r="E10" s="309"/>
      <c r="F10" s="144">
        <v>1.9742400000000004E-2</v>
      </c>
      <c r="G10" s="144">
        <v>7.9074074074074064E-3</v>
      </c>
      <c r="H10" s="231">
        <v>3.5000000000000003E-2</v>
      </c>
      <c r="I10" s="144">
        <v>7.7600000000000002E-2</v>
      </c>
      <c r="J10" s="145"/>
      <c r="K10" s="92"/>
      <c r="L10" s="209">
        <f>+'CX cxj Año1 '!L10</f>
        <v>0.53</v>
      </c>
      <c r="M10" s="92"/>
      <c r="N10" s="348"/>
      <c r="O10" s="339"/>
      <c r="Q10" s="311"/>
    </row>
    <row r="11" spans="1:17" x14ac:dyDescent="0.2">
      <c r="A11" s="96" t="s">
        <v>3</v>
      </c>
      <c r="B11" s="84"/>
      <c r="C11" s="89"/>
      <c r="D11" s="84"/>
      <c r="E11" s="89"/>
      <c r="F11" s="90"/>
      <c r="G11" s="69"/>
      <c r="H11" s="90"/>
      <c r="I11" s="97"/>
      <c r="J11" s="69"/>
      <c r="K11" s="106"/>
      <c r="L11" s="90"/>
      <c r="M11" s="97"/>
      <c r="N11" s="20"/>
      <c r="O11" s="20"/>
      <c r="Q11" s="312"/>
    </row>
    <row r="12" spans="1:17" x14ac:dyDescent="0.2">
      <c r="A12" s="98" t="s">
        <v>86</v>
      </c>
      <c r="B12" s="26" t="str">
        <f>+[6]VNR2004!B8</f>
        <v>Miles B/./Salida</v>
      </c>
      <c r="C12" s="71">
        <f>+'CX cxj Año2'!C12</f>
        <v>3750.9816450146568</v>
      </c>
      <c r="D12" s="26">
        <f>+' VNR'!D5</f>
        <v>3</v>
      </c>
      <c r="E12" s="71">
        <f>+C12/D12</f>
        <v>1250.3272150048856</v>
      </c>
      <c r="F12" s="26">
        <f>$E12*$F$10</f>
        <v>24.68446000951246</v>
      </c>
      <c r="G12" s="72">
        <f>+$E12*$G$10</f>
        <v>9.8868466816127061</v>
      </c>
      <c r="H12" s="26">
        <f>$E12*$H$10</f>
        <v>43.761452525171002</v>
      </c>
      <c r="I12" s="99">
        <f>$E12*$I$10</f>
        <v>97.025391884379133</v>
      </c>
      <c r="J12" s="70"/>
      <c r="K12" s="107">
        <f>+F12+G12+H12+I12</f>
        <v>175.35815110067529</v>
      </c>
      <c r="L12" s="108"/>
      <c r="M12" s="297">
        <f>ROUND(+K12*$L$10,2)</f>
        <v>92.94</v>
      </c>
      <c r="N12" s="51"/>
      <c r="O12" s="344">
        <v>12</v>
      </c>
      <c r="P12" s="124"/>
      <c r="Q12" s="313">
        <f>+M12*D12/12*O12</f>
        <v>278.82</v>
      </c>
    </row>
    <row r="13" spans="1:17" x14ac:dyDescent="0.2">
      <c r="A13" s="98" t="s">
        <v>87</v>
      </c>
      <c r="B13" s="26" t="str">
        <f>+[6]VNR2004!B9</f>
        <v>Miles B/./Salida</v>
      </c>
      <c r="C13" s="71">
        <f>+'CX cxj Año2'!C13</f>
        <v>17598.423534825444</v>
      </c>
      <c r="D13" s="26">
        <f>+' VNR'!D6</f>
        <v>13</v>
      </c>
      <c r="E13" s="71">
        <f t="shared" ref="E13:E15" si="0">+C13/D13</f>
        <v>1353.724887294265</v>
      </c>
      <c r="F13" s="26">
        <f t="shared" ref="F13:F26" si="1">$E13*$F$10</f>
        <v>26.725778214918304</v>
      </c>
      <c r="G13" s="72">
        <f t="shared" ref="G13:G26" si="2">+$E13*$G$10</f>
        <v>10.704454201382427</v>
      </c>
      <c r="H13" s="26">
        <f t="shared" ref="H13:H26" si="3">$E13*$H$10</f>
        <v>47.380371055299278</v>
      </c>
      <c r="I13" s="99">
        <f t="shared" ref="I13:I26" si="4">$E13*$I$10</f>
        <v>105.04905125403496</v>
      </c>
      <c r="J13" s="70"/>
      <c r="K13" s="107">
        <f t="shared" ref="K13:K19" si="5">+F13+G13+H13+I13</f>
        <v>189.85965472563498</v>
      </c>
      <c r="L13" s="108"/>
      <c r="M13" s="297">
        <f t="shared" ref="M13:M23" si="6">ROUND(+K13*$L$10,2)</f>
        <v>100.63</v>
      </c>
      <c r="N13" s="51"/>
      <c r="O13" s="344">
        <v>12</v>
      </c>
      <c r="Q13" s="313">
        <f t="shared" ref="Q13:Q15" si="7">+M13*D13/12*O13</f>
        <v>1308.19</v>
      </c>
    </row>
    <row r="14" spans="1:17" x14ac:dyDescent="0.2">
      <c r="A14" s="98" t="s">
        <v>88</v>
      </c>
      <c r="B14" s="26" t="str">
        <f>+[6]VNR2004!B10</f>
        <v>Miles B/./Salida</v>
      </c>
      <c r="C14" s="71">
        <f>+'CX cxj Año2'!C14</f>
        <v>1916.0446062704473</v>
      </c>
      <c r="D14" s="26">
        <f>+' VNR'!D7</f>
        <v>3</v>
      </c>
      <c r="E14" s="71">
        <f t="shared" si="0"/>
        <v>638.68153542348239</v>
      </c>
      <c r="F14" s="26">
        <f t="shared" si="1"/>
        <v>12.609106344944561</v>
      </c>
      <c r="G14" s="72">
        <f t="shared" si="2"/>
        <v>5.0503151041819807</v>
      </c>
      <c r="H14" s="26">
        <f t="shared" si="3"/>
        <v>22.353853739821886</v>
      </c>
      <c r="I14" s="99">
        <f t="shared" si="4"/>
        <v>49.561687148862234</v>
      </c>
      <c r="J14" s="70"/>
      <c r="K14" s="107">
        <f t="shared" si="5"/>
        <v>89.574962337810661</v>
      </c>
      <c r="L14" s="108"/>
      <c r="M14" s="297">
        <f t="shared" si="6"/>
        <v>47.47</v>
      </c>
      <c r="N14" s="51"/>
      <c r="O14" s="344">
        <v>12</v>
      </c>
      <c r="Q14" s="313">
        <f t="shared" si="7"/>
        <v>142.41</v>
      </c>
    </row>
    <row r="15" spans="1:17" x14ac:dyDescent="0.2">
      <c r="A15" s="98" t="s">
        <v>89</v>
      </c>
      <c r="B15" s="26" t="str">
        <f>+[6]VNR2004!B11</f>
        <v>Miles B/./Salida</v>
      </c>
      <c r="C15" s="71">
        <f>+'CX cxj Año2'!C15</f>
        <v>4453.5673817361767</v>
      </c>
      <c r="D15" s="26">
        <f>+' VNR'!D8</f>
        <v>3</v>
      </c>
      <c r="E15" s="71">
        <f t="shared" si="0"/>
        <v>1484.5224605787255</v>
      </c>
      <c r="F15" s="26">
        <f t="shared" si="1"/>
        <v>29.308036225729435</v>
      </c>
      <c r="G15" s="72">
        <f t="shared" si="2"/>
        <v>11.738723901242883</v>
      </c>
      <c r="H15" s="26">
        <f t="shared" si="3"/>
        <v>51.958286120255394</v>
      </c>
      <c r="I15" s="99">
        <f t="shared" si="4"/>
        <v>115.19894294090911</v>
      </c>
      <c r="J15" s="70"/>
      <c r="K15" s="107">
        <f t="shared" si="5"/>
        <v>208.2039891881368</v>
      </c>
      <c r="L15" s="108"/>
      <c r="M15" s="297">
        <f t="shared" si="6"/>
        <v>110.35</v>
      </c>
      <c r="N15" s="51"/>
      <c r="O15" s="344">
        <v>12</v>
      </c>
      <c r="Q15" s="313">
        <f t="shared" si="7"/>
        <v>331.04999999999995</v>
      </c>
    </row>
    <row r="16" spans="1:17" x14ac:dyDescent="0.2">
      <c r="A16" s="98" t="s">
        <v>98</v>
      </c>
      <c r="B16" s="68" t="s">
        <v>68</v>
      </c>
      <c r="C16" s="71">
        <f>+'CX cxj Año2'!C16</f>
        <v>0</v>
      </c>
      <c r="D16" s="26">
        <f>+' VNR'!D9</f>
        <v>0</v>
      </c>
      <c r="E16" s="71">
        <f>+' VNR'!E9</f>
        <v>0</v>
      </c>
      <c r="F16" s="26">
        <f t="shared" si="1"/>
        <v>0</v>
      </c>
      <c r="G16" s="72">
        <f t="shared" si="2"/>
        <v>0</v>
      </c>
      <c r="H16" s="26">
        <f t="shared" si="3"/>
        <v>0</v>
      </c>
      <c r="I16" s="99">
        <f t="shared" si="4"/>
        <v>0</v>
      </c>
      <c r="J16" s="70"/>
      <c r="K16" s="298" t="s">
        <v>128</v>
      </c>
      <c r="L16" s="108"/>
      <c r="M16" s="298" t="s">
        <v>128</v>
      </c>
      <c r="N16" s="333"/>
      <c r="O16" s="345"/>
      <c r="Q16" s="313">
        <f>+' VNR'!O9</f>
        <v>0</v>
      </c>
    </row>
    <row r="17" spans="1:17" x14ac:dyDescent="0.2">
      <c r="A17" s="98" t="s">
        <v>99</v>
      </c>
      <c r="B17" s="26" t="str">
        <f>+[6]VNR2004!B13</f>
        <v>Miles B/./Salida</v>
      </c>
      <c r="C17" s="71">
        <f>+'CX cxj Año2'!C17</f>
        <v>0</v>
      </c>
      <c r="D17" s="26"/>
      <c r="E17" s="71"/>
      <c r="F17" s="26">
        <f t="shared" si="1"/>
        <v>0</v>
      </c>
      <c r="G17" s="72">
        <f t="shared" si="2"/>
        <v>0</v>
      </c>
      <c r="H17" s="26">
        <f t="shared" si="3"/>
        <v>0</v>
      </c>
      <c r="I17" s="99">
        <f t="shared" si="4"/>
        <v>0</v>
      </c>
      <c r="J17" s="70"/>
      <c r="K17" s="211" t="s">
        <v>128</v>
      </c>
      <c r="L17" s="108"/>
      <c r="M17" s="298" t="s">
        <v>128</v>
      </c>
      <c r="N17" s="333"/>
      <c r="O17" s="345"/>
      <c r="Q17" s="313"/>
    </row>
    <row r="18" spans="1:17" x14ac:dyDescent="0.2">
      <c r="A18" s="119" t="s">
        <v>90</v>
      </c>
      <c r="B18" s="68" t="s">
        <v>68</v>
      </c>
      <c r="C18" s="71">
        <f>+'CX cxj Año2'!C18</f>
        <v>21472.603736699202</v>
      </c>
      <c r="D18" s="26">
        <f>+' VNR'!D11</f>
        <v>5</v>
      </c>
      <c r="E18" s="71">
        <f t="shared" ref="E18" si="8">+C18/D18</f>
        <v>4294.5207473398405</v>
      </c>
      <c r="F18" s="26">
        <f t="shared" si="1"/>
        <v>84.784146402282076</v>
      </c>
      <c r="G18" s="72">
        <f t="shared" si="2"/>
        <v>33.958525168779843</v>
      </c>
      <c r="H18" s="26">
        <f t="shared" si="3"/>
        <v>150.30822615689442</v>
      </c>
      <c r="I18" s="99">
        <f t="shared" si="4"/>
        <v>333.25480999357166</v>
      </c>
      <c r="J18" s="70"/>
      <c r="K18" s="210">
        <f t="shared" si="5"/>
        <v>602.30570772152805</v>
      </c>
      <c r="L18" s="108"/>
      <c r="M18" s="297">
        <f>ROUND(+K18*$L$10,2)</f>
        <v>319.22000000000003</v>
      </c>
      <c r="N18" s="51"/>
      <c r="O18" s="344">
        <v>12</v>
      </c>
      <c r="Q18" s="313">
        <f t="shared" ref="Q18:Q19" si="9">+M18*D18/12*O18</f>
        <v>1596.1000000000004</v>
      </c>
    </row>
    <row r="19" spans="1:17" x14ac:dyDescent="0.2">
      <c r="A19" s="214" t="s">
        <v>168</v>
      </c>
      <c r="B19" s="68" t="s">
        <v>68</v>
      </c>
      <c r="C19" s="71">
        <v>0</v>
      </c>
      <c r="D19" s="26">
        <v>0</v>
      </c>
      <c r="E19" s="71">
        <v>0</v>
      </c>
      <c r="F19" s="26">
        <f t="shared" si="1"/>
        <v>0</v>
      </c>
      <c r="G19" s="72">
        <f t="shared" si="2"/>
        <v>0</v>
      </c>
      <c r="H19" s="26">
        <f t="shared" si="3"/>
        <v>0</v>
      </c>
      <c r="I19" s="99">
        <f t="shared" si="4"/>
        <v>0</v>
      </c>
      <c r="J19" s="70"/>
      <c r="K19" s="210">
        <f t="shared" si="5"/>
        <v>0</v>
      </c>
      <c r="L19" s="108"/>
      <c r="M19" s="297">
        <f>ROUND(+K19*$L$10,2)</f>
        <v>0</v>
      </c>
      <c r="N19" s="51"/>
      <c r="O19" s="344">
        <v>12</v>
      </c>
      <c r="Q19" s="313">
        <f t="shared" si="9"/>
        <v>0</v>
      </c>
    </row>
    <row r="20" spans="1:17" x14ac:dyDescent="0.2">
      <c r="A20" s="316" t="s">
        <v>4</v>
      </c>
      <c r="B20" s="26"/>
      <c r="C20" s="71"/>
      <c r="D20" s="26"/>
      <c r="E20" s="71"/>
      <c r="F20" s="26"/>
      <c r="G20" s="72"/>
      <c r="H20" s="26"/>
      <c r="I20" s="99"/>
      <c r="J20" s="70"/>
      <c r="K20" s="210"/>
      <c r="L20" s="108"/>
      <c r="M20" s="297"/>
      <c r="N20" s="51"/>
      <c r="O20" s="344"/>
      <c r="Q20" s="313"/>
    </row>
    <row r="21" spans="1:17" x14ac:dyDescent="0.2">
      <c r="A21" s="125" t="str">
        <f>+' VNR'!B15</f>
        <v>CXTR Reductor 60/80/100 MVA</v>
      </c>
      <c r="B21" s="26" t="s">
        <v>97</v>
      </c>
      <c r="C21" s="71">
        <f>+'CX cxj Año2'!C21</f>
        <v>5900</v>
      </c>
      <c r="D21" s="26">
        <f>+'CX cxj Año2'!D21</f>
        <v>200</v>
      </c>
      <c r="E21" s="71">
        <f t="shared" ref="E21" si="10">+C21/D21</f>
        <v>29.5</v>
      </c>
      <c r="F21" s="26">
        <f t="shared" si="1"/>
        <v>0.58240080000000016</v>
      </c>
      <c r="G21" s="72">
        <f t="shared" si="2"/>
        <v>0.23326851851851849</v>
      </c>
      <c r="H21" s="26">
        <f t="shared" si="3"/>
        <v>1.0325000000000002</v>
      </c>
      <c r="I21" s="99">
        <f t="shared" si="4"/>
        <v>2.2892000000000001</v>
      </c>
      <c r="J21" s="70"/>
      <c r="K21" s="212">
        <f>+G21+F21+H21+I21</f>
        <v>4.1373693185185187</v>
      </c>
      <c r="L21" s="108"/>
      <c r="M21" s="297">
        <f t="shared" si="6"/>
        <v>2.19</v>
      </c>
      <c r="N21" s="51"/>
      <c r="O21" s="344">
        <v>12</v>
      </c>
      <c r="Q21" s="313">
        <f t="shared" ref="Q21:Q24" si="11">+M21*D21/12*O21</f>
        <v>438</v>
      </c>
    </row>
    <row r="22" spans="1:17" x14ac:dyDescent="0.2">
      <c r="A22" s="126" t="s">
        <v>5</v>
      </c>
      <c r="B22" s="26" t="s">
        <v>97</v>
      </c>
      <c r="C22" s="71">
        <f>+'CX cxj Año2'!C22</f>
        <v>5400</v>
      </c>
      <c r="D22" s="26">
        <f>+'CX cxj Año2'!D22</f>
        <v>140</v>
      </c>
      <c r="E22" s="71">
        <f t="shared" ref="E22:E24" si="12">+C22/D22</f>
        <v>38.571428571428569</v>
      </c>
      <c r="F22" s="26">
        <f t="shared" si="1"/>
        <v>0.76149257142857152</v>
      </c>
      <c r="G22" s="72">
        <f t="shared" si="2"/>
        <v>0.30499999999999994</v>
      </c>
      <c r="H22" s="26">
        <f t="shared" si="3"/>
        <v>1.35</v>
      </c>
      <c r="I22" s="99">
        <f t="shared" si="4"/>
        <v>2.9931428571428569</v>
      </c>
      <c r="J22" s="70"/>
      <c r="K22" s="212">
        <f>+G22+F22+H22+I22</f>
        <v>5.4096354285714288</v>
      </c>
      <c r="L22" s="108"/>
      <c r="M22" s="297">
        <f t="shared" si="6"/>
        <v>2.87</v>
      </c>
      <c r="N22" s="51"/>
      <c r="O22" s="344">
        <v>12</v>
      </c>
      <c r="Q22" s="313">
        <f t="shared" si="11"/>
        <v>401.8</v>
      </c>
    </row>
    <row r="23" spans="1:17" x14ac:dyDescent="0.2">
      <c r="A23" s="126" t="s">
        <v>6</v>
      </c>
      <c r="B23" s="26" t="s">
        <v>97</v>
      </c>
      <c r="C23" s="71">
        <f>+'CX cxj Año2'!C23</f>
        <v>4300</v>
      </c>
      <c r="D23" s="26">
        <f>+'CX cxj Año2'!D23</f>
        <v>100</v>
      </c>
      <c r="E23" s="71">
        <f t="shared" si="12"/>
        <v>43</v>
      </c>
      <c r="F23" s="26">
        <f t="shared" si="1"/>
        <v>0.84892320000000021</v>
      </c>
      <c r="G23" s="72">
        <f t="shared" si="2"/>
        <v>0.3400185185185185</v>
      </c>
      <c r="H23" s="26">
        <f t="shared" si="3"/>
        <v>1.5050000000000001</v>
      </c>
      <c r="I23" s="99">
        <f t="shared" si="4"/>
        <v>3.3368000000000002</v>
      </c>
      <c r="J23" s="70"/>
      <c r="K23" s="111">
        <f>+G23+F23+H23+I23</f>
        <v>6.0307417185185193</v>
      </c>
      <c r="L23" s="108"/>
      <c r="M23" s="297">
        <f t="shared" si="6"/>
        <v>3.2</v>
      </c>
      <c r="N23" s="51"/>
      <c r="O23" s="344">
        <v>12</v>
      </c>
      <c r="Q23" s="313">
        <f t="shared" si="11"/>
        <v>320</v>
      </c>
    </row>
    <row r="24" spans="1:17" x14ac:dyDescent="0.2">
      <c r="A24" s="320" t="s">
        <v>7</v>
      </c>
      <c r="B24" s="26" t="s">
        <v>97</v>
      </c>
      <c r="C24" s="71">
        <f>+'CX cxj Año2'!C24</f>
        <v>810</v>
      </c>
      <c r="D24" s="26">
        <f>+'CX cxj Año2'!D24</f>
        <v>24</v>
      </c>
      <c r="E24" s="71">
        <f t="shared" si="12"/>
        <v>33.75</v>
      </c>
      <c r="F24" s="26">
        <f t="shared" si="1"/>
        <v>0.66630600000000018</v>
      </c>
      <c r="G24" s="72">
        <f t="shared" si="2"/>
        <v>0.26687499999999997</v>
      </c>
      <c r="H24" s="26">
        <f t="shared" si="3"/>
        <v>1.1812500000000001</v>
      </c>
      <c r="I24" s="99">
        <f t="shared" si="4"/>
        <v>2.6190000000000002</v>
      </c>
      <c r="J24" s="70"/>
      <c r="K24" s="111">
        <f>+G24+F24+H24+I24</f>
        <v>4.7334310000000004</v>
      </c>
      <c r="L24" s="108"/>
      <c r="M24" s="297">
        <f>ROUND(+K24*$L$10,2)</f>
        <v>2.5099999999999998</v>
      </c>
      <c r="N24" s="51"/>
      <c r="O24" s="344">
        <v>12</v>
      </c>
      <c r="P24" s="33"/>
      <c r="Q24" s="313">
        <f t="shared" si="11"/>
        <v>60.239999999999995</v>
      </c>
    </row>
    <row r="25" spans="1:17" x14ac:dyDescent="0.2">
      <c r="A25" s="120" t="s">
        <v>8</v>
      </c>
      <c r="B25" s="213" t="s">
        <v>11</v>
      </c>
      <c r="C25" s="71"/>
      <c r="D25" s="213"/>
      <c r="E25" s="71"/>
      <c r="F25" s="26"/>
      <c r="G25" s="72"/>
      <c r="H25" s="26"/>
      <c r="I25" s="99"/>
      <c r="J25" s="70"/>
      <c r="K25" s="111"/>
      <c r="L25" s="108"/>
      <c r="M25" s="109"/>
      <c r="N25" s="51"/>
      <c r="O25" s="346"/>
      <c r="P25" s="33"/>
      <c r="Q25" s="313"/>
    </row>
    <row r="26" spans="1:17" x14ac:dyDescent="0.2">
      <c r="A26" s="100" t="s">
        <v>135</v>
      </c>
      <c r="B26" s="26" t="str">
        <f>+[6]VNR2004!B21</f>
        <v>Miles B/./km</v>
      </c>
      <c r="C26" s="71">
        <f>+'CX cxj Año2'!C26</f>
        <v>6494.7631425745503</v>
      </c>
      <c r="D26" s="26">
        <f>+' VNR'!E76</f>
        <v>38.299999999999997</v>
      </c>
      <c r="E26" s="71">
        <f>+' VNR'!E22</f>
        <v>169.57606116382638</v>
      </c>
      <c r="F26" s="26">
        <f t="shared" si="1"/>
        <v>3.3478384299207264</v>
      </c>
      <c r="G26" s="72">
        <f t="shared" si="2"/>
        <v>1.340907002165812</v>
      </c>
      <c r="H26" s="26">
        <f t="shared" si="3"/>
        <v>5.9351621407339241</v>
      </c>
      <c r="I26" s="99">
        <f t="shared" si="4"/>
        <v>13.159102346312928</v>
      </c>
      <c r="J26" s="70"/>
      <c r="K26" s="107">
        <f t="shared" ref="K26:K31" si="13">+F26+G26+H26+I26</f>
        <v>23.783009919133391</v>
      </c>
      <c r="L26" s="108"/>
      <c r="M26" s="109">
        <f>ROUND(+K26*$L$10,2)</f>
        <v>12.6</v>
      </c>
      <c r="N26" s="51"/>
      <c r="O26" s="344">
        <v>12</v>
      </c>
      <c r="P26" s="33"/>
      <c r="Q26" s="313">
        <f t="shared" ref="Q26" si="14">+M26*D26/12*O26</f>
        <v>482.57999999999993</v>
      </c>
    </row>
    <row r="27" spans="1:17" x14ac:dyDescent="0.2">
      <c r="A27" s="100" t="s">
        <v>139</v>
      </c>
      <c r="B27" s="26" t="str">
        <f>+[6]VNR2004!B22</f>
        <v>Miles B/./km</v>
      </c>
      <c r="C27" s="71"/>
      <c r="D27" s="26"/>
      <c r="E27" s="71"/>
      <c r="F27" s="26"/>
      <c r="G27" s="72"/>
      <c r="H27" s="26"/>
      <c r="I27" s="99"/>
      <c r="J27" s="70"/>
      <c r="K27" s="107">
        <f t="shared" si="13"/>
        <v>0</v>
      </c>
      <c r="L27" s="108"/>
      <c r="M27" s="110" t="s">
        <v>128</v>
      </c>
      <c r="N27" s="333"/>
      <c r="O27" s="333"/>
      <c r="P27" s="33"/>
      <c r="Q27" s="313">
        <f>+' VNR'!O23</f>
        <v>0</v>
      </c>
    </row>
    <row r="28" spans="1:17" x14ac:dyDescent="0.2">
      <c r="A28" s="100" t="s">
        <v>93</v>
      </c>
      <c r="B28" s="26" t="str">
        <f>+[6]VNR2004!B23</f>
        <v>Miles B/./km</v>
      </c>
      <c r="C28" s="71"/>
      <c r="D28" s="26"/>
      <c r="E28" s="71"/>
      <c r="F28" s="26"/>
      <c r="G28" s="72"/>
      <c r="H28" s="26"/>
      <c r="I28" s="99"/>
      <c r="J28" s="70"/>
      <c r="K28" s="107">
        <f t="shared" si="13"/>
        <v>0</v>
      </c>
      <c r="L28" s="108"/>
      <c r="M28" s="110" t="s">
        <v>128</v>
      </c>
      <c r="N28" s="333"/>
      <c r="O28" s="333"/>
      <c r="Q28" s="313">
        <f>+' VNR'!O24</f>
        <v>0</v>
      </c>
    </row>
    <row r="29" spans="1:17" x14ac:dyDescent="0.2">
      <c r="A29" s="100" t="s">
        <v>134</v>
      </c>
      <c r="B29" s="26" t="str">
        <f>+[6]VNR2004!B24</f>
        <v>Miles B/./km</v>
      </c>
      <c r="C29" s="143"/>
      <c r="D29" s="94"/>
      <c r="E29" s="143"/>
      <c r="F29" s="26"/>
      <c r="G29" s="72"/>
      <c r="H29" s="26"/>
      <c r="I29" s="99"/>
      <c r="J29" s="70"/>
      <c r="K29" s="107">
        <f t="shared" si="13"/>
        <v>0</v>
      </c>
      <c r="L29" s="112"/>
      <c r="M29" s="110" t="s">
        <v>128</v>
      </c>
      <c r="N29" s="333"/>
      <c r="O29" s="333"/>
      <c r="Q29" s="314">
        <f>+' VNR'!K25</f>
        <v>0</v>
      </c>
    </row>
    <row r="30" spans="1:17" x14ac:dyDescent="0.2">
      <c r="A30" s="100" t="s">
        <v>138</v>
      </c>
      <c r="B30" s="68" t="s">
        <v>136</v>
      </c>
      <c r="C30" s="143"/>
      <c r="D30" s="310"/>
      <c r="E30" s="143"/>
      <c r="F30" s="94"/>
      <c r="G30" s="95"/>
      <c r="H30" s="94"/>
      <c r="I30" s="101"/>
      <c r="J30" s="70"/>
      <c r="K30" s="113">
        <f t="shared" si="13"/>
        <v>0</v>
      </c>
      <c r="L30" s="112"/>
      <c r="M30" s="110" t="s">
        <v>128</v>
      </c>
      <c r="N30" s="333"/>
      <c r="O30" s="333"/>
      <c r="Q30" s="314">
        <f>+' VNR'!K26</f>
        <v>0</v>
      </c>
    </row>
    <row r="31" spans="1:17" ht="13.5" thickBot="1" x14ac:dyDescent="0.25">
      <c r="A31" s="102" t="s">
        <v>137</v>
      </c>
      <c r="B31" s="103" t="str">
        <f>+[6]VNR2004!B24</f>
        <v>Miles B/./km</v>
      </c>
      <c r="C31" s="105"/>
      <c r="D31" s="103"/>
      <c r="E31" s="105"/>
      <c r="F31" s="103"/>
      <c r="G31" s="104"/>
      <c r="H31" s="103"/>
      <c r="I31" s="105"/>
      <c r="J31" s="70"/>
      <c r="K31" s="114">
        <f t="shared" si="13"/>
        <v>0</v>
      </c>
      <c r="L31" s="115"/>
      <c r="M31" s="116" t="s">
        <v>128</v>
      </c>
      <c r="N31" s="333"/>
      <c r="O31" s="333"/>
      <c r="Q31" s="315">
        <f>+' VNR'!O27</f>
        <v>0</v>
      </c>
    </row>
    <row r="32" spans="1:17" x14ac:dyDescent="0.2">
      <c r="A32" s="86"/>
      <c r="C32" s="39"/>
      <c r="Q32" s="39"/>
    </row>
    <row r="33" spans="1:17" x14ac:dyDescent="0.2">
      <c r="A33" s="86"/>
      <c r="B33" s="331"/>
      <c r="C33" s="331"/>
      <c r="D33" s="331"/>
      <c r="E33" s="331"/>
      <c r="F33" s="331"/>
      <c r="G33" s="332"/>
      <c r="H33" s="331"/>
      <c r="I33" s="331"/>
      <c r="J33" s="20"/>
      <c r="K33" s="332"/>
      <c r="L33" s="27"/>
      <c r="M33" s="333"/>
      <c r="N33" s="333"/>
      <c r="O33" s="333"/>
      <c r="Q33" s="331"/>
    </row>
    <row r="34" spans="1:17" x14ac:dyDescent="0.2">
      <c r="A34" s="86"/>
      <c r="C34" s="39"/>
      <c r="P34" s="31" t="s">
        <v>12</v>
      </c>
      <c r="Q34" s="39">
        <f>SUM(Q12:Q24)</f>
        <v>4876.6100000000006</v>
      </c>
    </row>
    <row r="36" spans="1:17" x14ac:dyDescent="0.2">
      <c r="Q36" s="39">
        <f>+Q26</f>
        <v>482.57999999999993</v>
      </c>
    </row>
    <row r="38" spans="1:17" x14ac:dyDescent="0.2">
      <c r="Q38" s="39">
        <f>+Q34+Q36</f>
        <v>5359.1900000000005</v>
      </c>
    </row>
  </sheetData>
  <sheetProtection algorithmName="SHA-512" hashValue="Jf2PuWoCHLCSmQJTYDRFdr3MxTrC/h5bAkIB2PZj4iwsAnwcQs2awMTHYFmYphmGIDcehjJzafaksoslYeZzHA==" saltValue="WSQfHN0YdwhDdmrIDvE+Kg==" spinCount="100000" sheet="1" objects="1" scenarios="1"/>
  <mergeCells count="18">
    <mergeCell ref="A8:A9"/>
    <mergeCell ref="B8:B9"/>
    <mergeCell ref="C8:C9"/>
    <mergeCell ref="D8:D9"/>
    <mergeCell ref="E8:E9"/>
    <mergeCell ref="A1:K1"/>
    <mergeCell ref="A2:K2"/>
    <mergeCell ref="A3:D6"/>
    <mergeCell ref="E3:K3"/>
    <mergeCell ref="E5:K5"/>
    <mergeCell ref="L8:L9"/>
    <mergeCell ref="M8:M9"/>
    <mergeCell ref="Q8:Q9"/>
    <mergeCell ref="F8:F9"/>
    <mergeCell ref="G8:G9"/>
    <mergeCell ref="I8:I9"/>
    <mergeCell ref="K8:K9"/>
    <mergeCell ref="H8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" zoomScale="80" zoomScaleNormal="80" workbookViewId="0">
      <selection activeCell="Q40" sqref="Q40"/>
    </sheetView>
  </sheetViews>
  <sheetFormatPr baseColWidth="10" defaultRowHeight="12.75" x14ac:dyDescent="0.2"/>
  <cols>
    <col min="1" max="1" width="38.42578125" style="31" customWidth="1"/>
    <col min="2" max="2" width="17.85546875" style="31" customWidth="1"/>
    <col min="3" max="3" width="14.42578125" style="31" customWidth="1"/>
    <col min="4" max="4" width="13.42578125" style="31" customWidth="1"/>
    <col min="5" max="5" width="11.85546875" style="31" customWidth="1"/>
    <col min="6" max="6" width="11.42578125" style="31"/>
    <col min="7" max="7" width="12.85546875" style="31" customWidth="1"/>
    <col min="8" max="8" width="11.28515625" style="31" customWidth="1"/>
    <col min="9" max="9" width="17.5703125" style="31" customWidth="1"/>
    <col min="10" max="10" width="11.85546875" style="31" customWidth="1"/>
    <col min="11" max="11" width="23.28515625" style="31" customWidth="1"/>
    <col min="12" max="16384" width="11.42578125" style="31"/>
  </cols>
  <sheetData>
    <row r="1" spans="1:17" ht="18" x14ac:dyDescent="0.25">
      <c r="A1" s="1028" t="s">
        <v>13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7" ht="39.6" customHeight="1" thickBot="1" x14ac:dyDescent="0.25">
      <c r="A2" s="1084" t="s">
        <v>23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</row>
    <row r="3" spans="1:17" ht="27.6" customHeight="1" x14ac:dyDescent="0.2">
      <c r="A3" s="1085" t="s">
        <v>25</v>
      </c>
      <c r="B3" s="1086"/>
      <c r="C3" s="1086"/>
      <c r="D3" s="1086"/>
      <c r="E3" s="1093" t="s">
        <v>78</v>
      </c>
      <c r="F3" s="1094"/>
      <c r="G3" s="1094"/>
      <c r="H3" s="1094"/>
      <c r="I3" s="1094"/>
      <c r="J3" s="1094"/>
      <c r="K3" s="1095"/>
    </row>
    <row r="4" spans="1:17" ht="27.6" customHeight="1" thickBot="1" x14ac:dyDescent="0.25">
      <c r="A4" s="1087"/>
      <c r="B4" s="1088"/>
      <c r="C4" s="1088"/>
      <c r="D4" s="1088"/>
      <c r="E4" s="24"/>
      <c r="F4" s="20"/>
      <c r="G4" s="20"/>
      <c r="H4" s="20"/>
      <c r="I4" s="20"/>
      <c r="J4" s="20"/>
      <c r="K4" s="30"/>
    </row>
    <row r="5" spans="1:17" ht="27.6" customHeight="1" x14ac:dyDescent="0.2">
      <c r="A5" s="1087"/>
      <c r="B5" s="1088"/>
      <c r="C5" s="1088"/>
      <c r="D5" s="1088"/>
      <c r="E5" s="1093" t="s">
        <v>79</v>
      </c>
      <c r="F5" s="1094"/>
      <c r="G5" s="1094"/>
      <c r="H5" s="1094"/>
      <c r="I5" s="1094"/>
      <c r="J5" s="1094"/>
      <c r="K5" s="1095"/>
    </row>
    <row r="6" spans="1:17" ht="27.6" customHeight="1" thickBot="1" x14ac:dyDescent="0.25">
      <c r="A6" s="1089"/>
      <c r="B6" s="1090"/>
      <c r="C6" s="1090"/>
      <c r="D6" s="1090"/>
      <c r="E6" s="32"/>
      <c r="F6" s="28"/>
      <c r="G6" s="28"/>
      <c r="H6" s="28"/>
      <c r="I6" s="28"/>
      <c r="J6" s="28"/>
      <c r="K6" s="29"/>
    </row>
    <row r="7" spans="1:17" ht="18" customHeight="1" thickBot="1" x14ac:dyDescent="0.25">
      <c r="A7" s="66"/>
      <c r="B7" s="66"/>
      <c r="C7" s="66"/>
      <c r="D7" s="66"/>
      <c r="E7" s="20"/>
      <c r="F7" s="20"/>
      <c r="G7" s="20"/>
      <c r="H7" s="28"/>
      <c r="I7" s="20"/>
      <c r="J7" s="20"/>
      <c r="K7" s="20"/>
    </row>
    <row r="8" spans="1:17" ht="26.45" customHeight="1" x14ac:dyDescent="0.2">
      <c r="A8" s="1083" t="s">
        <v>24</v>
      </c>
      <c r="B8" s="1083" t="s">
        <v>17</v>
      </c>
      <c r="C8" s="1078" t="s">
        <v>1</v>
      </c>
      <c r="D8" s="1078" t="s">
        <v>173</v>
      </c>
      <c r="E8" s="1091" t="s">
        <v>85</v>
      </c>
      <c r="F8" s="1092" t="s">
        <v>131</v>
      </c>
      <c r="G8" s="1092" t="s">
        <v>132</v>
      </c>
      <c r="H8" s="1092" t="s">
        <v>133</v>
      </c>
      <c r="I8" s="1092" t="s">
        <v>76</v>
      </c>
      <c r="J8" s="87"/>
      <c r="K8" s="1083" t="s">
        <v>77</v>
      </c>
      <c r="L8" s="1082" t="s">
        <v>74</v>
      </c>
      <c r="M8" s="1083" t="s">
        <v>130</v>
      </c>
      <c r="N8" s="347"/>
      <c r="O8" s="338" t="s">
        <v>191</v>
      </c>
      <c r="Q8" s="1080" t="s">
        <v>175</v>
      </c>
    </row>
    <row r="9" spans="1:17" ht="16.899999999999999" customHeight="1" x14ac:dyDescent="0.2">
      <c r="A9" s="1083"/>
      <c r="B9" s="1083"/>
      <c r="C9" s="1079"/>
      <c r="D9" s="1079"/>
      <c r="E9" s="1091"/>
      <c r="F9" s="1092"/>
      <c r="G9" s="1092"/>
      <c r="H9" s="1092"/>
      <c r="I9" s="1092"/>
      <c r="J9" s="88"/>
      <c r="K9" s="1083"/>
      <c r="L9" s="1082"/>
      <c r="M9" s="1083"/>
      <c r="N9" s="347"/>
      <c r="O9" s="338"/>
      <c r="Q9" s="1081"/>
    </row>
    <row r="10" spans="1:17" ht="18.75" customHeight="1" x14ac:dyDescent="0.25">
      <c r="A10" s="93" t="s">
        <v>15</v>
      </c>
      <c r="B10" s="91"/>
      <c r="C10" s="308"/>
      <c r="D10" s="91"/>
      <c r="E10" s="309"/>
      <c r="F10" s="144">
        <v>1.9742400000000004E-2</v>
      </c>
      <c r="G10" s="144">
        <v>7.9074074074074064E-3</v>
      </c>
      <c r="H10" s="231">
        <v>3.5000000000000003E-2</v>
      </c>
      <c r="I10" s="144">
        <v>7.7600000000000002E-2</v>
      </c>
      <c r="J10" s="145"/>
      <c r="K10" s="92"/>
      <c r="L10" s="209">
        <f>+'CX cxj Año1 '!L10</f>
        <v>0.53</v>
      </c>
      <c r="M10" s="92"/>
      <c r="N10" s="348"/>
      <c r="O10" s="339"/>
      <c r="Q10" s="311"/>
    </row>
    <row r="11" spans="1:17" x14ac:dyDescent="0.2">
      <c r="A11" s="96" t="s">
        <v>3</v>
      </c>
      <c r="B11" s="84"/>
      <c r="C11" s="89"/>
      <c r="D11" s="84"/>
      <c r="E11" s="89"/>
      <c r="F11" s="90"/>
      <c r="G11" s="69"/>
      <c r="H11" s="90"/>
      <c r="I11" s="97"/>
      <c r="J11" s="69"/>
      <c r="K11" s="106"/>
      <c r="L11" s="90"/>
      <c r="M11" s="97"/>
      <c r="N11" s="20"/>
      <c r="O11" s="20"/>
      <c r="Q11" s="312"/>
    </row>
    <row r="12" spans="1:17" x14ac:dyDescent="0.2">
      <c r="A12" s="98" t="s">
        <v>86</v>
      </c>
      <c r="B12" s="26" t="str">
        <f>+[6]VNR2004!B8</f>
        <v>Miles B/./Salida</v>
      </c>
      <c r="C12" s="71">
        <f>+'CX cxj Año3'!C12</f>
        <v>3750.9816450146568</v>
      </c>
      <c r="D12" s="26">
        <f>+' VNR'!D5</f>
        <v>3</v>
      </c>
      <c r="E12" s="71">
        <f>+C12/D12</f>
        <v>1250.3272150048856</v>
      </c>
      <c r="F12" s="26">
        <f>$E12*$F$10</f>
        <v>24.68446000951246</v>
      </c>
      <c r="G12" s="72">
        <f>+$E12*$G$10</f>
        <v>9.8868466816127061</v>
      </c>
      <c r="H12" s="26">
        <f>$E12*$H$10</f>
        <v>43.761452525171002</v>
      </c>
      <c r="I12" s="99">
        <f>$E12*$I$10</f>
        <v>97.025391884379133</v>
      </c>
      <c r="J12" s="70"/>
      <c r="K12" s="107">
        <f>+F12+G12+H12+I12</f>
        <v>175.35815110067529</v>
      </c>
      <c r="L12" s="108"/>
      <c r="M12" s="297">
        <f>ROUND(+K12*$L$10,2)</f>
        <v>92.94</v>
      </c>
      <c r="N12" s="51"/>
      <c r="O12" s="344">
        <v>12</v>
      </c>
      <c r="P12" s="124"/>
      <c r="Q12" s="313">
        <f>+M12*D12/12*O12</f>
        <v>278.82</v>
      </c>
    </row>
    <row r="13" spans="1:17" x14ac:dyDescent="0.2">
      <c r="A13" s="98" t="s">
        <v>87</v>
      </c>
      <c r="B13" s="26" t="str">
        <f>+[6]VNR2004!B9</f>
        <v>Miles B/./Salida</v>
      </c>
      <c r="C13" s="71">
        <f>+'CX cxj Año3'!C13</f>
        <v>17598.423534825444</v>
      </c>
      <c r="D13" s="26">
        <f>+' VNR'!D6</f>
        <v>13</v>
      </c>
      <c r="E13" s="71">
        <f>+C13/D13</f>
        <v>1353.724887294265</v>
      </c>
      <c r="F13" s="26">
        <f>$E13*$F$10</f>
        <v>26.725778214918304</v>
      </c>
      <c r="G13" s="72">
        <f t="shared" ref="G13:G26" si="0">+$E13*$G$10</f>
        <v>10.704454201382427</v>
      </c>
      <c r="H13" s="26">
        <f t="shared" ref="H13:H26" si="1">$E13*$H$10</f>
        <v>47.380371055299278</v>
      </c>
      <c r="I13" s="99">
        <f t="shared" ref="I13:I26" si="2">$E13*$I$10</f>
        <v>105.04905125403496</v>
      </c>
      <c r="J13" s="70"/>
      <c r="K13" s="107">
        <f t="shared" ref="K13:K19" si="3">+F13+G13+H13+I13</f>
        <v>189.85965472563498</v>
      </c>
      <c r="L13" s="108"/>
      <c r="M13" s="297">
        <f t="shared" ref="M13:M23" si="4">ROUND(+K13*$L$10,2)</f>
        <v>100.63</v>
      </c>
      <c r="N13" s="51"/>
      <c r="O13" s="344">
        <v>12</v>
      </c>
      <c r="Q13" s="313">
        <f t="shared" ref="Q13:Q15" si="5">+M13*D13/12*O13</f>
        <v>1308.19</v>
      </c>
    </row>
    <row r="14" spans="1:17" x14ac:dyDescent="0.2">
      <c r="A14" s="98" t="s">
        <v>88</v>
      </c>
      <c r="B14" s="26" t="str">
        <f>+[6]VNR2004!B10</f>
        <v>Miles B/./Salida</v>
      </c>
      <c r="C14" s="71">
        <f>+'CX cxj Año3'!C14</f>
        <v>1916.0446062704473</v>
      </c>
      <c r="D14" s="26">
        <f>+' VNR'!D7</f>
        <v>3</v>
      </c>
      <c r="E14" s="71">
        <f>+C14/D14</f>
        <v>638.68153542348239</v>
      </c>
      <c r="F14" s="26">
        <f t="shared" ref="F14:F19" si="6">$E14*$F$10</f>
        <v>12.609106344944561</v>
      </c>
      <c r="G14" s="72">
        <f t="shared" si="0"/>
        <v>5.0503151041819807</v>
      </c>
      <c r="H14" s="26">
        <f t="shared" si="1"/>
        <v>22.353853739821886</v>
      </c>
      <c r="I14" s="99">
        <f t="shared" si="2"/>
        <v>49.561687148862234</v>
      </c>
      <c r="J14" s="70"/>
      <c r="K14" s="107">
        <f t="shared" si="3"/>
        <v>89.574962337810661</v>
      </c>
      <c r="L14" s="108"/>
      <c r="M14" s="297">
        <f t="shared" si="4"/>
        <v>47.47</v>
      </c>
      <c r="N14" s="51"/>
      <c r="O14" s="344">
        <v>12</v>
      </c>
      <c r="Q14" s="313">
        <f t="shared" si="5"/>
        <v>142.41</v>
      </c>
    </row>
    <row r="15" spans="1:17" x14ac:dyDescent="0.2">
      <c r="A15" s="98" t="s">
        <v>89</v>
      </c>
      <c r="B15" s="26" t="str">
        <f>+[6]VNR2004!B11</f>
        <v>Miles B/./Salida</v>
      </c>
      <c r="C15" s="71">
        <f>+'CX cxj Año3'!C15</f>
        <v>4453.5673817361767</v>
      </c>
      <c r="D15" s="26">
        <f>+' VNR'!D8</f>
        <v>3</v>
      </c>
      <c r="E15" s="71">
        <f>+C15/D15</f>
        <v>1484.5224605787255</v>
      </c>
      <c r="F15" s="26">
        <f>$E15*$F$10</f>
        <v>29.308036225729435</v>
      </c>
      <c r="G15" s="72">
        <f t="shared" si="0"/>
        <v>11.738723901242883</v>
      </c>
      <c r="H15" s="26">
        <f t="shared" si="1"/>
        <v>51.958286120255394</v>
      </c>
      <c r="I15" s="99">
        <f t="shared" si="2"/>
        <v>115.19894294090911</v>
      </c>
      <c r="J15" s="70"/>
      <c r="K15" s="107">
        <f t="shared" si="3"/>
        <v>208.2039891881368</v>
      </c>
      <c r="L15" s="108"/>
      <c r="M15" s="297">
        <f t="shared" si="4"/>
        <v>110.35</v>
      </c>
      <c r="N15" s="51"/>
      <c r="O15" s="344">
        <v>12</v>
      </c>
      <c r="Q15" s="313">
        <f t="shared" si="5"/>
        <v>331.04999999999995</v>
      </c>
    </row>
    <row r="16" spans="1:17" x14ac:dyDescent="0.2">
      <c r="A16" s="98" t="s">
        <v>98</v>
      </c>
      <c r="B16" s="68" t="s">
        <v>68</v>
      </c>
      <c r="C16" s="71">
        <f>+'CX cxj Año3'!C16</f>
        <v>0</v>
      </c>
      <c r="D16" s="26">
        <f>+' VNR'!D9</f>
        <v>0</v>
      </c>
      <c r="E16" s="71">
        <f>+' VNR'!E9</f>
        <v>0</v>
      </c>
      <c r="F16" s="26">
        <f t="shared" si="6"/>
        <v>0</v>
      </c>
      <c r="G16" s="72">
        <f t="shared" si="0"/>
        <v>0</v>
      </c>
      <c r="H16" s="26">
        <f t="shared" si="1"/>
        <v>0</v>
      </c>
      <c r="I16" s="99">
        <f t="shared" si="2"/>
        <v>0</v>
      </c>
      <c r="J16" s="70"/>
      <c r="K16" s="298" t="s">
        <v>128</v>
      </c>
      <c r="L16" s="108"/>
      <c r="M16" s="298" t="s">
        <v>128</v>
      </c>
      <c r="N16" s="333"/>
      <c r="O16" s="345"/>
      <c r="Q16" s="313">
        <f>+' VNR'!O9</f>
        <v>0</v>
      </c>
    </row>
    <row r="17" spans="1:17" x14ac:dyDescent="0.2">
      <c r="A17" s="98" t="s">
        <v>99</v>
      </c>
      <c r="B17" s="26" t="str">
        <f>+[6]VNR2004!B13</f>
        <v>Miles B/./Salida</v>
      </c>
      <c r="C17" s="71">
        <f>+'CX cxj Año3'!C17</f>
        <v>0</v>
      </c>
      <c r="D17" s="26"/>
      <c r="E17" s="71"/>
      <c r="F17" s="26">
        <f t="shared" si="6"/>
        <v>0</v>
      </c>
      <c r="G17" s="72">
        <f t="shared" si="0"/>
        <v>0</v>
      </c>
      <c r="H17" s="26">
        <f t="shared" si="1"/>
        <v>0</v>
      </c>
      <c r="I17" s="99">
        <f t="shared" si="2"/>
        <v>0</v>
      </c>
      <c r="J17" s="70"/>
      <c r="K17" s="211" t="s">
        <v>128</v>
      </c>
      <c r="L17" s="108"/>
      <c r="M17" s="298" t="s">
        <v>128</v>
      </c>
      <c r="N17" s="333"/>
      <c r="O17" s="345"/>
      <c r="Q17" s="313"/>
    </row>
    <row r="18" spans="1:17" x14ac:dyDescent="0.2">
      <c r="A18" s="119" t="s">
        <v>90</v>
      </c>
      <c r="B18" s="68" t="s">
        <v>68</v>
      </c>
      <c r="C18" s="71">
        <f>+'CX cxj Año3'!C18</f>
        <v>21472.603736699202</v>
      </c>
      <c r="D18" s="26">
        <f>+' VNR'!D11</f>
        <v>5</v>
      </c>
      <c r="E18" s="71">
        <f>+C18/D18</f>
        <v>4294.5207473398405</v>
      </c>
      <c r="F18" s="26">
        <f>$E18*$F$10</f>
        <v>84.784146402282076</v>
      </c>
      <c r="G18" s="72">
        <f>+$E18*$G$10</f>
        <v>33.958525168779843</v>
      </c>
      <c r="H18" s="26">
        <f t="shared" si="1"/>
        <v>150.30822615689442</v>
      </c>
      <c r="I18" s="99">
        <f t="shared" si="2"/>
        <v>333.25480999357166</v>
      </c>
      <c r="J18" s="70"/>
      <c r="K18" s="210">
        <f t="shared" si="3"/>
        <v>602.30570772152805</v>
      </c>
      <c r="L18" s="108"/>
      <c r="M18" s="297">
        <f>ROUND(+K18*$L$10,2)</f>
        <v>319.22000000000003</v>
      </c>
      <c r="N18" s="51"/>
      <c r="O18" s="344">
        <v>12</v>
      </c>
      <c r="Q18" s="313">
        <f t="shared" ref="Q18:Q19" si="7">+M18*D18/12*O18</f>
        <v>1596.1000000000004</v>
      </c>
    </row>
    <row r="19" spans="1:17" x14ac:dyDescent="0.2">
      <c r="A19" s="214" t="s">
        <v>168</v>
      </c>
      <c r="B19" s="68" t="s">
        <v>68</v>
      </c>
      <c r="C19" s="71">
        <v>0</v>
      </c>
      <c r="D19" s="26">
        <v>0</v>
      </c>
      <c r="E19" s="71">
        <v>0</v>
      </c>
      <c r="F19" s="26">
        <f t="shared" si="6"/>
        <v>0</v>
      </c>
      <c r="G19" s="72">
        <f t="shared" si="0"/>
        <v>0</v>
      </c>
      <c r="H19" s="26">
        <f t="shared" si="1"/>
        <v>0</v>
      </c>
      <c r="I19" s="99">
        <f t="shared" si="2"/>
        <v>0</v>
      </c>
      <c r="J19" s="70"/>
      <c r="K19" s="210">
        <f t="shared" si="3"/>
        <v>0</v>
      </c>
      <c r="L19" s="108"/>
      <c r="M19" s="297">
        <f>ROUND(+K19*$L$10,2)</f>
        <v>0</v>
      </c>
      <c r="N19" s="51"/>
      <c r="O19" s="297">
        <v>0</v>
      </c>
      <c r="Q19" s="313">
        <f t="shared" si="7"/>
        <v>0</v>
      </c>
    </row>
    <row r="20" spans="1:17" x14ac:dyDescent="0.2">
      <c r="A20" s="316" t="s">
        <v>4</v>
      </c>
      <c r="B20" s="26"/>
      <c r="C20" s="71"/>
      <c r="D20" s="26"/>
      <c r="E20" s="71"/>
      <c r="F20" s="26"/>
      <c r="G20" s="72"/>
      <c r="H20" s="26"/>
      <c r="I20" s="99"/>
      <c r="J20" s="70"/>
      <c r="K20" s="210"/>
      <c r="L20" s="108"/>
      <c r="M20" s="297"/>
      <c r="N20" s="51"/>
      <c r="O20" s="344"/>
      <c r="Q20" s="313"/>
    </row>
    <row r="21" spans="1:17" x14ac:dyDescent="0.2">
      <c r="A21" s="125" t="str">
        <f>+' VNR'!B15</f>
        <v>CXTR Reductor 60/80/100 MVA</v>
      </c>
      <c r="B21" s="26" t="s">
        <v>97</v>
      </c>
      <c r="C21" s="71">
        <f>+'CX cxj Año3'!C21</f>
        <v>5900</v>
      </c>
      <c r="D21" s="26">
        <f>+'CX cxj Año3'!D21</f>
        <v>200</v>
      </c>
      <c r="E21" s="71">
        <f>+C21/D21</f>
        <v>29.5</v>
      </c>
      <c r="F21" s="26">
        <f>$E21*$F$10</f>
        <v>0.58240080000000016</v>
      </c>
      <c r="G21" s="72">
        <f>+$E21*$G$10</f>
        <v>0.23326851851851849</v>
      </c>
      <c r="H21" s="26">
        <f t="shared" si="1"/>
        <v>1.0325000000000002</v>
      </c>
      <c r="I21" s="99">
        <f t="shared" si="2"/>
        <v>2.2892000000000001</v>
      </c>
      <c r="J21" s="70"/>
      <c r="K21" s="212">
        <f>+G21+F21+H21+I21</f>
        <v>4.1373693185185187</v>
      </c>
      <c r="L21" s="108"/>
      <c r="M21" s="297">
        <f t="shared" si="4"/>
        <v>2.19</v>
      </c>
      <c r="N21" s="51"/>
      <c r="O21" s="344">
        <v>12</v>
      </c>
      <c r="Q21" s="313">
        <f t="shared" ref="Q21:Q24" si="8">+M21*D21/12*O21</f>
        <v>438</v>
      </c>
    </row>
    <row r="22" spans="1:17" x14ac:dyDescent="0.2">
      <c r="A22" s="126" t="s">
        <v>5</v>
      </c>
      <c r="B22" s="26" t="s">
        <v>97</v>
      </c>
      <c r="C22" s="71">
        <f>+'CX cxj Año3'!C22</f>
        <v>5400</v>
      </c>
      <c r="D22" s="26">
        <f>+'CX cxj Año3'!D22</f>
        <v>140</v>
      </c>
      <c r="E22" s="71">
        <f t="shared" ref="E22:E24" si="9">+C22/D22</f>
        <v>38.571428571428569</v>
      </c>
      <c r="F22" s="26">
        <f t="shared" ref="F22:F24" si="10">$E22*$F$10</f>
        <v>0.76149257142857152</v>
      </c>
      <c r="G22" s="72">
        <f t="shared" ref="G22:G24" si="11">+$E22*$G$10</f>
        <v>0.30499999999999994</v>
      </c>
      <c r="H22" s="26">
        <f t="shared" si="1"/>
        <v>1.35</v>
      </c>
      <c r="I22" s="99">
        <f t="shared" si="2"/>
        <v>2.9931428571428569</v>
      </c>
      <c r="J22" s="70"/>
      <c r="K22" s="212">
        <f>+G22+F22+H22+I22</f>
        <v>5.4096354285714288</v>
      </c>
      <c r="L22" s="108"/>
      <c r="M22" s="297">
        <f t="shared" si="4"/>
        <v>2.87</v>
      </c>
      <c r="N22" s="51"/>
      <c r="O22" s="344">
        <v>12</v>
      </c>
      <c r="Q22" s="313">
        <f t="shared" si="8"/>
        <v>401.8</v>
      </c>
    </row>
    <row r="23" spans="1:17" x14ac:dyDescent="0.2">
      <c r="A23" s="126" t="s">
        <v>6</v>
      </c>
      <c r="B23" s="26" t="s">
        <v>97</v>
      </c>
      <c r="C23" s="71">
        <f>+'CX cxj Año3'!C23</f>
        <v>4300</v>
      </c>
      <c r="D23" s="26">
        <f>+'CX cxj Año3'!D23</f>
        <v>100</v>
      </c>
      <c r="E23" s="71">
        <f t="shared" si="9"/>
        <v>43</v>
      </c>
      <c r="F23" s="26">
        <f t="shared" si="10"/>
        <v>0.84892320000000021</v>
      </c>
      <c r="G23" s="72">
        <f t="shared" si="11"/>
        <v>0.3400185185185185</v>
      </c>
      <c r="H23" s="26">
        <f t="shared" si="1"/>
        <v>1.5050000000000001</v>
      </c>
      <c r="I23" s="99">
        <f t="shared" si="2"/>
        <v>3.3368000000000002</v>
      </c>
      <c r="J23" s="70"/>
      <c r="K23" s="111">
        <f>+G23+F23+H23+I23</f>
        <v>6.0307417185185193</v>
      </c>
      <c r="L23" s="108"/>
      <c r="M23" s="297">
        <f t="shared" si="4"/>
        <v>3.2</v>
      </c>
      <c r="N23" s="51"/>
      <c r="O23" s="344">
        <v>12</v>
      </c>
      <c r="Q23" s="313">
        <f t="shared" si="8"/>
        <v>320</v>
      </c>
    </row>
    <row r="24" spans="1:17" x14ac:dyDescent="0.2">
      <c r="A24" s="320" t="s">
        <v>7</v>
      </c>
      <c r="B24" s="26" t="s">
        <v>97</v>
      </c>
      <c r="C24" s="71">
        <f>+'CX cxj Año3'!C24</f>
        <v>810</v>
      </c>
      <c r="D24" s="26">
        <f>+'CX cxj Año3'!D24</f>
        <v>24</v>
      </c>
      <c r="E24" s="71">
        <f t="shared" si="9"/>
        <v>33.75</v>
      </c>
      <c r="F24" s="26">
        <f t="shared" si="10"/>
        <v>0.66630600000000018</v>
      </c>
      <c r="G24" s="72">
        <f t="shared" si="11"/>
        <v>0.26687499999999997</v>
      </c>
      <c r="H24" s="26">
        <f t="shared" si="1"/>
        <v>1.1812500000000001</v>
      </c>
      <c r="I24" s="99">
        <f t="shared" si="2"/>
        <v>2.6190000000000002</v>
      </c>
      <c r="J24" s="70"/>
      <c r="K24" s="111">
        <f>+G24+F24+H24+I24</f>
        <v>4.7334310000000004</v>
      </c>
      <c r="L24" s="108"/>
      <c r="M24" s="297">
        <f>ROUND(+K24*$L$10,2)</f>
        <v>2.5099999999999998</v>
      </c>
      <c r="N24" s="51"/>
      <c r="O24" s="344">
        <v>12</v>
      </c>
      <c r="P24" s="33"/>
      <c r="Q24" s="313">
        <f t="shared" si="8"/>
        <v>60.239999999999995</v>
      </c>
    </row>
    <row r="25" spans="1:17" x14ac:dyDescent="0.2">
      <c r="A25" s="120" t="s">
        <v>8</v>
      </c>
      <c r="B25" s="213" t="s">
        <v>11</v>
      </c>
      <c r="C25" s="71"/>
      <c r="D25" s="213"/>
      <c r="E25" s="71"/>
      <c r="F25" s="26"/>
      <c r="G25" s="72"/>
      <c r="H25" s="26"/>
      <c r="I25" s="99"/>
      <c r="J25" s="70"/>
      <c r="K25" s="111"/>
      <c r="L25" s="108"/>
      <c r="M25" s="109"/>
      <c r="N25" s="51"/>
      <c r="O25" s="346"/>
      <c r="P25" s="33"/>
      <c r="Q25" s="313"/>
    </row>
    <row r="26" spans="1:17" x14ac:dyDescent="0.2">
      <c r="A26" s="100" t="s">
        <v>135</v>
      </c>
      <c r="B26" s="26" t="str">
        <f>+[6]VNR2004!B21</f>
        <v>Miles B/./km</v>
      </c>
      <c r="C26" s="71">
        <f>+'CX cxj Año3'!C26</f>
        <v>6494.7631425745503</v>
      </c>
      <c r="D26" s="26">
        <f>+' VNR'!E76</f>
        <v>38.299999999999997</v>
      </c>
      <c r="E26" s="71">
        <f>+' VNR'!E22</f>
        <v>169.57606116382638</v>
      </c>
      <c r="F26" s="26">
        <f>$E26*$F$10</f>
        <v>3.3478384299207264</v>
      </c>
      <c r="G26" s="72">
        <f t="shared" si="0"/>
        <v>1.340907002165812</v>
      </c>
      <c r="H26" s="26">
        <f t="shared" si="1"/>
        <v>5.9351621407339241</v>
      </c>
      <c r="I26" s="99">
        <f t="shared" si="2"/>
        <v>13.159102346312928</v>
      </c>
      <c r="J26" s="70"/>
      <c r="K26" s="107">
        <f t="shared" ref="K26:K31" si="12">+F26+G26+H26+I26</f>
        <v>23.783009919133391</v>
      </c>
      <c r="L26" s="108"/>
      <c r="M26" s="109">
        <f>ROUND(+K26*$L$10,2)</f>
        <v>12.6</v>
      </c>
      <c r="N26" s="51"/>
      <c r="O26" s="344">
        <v>12</v>
      </c>
      <c r="P26" s="33"/>
      <c r="Q26" s="313">
        <f t="shared" ref="Q26" si="13">+M26*D26/12*O26</f>
        <v>482.57999999999993</v>
      </c>
    </row>
    <row r="27" spans="1:17" x14ac:dyDescent="0.2">
      <c r="A27" s="100" t="s">
        <v>139</v>
      </c>
      <c r="B27" s="26" t="str">
        <f>+[6]VNR2004!B22</f>
        <v>Miles B/./km</v>
      </c>
      <c r="C27" s="71"/>
      <c r="D27" s="26"/>
      <c r="E27" s="71"/>
      <c r="F27" s="26"/>
      <c r="G27" s="72"/>
      <c r="H27" s="26"/>
      <c r="I27" s="99"/>
      <c r="J27" s="70"/>
      <c r="K27" s="107">
        <f t="shared" si="12"/>
        <v>0</v>
      </c>
      <c r="L27" s="108"/>
      <c r="M27" s="110" t="s">
        <v>128</v>
      </c>
      <c r="N27" s="333"/>
      <c r="O27" s="333"/>
      <c r="P27" s="33"/>
      <c r="Q27" s="313">
        <f>+' VNR'!O23</f>
        <v>0</v>
      </c>
    </row>
    <row r="28" spans="1:17" x14ac:dyDescent="0.2">
      <c r="A28" s="100" t="s">
        <v>93</v>
      </c>
      <c r="B28" s="26" t="str">
        <f>+[6]VNR2004!B23</f>
        <v>Miles B/./km</v>
      </c>
      <c r="C28" s="71"/>
      <c r="D28" s="26"/>
      <c r="E28" s="71"/>
      <c r="F28" s="26"/>
      <c r="G28" s="72"/>
      <c r="H28" s="26"/>
      <c r="I28" s="99"/>
      <c r="J28" s="70"/>
      <c r="K28" s="107">
        <f t="shared" si="12"/>
        <v>0</v>
      </c>
      <c r="L28" s="108"/>
      <c r="M28" s="110" t="s">
        <v>128</v>
      </c>
      <c r="N28" s="333"/>
      <c r="O28" s="333"/>
      <c r="Q28" s="313">
        <f>+' VNR'!O24</f>
        <v>0</v>
      </c>
    </row>
    <row r="29" spans="1:17" x14ac:dyDescent="0.2">
      <c r="A29" s="100" t="s">
        <v>134</v>
      </c>
      <c r="B29" s="26" t="str">
        <f>+[6]VNR2004!B24</f>
        <v>Miles B/./km</v>
      </c>
      <c r="C29" s="143"/>
      <c r="D29" s="94"/>
      <c r="E29" s="143"/>
      <c r="F29" s="26"/>
      <c r="G29" s="72"/>
      <c r="H29" s="26"/>
      <c r="I29" s="99"/>
      <c r="J29" s="70"/>
      <c r="K29" s="107">
        <f t="shared" si="12"/>
        <v>0</v>
      </c>
      <c r="L29" s="112"/>
      <c r="M29" s="110" t="s">
        <v>128</v>
      </c>
      <c r="N29" s="333"/>
      <c r="O29" s="333"/>
      <c r="Q29" s="314">
        <f>+' VNR'!K25</f>
        <v>0</v>
      </c>
    </row>
    <row r="30" spans="1:17" x14ac:dyDescent="0.2">
      <c r="A30" s="100" t="s">
        <v>138</v>
      </c>
      <c r="B30" s="68" t="s">
        <v>136</v>
      </c>
      <c r="C30" s="143"/>
      <c r="D30" s="310"/>
      <c r="E30" s="143"/>
      <c r="F30" s="94"/>
      <c r="G30" s="95"/>
      <c r="H30" s="94"/>
      <c r="I30" s="101"/>
      <c r="J30" s="70"/>
      <c r="K30" s="113">
        <f t="shared" si="12"/>
        <v>0</v>
      </c>
      <c r="L30" s="112"/>
      <c r="M30" s="110" t="s">
        <v>128</v>
      </c>
      <c r="N30" s="333"/>
      <c r="O30" s="333"/>
      <c r="Q30" s="314">
        <f>+' VNR'!K26</f>
        <v>0</v>
      </c>
    </row>
    <row r="31" spans="1:17" ht="13.5" thickBot="1" x14ac:dyDescent="0.25">
      <c r="A31" s="102" t="s">
        <v>137</v>
      </c>
      <c r="B31" s="103" t="str">
        <f>+[6]VNR2004!B24</f>
        <v>Miles B/./km</v>
      </c>
      <c r="C31" s="105"/>
      <c r="D31" s="103"/>
      <c r="E31" s="105"/>
      <c r="F31" s="103"/>
      <c r="G31" s="104"/>
      <c r="H31" s="103"/>
      <c r="I31" s="105"/>
      <c r="J31" s="70"/>
      <c r="K31" s="114">
        <f t="shared" si="12"/>
        <v>0</v>
      </c>
      <c r="L31" s="115"/>
      <c r="M31" s="116" t="s">
        <v>128</v>
      </c>
      <c r="N31" s="333"/>
      <c r="O31" s="333"/>
      <c r="Q31" s="315">
        <f>+' VNR'!O27</f>
        <v>0</v>
      </c>
    </row>
    <row r="32" spans="1:17" x14ac:dyDescent="0.2">
      <c r="A32" s="86"/>
      <c r="C32" s="39"/>
      <c r="Q32" s="39"/>
    </row>
    <row r="33" spans="1:17" x14ac:dyDescent="0.2">
      <c r="A33" s="86"/>
      <c r="B33" s="331"/>
      <c r="C33" s="331"/>
      <c r="D33" s="331"/>
      <c r="E33" s="331"/>
      <c r="F33" s="331"/>
      <c r="G33" s="332"/>
      <c r="H33" s="331"/>
      <c r="I33" s="331"/>
      <c r="J33" s="20"/>
      <c r="K33" s="332"/>
      <c r="L33" s="27"/>
      <c r="M33" s="333"/>
      <c r="N33" s="333"/>
      <c r="O33" s="333"/>
      <c r="Q33" s="331"/>
    </row>
    <row r="34" spans="1:17" x14ac:dyDescent="0.2">
      <c r="A34" s="86"/>
      <c r="C34" s="39"/>
      <c r="P34" s="31" t="s">
        <v>12</v>
      </c>
      <c r="Q34" s="39">
        <f>SUM(Q12:Q24)</f>
        <v>4876.6100000000006</v>
      </c>
    </row>
    <row r="38" spans="1:17" x14ac:dyDescent="0.2">
      <c r="Q38" s="39">
        <f>+Q26</f>
        <v>482.57999999999993</v>
      </c>
    </row>
    <row r="39" spans="1:17" x14ac:dyDescent="0.2">
      <c r="Q39" s="39">
        <f>+Q34+Q38</f>
        <v>5359.1900000000005</v>
      </c>
    </row>
  </sheetData>
  <sheetProtection algorithmName="SHA-512" hashValue="S8EsSDttXXiEaasKxaC6rEDIUlsIorTeOe9MwW5XNs8tyjw+EGEh6r7EYtGX82fXwtdhp35ATuoxE8k7QqXUrw==" saltValue="ZF6MGlhNn6KNlbM3cCwRPQ==" spinCount="100000" sheet="1" objects="1" scenarios="1"/>
  <mergeCells count="18">
    <mergeCell ref="A8:A9"/>
    <mergeCell ref="B8:B9"/>
    <mergeCell ref="C8:C9"/>
    <mergeCell ref="D8:D9"/>
    <mergeCell ref="E8:E9"/>
    <mergeCell ref="A1:K1"/>
    <mergeCell ref="A2:K2"/>
    <mergeCell ref="A3:D6"/>
    <mergeCell ref="E3:K3"/>
    <mergeCell ref="E5:K5"/>
    <mergeCell ref="L8:L9"/>
    <mergeCell ref="M8:M9"/>
    <mergeCell ref="Q8:Q9"/>
    <mergeCell ref="F8:F9"/>
    <mergeCell ref="G8:G9"/>
    <mergeCell ref="I8:I9"/>
    <mergeCell ref="K8:K9"/>
    <mergeCell ref="H8:H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" workbookViewId="0">
      <selection activeCell="E25" sqref="E25"/>
    </sheetView>
  </sheetViews>
  <sheetFormatPr baseColWidth="10" defaultRowHeight="15" x14ac:dyDescent="0.25"/>
  <cols>
    <col min="1" max="1" width="7.28515625" style="957" customWidth="1"/>
    <col min="2" max="2" width="67.140625" style="881" customWidth="1"/>
    <col min="3" max="3" width="11.42578125" style="881"/>
    <col min="4" max="4" width="35" style="958" customWidth="1"/>
    <col min="5" max="5" width="14.85546875" style="881" customWidth="1"/>
    <col min="6" max="7" width="11.42578125" style="881"/>
    <col min="8" max="8" width="14.140625" style="881" bestFit="1" customWidth="1"/>
    <col min="9" max="16384" width="11.42578125" style="881"/>
  </cols>
  <sheetData>
    <row r="1" spans="1:7" ht="30" customHeight="1" thickBot="1" x14ac:dyDescent="0.3">
      <c r="A1" s="1096" t="s">
        <v>577</v>
      </c>
      <c r="B1" s="1097"/>
      <c r="C1" s="1097"/>
      <c r="D1" s="1097"/>
      <c r="E1" s="1098"/>
    </row>
    <row r="2" spans="1:7" ht="30" customHeight="1" thickBot="1" x14ac:dyDescent="0.3">
      <c r="A2" s="882" t="s">
        <v>578</v>
      </c>
      <c r="B2" s="883" t="s">
        <v>579</v>
      </c>
      <c r="C2" s="884" t="s">
        <v>70</v>
      </c>
      <c r="D2" s="885" t="s">
        <v>580</v>
      </c>
      <c r="E2" s="886" t="s">
        <v>581</v>
      </c>
    </row>
    <row r="3" spans="1:7" ht="15" customHeight="1" x14ac:dyDescent="0.25">
      <c r="A3" s="887">
        <v>1</v>
      </c>
      <c r="B3" s="888" t="s">
        <v>582</v>
      </c>
      <c r="C3" s="889">
        <v>0</v>
      </c>
      <c r="D3" s="890">
        <v>65250</v>
      </c>
      <c r="E3" s="891">
        <f>C3*D3</f>
        <v>0</v>
      </c>
    </row>
    <row r="4" spans="1:7" ht="15" customHeight="1" x14ac:dyDescent="0.25">
      <c r="A4" s="892">
        <f>+A3+1</f>
        <v>2</v>
      </c>
      <c r="B4" s="893" t="s">
        <v>583</v>
      </c>
      <c r="C4" s="889">
        <v>0</v>
      </c>
      <c r="D4" s="894">
        <v>74065.080135988333</v>
      </c>
      <c r="E4" s="891"/>
    </row>
    <row r="5" spans="1:7" ht="15" customHeight="1" x14ac:dyDescent="0.25">
      <c r="A5" s="892">
        <f t="shared" ref="A5:A40" si="0">+A4+1</f>
        <v>3</v>
      </c>
      <c r="B5" s="895" t="s">
        <v>584</v>
      </c>
      <c r="C5" s="889">
        <v>0</v>
      </c>
      <c r="D5" s="894">
        <v>19871.249588590235</v>
      </c>
      <c r="E5" s="896">
        <f t="shared" ref="E5:E39" si="1">C5*D5</f>
        <v>0</v>
      </c>
      <c r="G5" s="897"/>
    </row>
    <row r="6" spans="1:7" ht="15" customHeight="1" x14ac:dyDescent="0.25">
      <c r="A6" s="892">
        <f t="shared" si="0"/>
        <v>4</v>
      </c>
      <c r="B6" s="893" t="s">
        <v>585</v>
      </c>
      <c r="C6" s="898">
        <v>0</v>
      </c>
      <c r="D6" s="894">
        <v>17539.134129330989</v>
      </c>
      <c r="E6" s="896">
        <f t="shared" si="1"/>
        <v>0</v>
      </c>
      <c r="G6" s="897"/>
    </row>
    <row r="7" spans="1:7" ht="15" customHeight="1" x14ac:dyDescent="0.25">
      <c r="A7" s="892">
        <f t="shared" si="0"/>
        <v>5</v>
      </c>
      <c r="B7" s="893" t="s">
        <v>586</v>
      </c>
      <c r="C7" s="889">
        <v>0</v>
      </c>
      <c r="D7" s="894">
        <v>10356</v>
      </c>
      <c r="E7" s="896">
        <f t="shared" si="1"/>
        <v>0</v>
      </c>
      <c r="G7" s="897"/>
    </row>
    <row r="8" spans="1:7" ht="15" customHeight="1" x14ac:dyDescent="0.25">
      <c r="A8" s="892">
        <f t="shared" si="0"/>
        <v>6</v>
      </c>
      <c r="B8" s="893" t="s">
        <v>587</v>
      </c>
      <c r="C8" s="889">
        <v>0</v>
      </c>
      <c r="D8" s="894">
        <v>11733</v>
      </c>
      <c r="E8" s="896">
        <f t="shared" si="1"/>
        <v>0</v>
      </c>
    </row>
    <row r="9" spans="1:7" ht="15" customHeight="1" x14ac:dyDescent="0.25">
      <c r="A9" s="892">
        <f t="shared" si="0"/>
        <v>7</v>
      </c>
      <c r="B9" s="893" t="s">
        <v>588</v>
      </c>
      <c r="C9" s="889">
        <v>5</v>
      </c>
      <c r="D9" s="894">
        <v>162000</v>
      </c>
      <c r="E9" s="896">
        <f t="shared" si="1"/>
        <v>810000</v>
      </c>
    </row>
    <row r="10" spans="1:7" ht="15" customHeight="1" x14ac:dyDescent="0.25">
      <c r="A10" s="892">
        <f t="shared" si="0"/>
        <v>8</v>
      </c>
      <c r="B10" s="893" t="s">
        <v>589</v>
      </c>
      <c r="C10" s="889">
        <v>0</v>
      </c>
      <c r="D10" s="894">
        <v>164000</v>
      </c>
      <c r="E10" s="896">
        <f t="shared" si="1"/>
        <v>0</v>
      </c>
    </row>
    <row r="11" spans="1:7" ht="15" customHeight="1" x14ac:dyDescent="0.25">
      <c r="A11" s="892">
        <f t="shared" si="0"/>
        <v>9</v>
      </c>
      <c r="B11" s="893" t="s">
        <v>590</v>
      </c>
      <c r="C11" s="889">
        <v>0</v>
      </c>
      <c r="D11" s="894">
        <v>50000</v>
      </c>
      <c r="E11" s="896">
        <f t="shared" si="1"/>
        <v>0</v>
      </c>
    </row>
    <row r="12" spans="1:7" ht="15" customHeight="1" x14ac:dyDescent="0.25">
      <c r="A12" s="892">
        <f t="shared" si="0"/>
        <v>10</v>
      </c>
      <c r="B12" s="893" t="s">
        <v>591</v>
      </c>
      <c r="C12" s="889">
        <v>0</v>
      </c>
      <c r="D12" s="894">
        <v>24000</v>
      </c>
      <c r="E12" s="896">
        <f t="shared" si="1"/>
        <v>0</v>
      </c>
      <c r="G12" s="897"/>
    </row>
    <row r="13" spans="1:7" ht="15" customHeight="1" x14ac:dyDescent="0.25">
      <c r="A13" s="892">
        <f t="shared" si="0"/>
        <v>11</v>
      </c>
      <c r="B13" s="893" t="s">
        <v>592</v>
      </c>
      <c r="C13" s="889">
        <v>3</v>
      </c>
      <c r="D13" s="894">
        <v>20760</v>
      </c>
      <c r="E13" s="896">
        <f t="shared" si="1"/>
        <v>62280</v>
      </c>
      <c r="G13" s="897"/>
    </row>
    <row r="14" spans="1:7" ht="15" customHeight="1" x14ac:dyDescent="0.25">
      <c r="A14" s="892">
        <f t="shared" si="0"/>
        <v>12</v>
      </c>
      <c r="B14" s="893" t="s">
        <v>593</v>
      </c>
      <c r="C14" s="889">
        <f>+C9*2</f>
        <v>10</v>
      </c>
      <c r="D14" s="894">
        <v>16614</v>
      </c>
      <c r="E14" s="896">
        <f t="shared" si="1"/>
        <v>166140</v>
      </c>
      <c r="G14" s="897"/>
    </row>
    <row r="15" spans="1:7" ht="15" customHeight="1" x14ac:dyDescent="0.25">
      <c r="A15" s="892">
        <f t="shared" si="0"/>
        <v>13</v>
      </c>
      <c r="B15" s="893" t="s">
        <v>594</v>
      </c>
      <c r="C15" s="889">
        <v>9</v>
      </c>
      <c r="D15" s="894">
        <v>7000</v>
      </c>
      <c r="E15" s="896">
        <f t="shared" si="1"/>
        <v>63000</v>
      </c>
      <c r="G15" s="897"/>
    </row>
    <row r="16" spans="1:7" ht="15" customHeight="1" x14ac:dyDescent="0.25">
      <c r="A16" s="892">
        <f t="shared" si="0"/>
        <v>14</v>
      </c>
      <c r="B16" s="893" t="s">
        <v>595</v>
      </c>
      <c r="C16" s="889">
        <v>0</v>
      </c>
      <c r="D16" s="894">
        <v>4400</v>
      </c>
      <c r="E16" s="896">
        <f t="shared" si="1"/>
        <v>0</v>
      </c>
      <c r="G16" s="897"/>
    </row>
    <row r="17" spans="1:7" ht="15" customHeight="1" x14ac:dyDescent="0.25">
      <c r="A17" s="892">
        <f t="shared" si="0"/>
        <v>15</v>
      </c>
      <c r="B17" s="899" t="s">
        <v>596</v>
      </c>
      <c r="C17" s="889">
        <f>+C9*6</f>
        <v>30</v>
      </c>
      <c r="D17" s="894">
        <v>19000</v>
      </c>
      <c r="E17" s="896">
        <f t="shared" si="1"/>
        <v>570000</v>
      </c>
      <c r="G17" s="897"/>
    </row>
    <row r="18" spans="1:7" ht="15" customHeight="1" x14ac:dyDescent="0.25">
      <c r="A18" s="892">
        <f t="shared" si="0"/>
        <v>16</v>
      </c>
      <c r="B18" s="899" t="s">
        <v>597</v>
      </c>
      <c r="C18" s="889">
        <v>0</v>
      </c>
      <c r="D18" s="894">
        <v>13609.78260869565</v>
      </c>
      <c r="E18" s="896">
        <f t="shared" si="1"/>
        <v>0</v>
      </c>
      <c r="G18" s="897"/>
    </row>
    <row r="19" spans="1:7" ht="15" customHeight="1" x14ac:dyDescent="0.25">
      <c r="A19" s="892">
        <f t="shared" si="0"/>
        <v>17</v>
      </c>
      <c r="B19" s="899" t="s">
        <v>598</v>
      </c>
      <c r="C19" s="889">
        <v>21</v>
      </c>
      <c r="D19" s="894">
        <v>17000</v>
      </c>
      <c r="E19" s="896">
        <f t="shared" si="1"/>
        <v>357000</v>
      </c>
      <c r="G19" s="897"/>
    </row>
    <row r="20" spans="1:7" ht="15" customHeight="1" x14ac:dyDescent="0.25">
      <c r="A20" s="892">
        <f t="shared" si="0"/>
        <v>18</v>
      </c>
      <c r="B20" s="899" t="s">
        <v>599</v>
      </c>
      <c r="C20" s="889">
        <v>0</v>
      </c>
      <c r="D20" s="894">
        <v>11600</v>
      </c>
      <c r="E20" s="896">
        <f t="shared" si="1"/>
        <v>0</v>
      </c>
      <c r="G20" s="897"/>
    </row>
    <row r="21" spans="1:7" ht="15" customHeight="1" x14ac:dyDescent="0.25">
      <c r="A21" s="892">
        <f t="shared" si="0"/>
        <v>19</v>
      </c>
      <c r="B21" s="893" t="s">
        <v>600</v>
      </c>
      <c r="C21" s="889">
        <v>0</v>
      </c>
      <c r="D21" s="894">
        <v>35869.565217391311</v>
      </c>
      <c r="E21" s="896">
        <f t="shared" si="1"/>
        <v>0</v>
      </c>
      <c r="G21" s="897"/>
    </row>
    <row r="22" spans="1:7" ht="15" customHeight="1" x14ac:dyDescent="0.25">
      <c r="A22" s="892">
        <f t="shared" si="0"/>
        <v>20</v>
      </c>
      <c r="B22" s="893" t="s">
        <v>601</v>
      </c>
      <c r="C22" s="889">
        <v>0</v>
      </c>
      <c r="D22" s="894">
        <v>3500000</v>
      </c>
      <c r="E22" s="896">
        <f t="shared" si="1"/>
        <v>0</v>
      </c>
    </row>
    <row r="23" spans="1:7" ht="15" customHeight="1" x14ac:dyDescent="0.25">
      <c r="A23" s="892">
        <f t="shared" si="0"/>
        <v>21</v>
      </c>
      <c r="B23" s="893" t="s">
        <v>602</v>
      </c>
      <c r="C23" s="889">
        <v>0</v>
      </c>
      <c r="D23" s="894">
        <v>3200000</v>
      </c>
      <c r="E23" s="896">
        <f t="shared" si="1"/>
        <v>0</v>
      </c>
    </row>
    <row r="24" spans="1:7" ht="15" customHeight="1" x14ac:dyDescent="0.25">
      <c r="A24" s="892">
        <f t="shared" si="0"/>
        <v>22</v>
      </c>
      <c r="B24" s="893" t="s">
        <v>603</v>
      </c>
      <c r="C24" s="889">
        <v>0</v>
      </c>
      <c r="D24" s="894">
        <v>2000000</v>
      </c>
      <c r="E24" s="896">
        <f t="shared" si="1"/>
        <v>0</v>
      </c>
    </row>
    <row r="25" spans="1:7" ht="15" customHeight="1" x14ac:dyDescent="0.25">
      <c r="A25" s="892">
        <f t="shared" si="0"/>
        <v>23</v>
      </c>
      <c r="B25" s="893" t="s">
        <v>604</v>
      </c>
      <c r="C25" s="889">
        <v>1</v>
      </c>
      <c r="D25" s="894">
        <v>2700000</v>
      </c>
      <c r="E25" s="896">
        <f t="shared" si="1"/>
        <v>2700000</v>
      </c>
    </row>
    <row r="26" spans="1:7" ht="15" customHeight="1" x14ac:dyDescent="0.25">
      <c r="A26" s="892">
        <f t="shared" si="0"/>
        <v>24</v>
      </c>
      <c r="B26" s="893" t="s">
        <v>605</v>
      </c>
      <c r="C26" s="889">
        <v>2</v>
      </c>
      <c r="D26" s="894">
        <v>2150000</v>
      </c>
      <c r="E26" s="896">
        <f t="shared" si="1"/>
        <v>4300000</v>
      </c>
    </row>
    <row r="27" spans="1:7" ht="15" customHeight="1" x14ac:dyDescent="0.25">
      <c r="A27" s="892">
        <f t="shared" si="0"/>
        <v>25</v>
      </c>
      <c r="B27" s="893" t="s">
        <v>606</v>
      </c>
      <c r="C27" s="889">
        <v>0</v>
      </c>
      <c r="D27" s="894">
        <v>810000</v>
      </c>
      <c r="E27" s="896">
        <f t="shared" si="1"/>
        <v>0</v>
      </c>
    </row>
    <row r="28" spans="1:7" ht="15" customHeight="1" x14ac:dyDescent="0.25">
      <c r="A28" s="892">
        <f t="shared" si="0"/>
        <v>26</v>
      </c>
      <c r="B28" s="893" t="s">
        <v>607</v>
      </c>
      <c r="C28" s="889">
        <v>0</v>
      </c>
      <c r="D28" s="894">
        <v>160000</v>
      </c>
      <c r="E28" s="896">
        <f t="shared" si="1"/>
        <v>0</v>
      </c>
    </row>
    <row r="29" spans="1:7" ht="15" customHeight="1" x14ac:dyDescent="0.25">
      <c r="A29" s="892">
        <f t="shared" si="0"/>
        <v>27</v>
      </c>
      <c r="B29" s="893" t="s">
        <v>608</v>
      </c>
      <c r="C29" s="889">
        <v>0</v>
      </c>
      <c r="D29" s="894">
        <v>218000</v>
      </c>
      <c r="E29" s="896">
        <f t="shared" si="1"/>
        <v>0</v>
      </c>
    </row>
    <row r="30" spans="1:7" ht="15" customHeight="1" x14ac:dyDescent="0.25">
      <c r="A30" s="892">
        <f t="shared" si="0"/>
        <v>28</v>
      </c>
      <c r="B30" s="893" t="s">
        <v>609</v>
      </c>
      <c r="C30" s="889">
        <v>0</v>
      </c>
      <c r="D30" s="894">
        <v>850000</v>
      </c>
      <c r="E30" s="896">
        <f t="shared" si="1"/>
        <v>0</v>
      </c>
    </row>
    <row r="31" spans="1:7" ht="15" customHeight="1" x14ac:dyDescent="0.25">
      <c r="A31" s="892">
        <f t="shared" si="0"/>
        <v>29</v>
      </c>
      <c r="B31" s="893" t="s">
        <v>610</v>
      </c>
      <c r="C31" s="889">
        <v>0</v>
      </c>
      <c r="D31" s="894">
        <v>480000</v>
      </c>
      <c r="E31" s="896"/>
    </row>
    <row r="32" spans="1:7" ht="15" customHeight="1" x14ac:dyDescent="0.25">
      <c r="A32" s="892">
        <f t="shared" si="0"/>
        <v>30</v>
      </c>
      <c r="B32" s="893" t="s">
        <v>611</v>
      </c>
      <c r="C32" s="889"/>
      <c r="D32" s="894">
        <v>300000</v>
      </c>
      <c r="E32" s="896">
        <f t="shared" si="1"/>
        <v>0</v>
      </c>
    </row>
    <row r="33" spans="1:7" ht="15" customHeight="1" x14ac:dyDescent="0.25">
      <c r="A33" s="892">
        <f t="shared" si="0"/>
        <v>31</v>
      </c>
      <c r="B33" s="893" t="s">
        <v>612</v>
      </c>
      <c r="C33" s="889">
        <v>0</v>
      </c>
      <c r="D33" s="894">
        <v>200000</v>
      </c>
      <c r="E33" s="896">
        <f t="shared" si="1"/>
        <v>0</v>
      </c>
    </row>
    <row r="34" spans="1:7" ht="15" customHeight="1" x14ac:dyDescent="0.25">
      <c r="A34" s="892">
        <f t="shared" si="0"/>
        <v>32</v>
      </c>
      <c r="B34" s="893" t="s">
        <v>613</v>
      </c>
      <c r="C34" s="889">
        <v>0</v>
      </c>
      <c r="D34" s="894">
        <v>59800</v>
      </c>
      <c r="E34" s="896">
        <f t="shared" si="1"/>
        <v>0</v>
      </c>
    </row>
    <row r="35" spans="1:7" ht="15" customHeight="1" x14ac:dyDescent="0.25">
      <c r="A35" s="892">
        <f t="shared" si="0"/>
        <v>33</v>
      </c>
      <c r="B35" s="893" t="s">
        <v>614</v>
      </c>
      <c r="C35" s="889">
        <v>0</v>
      </c>
      <c r="D35" s="894">
        <v>7400</v>
      </c>
      <c r="E35" s="896">
        <f t="shared" si="1"/>
        <v>0</v>
      </c>
      <c r="G35" s="897"/>
    </row>
    <row r="36" spans="1:7" ht="15" customHeight="1" x14ac:dyDescent="0.25">
      <c r="A36" s="892">
        <f t="shared" si="0"/>
        <v>34</v>
      </c>
      <c r="B36" s="893" t="s">
        <v>615</v>
      </c>
      <c r="C36" s="889">
        <v>0</v>
      </c>
      <c r="D36" s="894">
        <v>14201.865057597364</v>
      </c>
      <c r="E36" s="896">
        <f t="shared" si="1"/>
        <v>0</v>
      </c>
      <c r="G36" s="897"/>
    </row>
    <row r="37" spans="1:7" ht="15" customHeight="1" x14ac:dyDescent="0.25">
      <c r="A37" s="892">
        <f t="shared" si="0"/>
        <v>35</v>
      </c>
      <c r="B37" s="893" t="s">
        <v>616</v>
      </c>
      <c r="C37" s="889">
        <v>0</v>
      </c>
      <c r="D37" s="894">
        <v>9000</v>
      </c>
      <c r="E37" s="896">
        <f t="shared" si="1"/>
        <v>0</v>
      </c>
      <c r="G37" s="897"/>
    </row>
    <row r="38" spans="1:7" ht="15" customHeight="1" x14ac:dyDescent="0.25">
      <c r="A38" s="892">
        <f t="shared" si="0"/>
        <v>36</v>
      </c>
      <c r="B38" s="893" t="s">
        <v>617</v>
      </c>
      <c r="C38" s="889">
        <v>0</v>
      </c>
      <c r="D38" s="894">
        <v>1468.0412371134018</v>
      </c>
      <c r="E38" s="896">
        <f t="shared" si="1"/>
        <v>0</v>
      </c>
      <c r="G38" s="897"/>
    </row>
    <row r="39" spans="1:7" ht="15" customHeight="1" x14ac:dyDescent="0.25">
      <c r="A39" s="892">
        <f t="shared" si="0"/>
        <v>37</v>
      </c>
      <c r="B39" s="893" t="s">
        <v>618</v>
      </c>
      <c r="C39" s="889">
        <v>0</v>
      </c>
      <c r="D39" s="894">
        <v>6775.3623188405809</v>
      </c>
      <c r="E39" s="896">
        <f t="shared" si="1"/>
        <v>0</v>
      </c>
      <c r="G39" s="897"/>
    </row>
    <row r="40" spans="1:7" ht="15" customHeight="1" x14ac:dyDescent="0.25">
      <c r="A40" s="900">
        <f t="shared" si="0"/>
        <v>38</v>
      </c>
      <c r="B40" s="901" t="s">
        <v>619</v>
      </c>
      <c r="C40" s="902">
        <v>0</v>
      </c>
      <c r="D40" s="903">
        <v>6918.4782608695632</v>
      </c>
      <c r="E40" s="904">
        <f>C40*D40</f>
        <v>0</v>
      </c>
      <c r="G40" s="897"/>
    </row>
    <row r="41" spans="1:7" ht="15" customHeight="1" x14ac:dyDescent="0.25">
      <c r="A41" s="905"/>
      <c r="B41" s="906"/>
      <c r="C41" s="907"/>
      <c r="D41" s="908"/>
      <c r="E41" s="891"/>
    </row>
    <row r="42" spans="1:7" ht="15" customHeight="1" x14ac:dyDescent="0.25">
      <c r="A42" s="909"/>
      <c r="B42" s="910" t="s">
        <v>620</v>
      </c>
      <c r="C42" s="911"/>
      <c r="D42" s="912"/>
      <c r="E42" s="913">
        <f>SUM(E3:E40)</f>
        <v>9028420</v>
      </c>
    </row>
    <row r="43" spans="1:7" ht="15" customHeight="1" thickBot="1" x14ac:dyDescent="0.3">
      <c r="A43" s="914"/>
      <c r="B43" s="915" t="s">
        <v>621</v>
      </c>
      <c r="C43" s="916"/>
      <c r="D43" s="917"/>
      <c r="E43" s="918">
        <f>+E42-SUM(E22:E33)</f>
        <v>2028420</v>
      </c>
    </row>
    <row r="44" spans="1:7" ht="30" customHeight="1" x14ac:dyDescent="0.25">
      <c r="A44" s="919"/>
      <c r="B44" s="920"/>
      <c r="C44" s="921"/>
      <c r="D44" s="922" t="s">
        <v>622</v>
      </c>
      <c r="E44" s="923"/>
    </row>
    <row r="45" spans="1:7" ht="15" customHeight="1" x14ac:dyDescent="0.25">
      <c r="A45" s="924">
        <f>+A40+1</f>
        <v>39</v>
      </c>
      <c r="B45" s="925" t="s">
        <v>623</v>
      </c>
      <c r="C45" s="926" t="s">
        <v>624</v>
      </c>
      <c r="D45" s="927">
        <v>5</v>
      </c>
      <c r="E45" s="928">
        <f>$E$43*D45/100</f>
        <v>101421</v>
      </c>
    </row>
    <row r="46" spans="1:7" ht="15" customHeight="1" x14ac:dyDescent="0.25">
      <c r="A46" s="892">
        <f>+A45+1</f>
        <v>40</v>
      </c>
      <c r="B46" s="925" t="s">
        <v>625</v>
      </c>
      <c r="C46" s="926" t="s">
        <v>624</v>
      </c>
      <c r="D46" s="927">
        <v>12</v>
      </c>
      <c r="E46" s="928">
        <f>$E$43*D46/100</f>
        <v>243410.4</v>
      </c>
    </row>
    <row r="47" spans="1:7" ht="15" customHeight="1" x14ac:dyDescent="0.25">
      <c r="A47" s="892">
        <f>+A46+1</f>
        <v>41</v>
      </c>
      <c r="B47" s="925" t="s">
        <v>626</v>
      </c>
      <c r="C47" s="926" t="s">
        <v>624</v>
      </c>
      <c r="D47" s="927">
        <v>50</v>
      </c>
      <c r="E47" s="928">
        <f>E43*D47/100</f>
        <v>1014210</v>
      </c>
    </row>
    <row r="48" spans="1:7" ht="15" customHeight="1" x14ac:dyDescent="0.25">
      <c r="A48" s="892">
        <f>+A47+1</f>
        <v>42</v>
      </c>
      <c r="B48" s="925" t="s">
        <v>627</v>
      </c>
      <c r="C48" s="926" t="s">
        <v>624</v>
      </c>
      <c r="D48" s="927">
        <v>70</v>
      </c>
      <c r="E48" s="928">
        <f>E43*D48/100</f>
        <v>1419894</v>
      </c>
    </row>
    <row r="49" spans="1:10" x14ac:dyDescent="0.25">
      <c r="A49" s="892">
        <f>+A48+1</f>
        <v>43</v>
      </c>
      <c r="B49" s="925" t="s">
        <v>628</v>
      </c>
      <c r="C49" s="926" t="s">
        <v>624</v>
      </c>
      <c r="D49" s="927">
        <v>15</v>
      </c>
      <c r="E49" s="928">
        <f>E43*D49/100</f>
        <v>304263</v>
      </c>
    </row>
    <row r="50" spans="1:10" x14ac:dyDescent="0.25">
      <c r="A50" s="892">
        <f>+A49+1</f>
        <v>44</v>
      </c>
      <c r="B50" s="925" t="s">
        <v>629</v>
      </c>
      <c r="C50" s="926" t="s">
        <v>624</v>
      </c>
      <c r="D50" s="927">
        <v>25</v>
      </c>
      <c r="E50" s="928">
        <f>E43*D50/100</f>
        <v>507105</v>
      </c>
    </row>
    <row r="51" spans="1:10" x14ac:dyDescent="0.25">
      <c r="A51" s="924"/>
      <c r="B51" s="929"/>
      <c r="C51" s="930"/>
      <c r="D51" s="931"/>
      <c r="E51" s="896"/>
    </row>
    <row r="52" spans="1:10" ht="15.75" thickBot="1" x14ac:dyDescent="0.3">
      <c r="A52" s="914"/>
      <c r="B52" s="932" t="s">
        <v>630</v>
      </c>
      <c r="C52" s="933"/>
      <c r="D52" s="934"/>
      <c r="E52" s="918">
        <f>+E42+SUM(E45:E50)</f>
        <v>12618723.4</v>
      </c>
    </row>
    <row r="53" spans="1:10" x14ac:dyDescent="0.25">
      <c r="A53" s="919"/>
      <c r="B53" s="935"/>
      <c r="C53" s="936"/>
      <c r="D53" s="937" t="s">
        <v>631</v>
      </c>
      <c r="E53" s="923"/>
    </row>
    <row r="54" spans="1:10" x14ac:dyDescent="0.25">
      <c r="A54" s="924">
        <f>+A50+1</f>
        <v>45</v>
      </c>
      <c r="B54" s="925" t="s">
        <v>632</v>
      </c>
      <c r="C54" s="926" t="s">
        <v>624</v>
      </c>
      <c r="D54" s="927">
        <v>15</v>
      </c>
      <c r="E54" s="896">
        <f>E52*D54/100</f>
        <v>1892808.51</v>
      </c>
    </row>
    <row r="55" spans="1:10" x14ac:dyDescent="0.25">
      <c r="A55" s="892">
        <f>+A54+1</f>
        <v>46</v>
      </c>
      <c r="B55" s="925" t="s">
        <v>633</v>
      </c>
      <c r="C55" s="926" t="s">
        <v>624</v>
      </c>
      <c r="D55" s="938">
        <v>25</v>
      </c>
      <c r="E55" s="896">
        <f>E52*D55/100</f>
        <v>3154680.85</v>
      </c>
    </row>
    <row r="56" spans="1:10" x14ac:dyDescent="0.25">
      <c r="A56" s="924"/>
      <c r="B56" s="929"/>
      <c r="C56" s="939"/>
      <c r="D56" s="931"/>
      <c r="E56" s="896"/>
      <c r="G56" s="881" t="s">
        <v>634</v>
      </c>
    </row>
    <row r="57" spans="1:10" ht="15.75" thickBot="1" x14ac:dyDescent="0.3">
      <c r="A57" s="914"/>
      <c r="B57" s="932" t="s">
        <v>635</v>
      </c>
      <c r="C57" s="933"/>
      <c r="D57" s="934"/>
      <c r="E57" s="918">
        <f>SUM(E52,E54,E55)</f>
        <v>17666212.760000002</v>
      </c>
      <c r="G57" s="881" t="s">
        <v>636</v>
      </c>
      <c r="H57" s="940">
        <v>7000000</v>
      </c>
      <c r="I57" s="940"/>
      <c r="J57" s="881">
        <v>0.10960419267088972</v>
      </c>
    </row>
    <row r="58" spans="1:10" x14ac:dyDescent="0.25">
      <c r="A58" s="919"/>
      <c r="B58" s="935"/>
      <c r="C58" s="941"/>
      <c r="D58" s="937" t="s">
        <v>637</v>
      </c>
      <c r="E58" s="942"/>
      <c r="G58" s="881" t="s">
        <v>638</v>
      </c>
      <c r="H58" s="940">
        <v>15553196.009444006</v>
      </c>
      <c r="I58" s="940"/>
    </row>
    <row r="59" spans="1:10" x14ac:dyDescent="0.25">
      <c r="A59" s="924">
        <f>A55+1</f>
        <v>47</v>
      </c>
      <c r="B59" s="925" t="s">
        <v>639</v>
      </c>
      <c r="C59" s="943"/>
      <c r="D59" s="944">
        <v>5</v>
      </c>
      <c r="E59" s="896">
        <f t="shared" ref="E59:E65" si="2">$E$57*D59/100</f>
        <v>883310.63800000015</v>
      </c>
      <c r="H59" s="940">
        <v>22553196.009444006</v>
      </c>
      <c r="I59" s="940"/>
    </row>
    <row r="60" spans="1:10" x14ac:dyDescent="0.25">
      <c r="A60" s="892">
        <f t="shared" ref="A60:A66" si="3">+A59+1</f>
        <v>48</v>
      </c>
      <c r="B60" s="945" t="s">
        <v>640</v>
      </c>
      <c r="C60" s="943"/>
      <c r="D60" s="944">
        <v>3</v>
      </c>
      <c r="E60" s="896">
        <f t="shared" si="2"/>
        <v>529986.38280000002</v>
      </c>
      <c r="G60" s="881" t="s">
        <v>641</v>
      </c>
      <c r="H60" s="940"/>
      <c r="I60" s="940"/>
    </row>
    <row r="61" spans="1:10" x14ac:dyDescent="0.25">
      <c r="A61" s="892">
        <f t="shared" si="3"/>
        <v>49</v>
      </c>
      <c r="B61" s="925" t="s">
        <v>642</v>
      </c>
      <c r="C61" s="943"/>
      <c r="D61" s="944">
        <v>4</v>
      </c>
      <c r="E61" s="896">
        <f t="shared" si="2"/>
        <v>706648.51040000003</v>
      </c>
      <c r="G61" s="881" t="s">
        <v>636</v>
      </c>
      <c r="H61" s="940">
        <v>6232770.6513037719</v>
      </c>
      <c r="I61" s="940"/>
    </row>
    <row r="62" spans="1:10" x14ac:dyDescent="0.25">
      <c r="A62" s="892">
        <f t="shared" si="3"/>
        <v>50</v>
      </c>
      <c r="B62" s="945" t="s">
        <v>355</v>
      </c>
      <c r="C62" s="943"/>
      <c r="D62" s="944">
        <v>4</v>
      </c>
      <c r="E62" s="896">
        <f t="shared" si="2"/>
        <v>706648.51040000003</v>
      </c>
      <c r="G62" s="881" t="s">
        <v>638</v>
      </c>
      <c r="H62" s="940">
        <v>13848500.517376792</v>
      </c>
      <c r="I62" s="940"/>
    </row>
    <row r="63" spans="1:10" x14ac:dyDescent="0.25">
      <c r="A63" s="892">
        <f t="shared" si="3"/>
        <v>51</v>
      </c>
      <c r="B63" s="925" t="s">
        <v>643</v>
      </c>
      <c r="C63" s="943"/>
      <c r="D63" s="944">
        <v>5</v>
      </c>
      <c r="E63" s="896">
        <f t="shared" si="2"/>
        <v>883310.63800000015</v>
      </c>
      <c r="G63" s="881" t="s">
        <v>644</v>
      </c>
      <c r="H63" s="940">
        <v>20081271.168680564</v>
      </c>
      <c r="I63" s="940"/>
    </row>
    <row r="64" spans="1:10" x14ac:dyDescent="0.25">
      <c r="A64" s="892">
        <f t="shared" si="3"/>
        <v>52</v>
      </c>
      <c r="B64" s="945" t="s">
        <v>645</v>
      </c>
      <c r="C64" s="943"/>
      <c r="D64" s="944">
        <v>6</v>
      </c>
      <c r="E64" s="896">
        <f t="shared" si="2"/>
        <v>1059972.7656</v>
      </c>
    </row>
    <row r="65" spans="1:11" x14ac:dyDescent="0.25">
      <c r="A65" s="892">
        <f t="shared" si="3"/>
        <v>53</v>
      </c>
      <c r="B65" s="925" t="s">
        <v>646</v>
      </c>
      <c r="C65" s="943"/>
      <c r="D65" s="944">
        <v>0.19</v>
      </c>
      <c r="E65" s="896">
        <f t="shared" si="2"/>
        <v>33565.804244000006</v>
      </c>
    </row>
    <row r="66" spans="1:11" ht="15.75" thickBot="1" x14ac:dyDescent="0.3">
      <c r="A66" s="946">
        <f t="shared" si="3"/>
        <v>54</v>
      </c>
      <c r="B66" s="947" t="s">
        <v>647</v>
      </c>
      <c r="C66" s="948" t="s">
        <v>648</v>
      </c>
      <c r="D66" s="949">
        <v>0</v>
      </c>
      <c r="E66" s="950">
        <v>83540</v>
      </c>
    </row>
    <row r="67" spans="1:11" ht="15.75" thickBot="1" x14ac:dyDescent="0.3">
      <c r="A67" s="914"/>
      <c r="B67" s="951" t="s">
        <v>649</v>
      </c>
      <c r="C67" s="933"/>
      <c r="D67" s="934"/>
      <c r="E67" s="952">
        <f>SUM(E57,E59:E66)</f>
        <v>22553196.009444006</v>
      </c>
    </row>
    <row r="68" spans="1:11" x14ac:dyDescent="0.25">
      <c r="A68" s="953"/>
      <c r="B68" s="954"/>
      <c r="C68" s="954"/>
      <c r="D68" s="955"/>
      <c r="E68" s="954"/>
      <c r="G68" s="956">
        <f>+E25+E26</f>
        <v>7000000</v>
      </c>
      <c r="I68" s="881">
        <v>-0.10960419267088972</v>
      </c>
      <c r="J68" s="881">
        <f>+I68*-1</f>
        <v>0.10960419267088972</v>
      </c>
    </row>
    <row r="69" spans="1:11" x14ac:dyDescent="0.25">
      <c r="G69" s="956">
        <f>+E67-G68</f>
        <v>15553196.009444006</v>
      </c>
    </row>
    <row r="72" spans="1:11" x14ac:dyDescent="0.25">
      <c r="G72" s="881" t="s">
        <v>634</v>
      </c>
    </row>
    <row r="73" spans="1:11" x14ac:dyDescent="0.25">
      <c r="G73" s="881" t="s">
        <v>636</v>
      </c>
      <c r="H73" s="956">
        <f>+E25</f>
        <v>2700000</v>
      </c>
      <c r="I73" s="881" t="s">
        <v>650</v>
      </c>
      <c r="J73" s="959">
        <v>0.10960419267088972</v>
      </c>
      <c r="K73" s="881" t="s">
        <v>651</v>
      </c>
    </row>
    <row r="74" spans="1:11" x14ac:dyDescent="0.25">
      <c r="H74" s="956">
        <f>+E26</f>
        <v>4300000</v>
      </c>
      <c r="I74" s="881" t="s">
        <v>652</v>
      </c>
    </row>
    <row r="75" spans="1:11" x14ac:dyDescent="0.25">
      <c r="G75" s="881" t="s">
        <v>638</v>
      </c>
      <c r="H75" s="956">
        <f>+E67-H73-H74</f>
        <v>15553196.009444006</v>
      </c>
    </row>
    <row r="76" spans="1:11" x14ac:dyDescent="0.25">
      <c r="H76" s="956">
        <f>SUM(H73:H75)</f>
        <v>22553196.009444006</v>
      </c>
    </row>
    <row r="77" spans="1:11" x14ac:dyDescent="0.25">
      <c r="G77" s="881" t="s">
        <v>641</v>
      </c>
    </row>
    <row r="78" spans="1:11" x14ac:dyDescent="0.25">
      <c r="G78" s="881" t="s">
        <v>636</v>
      </c>
      <c r="H78" s="960">
        <f>+H73-(H73*J73)</f>
        <v>2404068.6797885979</v>
      </c>
      <c r="I78" s="881" t="s">
        <v>650</v>
      </c>
    </row>
    <row r="79" spans="1:11" x14ac:dyDescent="0.25">
      <c r="H79" s="960">
        <f>+H74-(H74*J73)</f>
        <v>3828701.971515174</v>
      </c>
      <c r="I79" s="881" t="s">
        <v>652</v>
      </c>
    </row>
    <row r="80" spans="1:11" x14ac:dyDescent="0.25">
      <c r="G80" s="881" t="s">
        <v>638</v>
      </c>
      <c r="H80" s="960">
        <f>+H75-(H75*J73)</f>
        <v>13848500.517376792</v>
      </c>
    </row>
    <row r="81" spans="7:8" x14ac:dyDescent="0.25">
      <c r="G81" s="881" t="s">
        <v>644</v>
      </c>
      <c r="H81" s="960">
        <f>SUM(H78:H80)</f>
        <v>20081271.168680564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B1" workbookViewId="0">
      <selection activeCell="E25" sqref="E25"/>
    </sheetView>
  </sheetViews>
  <sheetFormatPr baseColWidth="10" defaultRowHeight="15" x14ac:dyDescent="0.25"/>
  <cols>
    <col min="1" max="1" width="7.28515625" style="957" customWidth="1"/>
    <col min="2" max="2" width="67.140625" style="881" customWidth="1"/>
    <col min="3" max="3" width="11.42578125" style="881"/>
    <col min="4" max="4" width="35" style="958" customWidth="1"/>
    <col min="5" max="5" width="14.85546875" style="881" customWidth="1"/>
    <col min="6" max="6" width="11.42578125" style="881"/>
    <col min="7" max="7" width="16.85546875" style="881" customWidth="1"/>
    <col min="8" max="8" width="19.7109375" style="881" customWidth="1"/>
    <col min="9" max="10" width="11.42578125" style="881"/>
    <col min="11" max="11" width="14.140625" style="881" bestFit="1" customWidth="1"/>
    <col min="12" max="16384" width="11.42578125" style="881"/>
  </cols>
  <sheetData>
    <row r="1" spans="1:7" ht="30" customHeight="1" thickBot="1" x14ac:dyDescent="0.3">
      <c r="A1" s="1096" t="s">
        <v>653</v>
      </c>
      <c r="B1" s="1097"/>
      <c r="C1" s="1097"/>
      <c r="D1" s="1097"/>
      <c r="E1" s="1098"/>
    </row>
    <row r="2" spans="1:7" ht="30" customHeight="1" thickBot="1" x14ac:dyDescent="0.3">
      <c r="A2" s="882" t="s">
        <v>578</v>
      </c>
      <c r="B2" s="883" t="s">
        <v>579</v>
      </c>
      <c r="C2" s="884" t="s">
        <v>70</v>
      </c>
      <c r="D2" s="885" t="s">
        <v>580</v>
      </c>
      <c r="E2" s="886" t="s">
        <v>581</v>
      </c>
    </row>
    <row r="3" spans="1:7" ht="15" customHeight="1" x14ac:dyDescent="0.25">
      <c r="A3" s="887">
        <v>1</v>
      </c>
      <c r="B3" s="888" t="s">
        <v>582</v>
      </c>
      <c r="C3" s="889"/>
      <c r="D3" s="890">
        <v>65250</v>
      </c>
      <c r="E3" s="891">
        <f>C3*D3</f>
        <v>0</v>
      </c>
    </row>
    <row r="4" spans="1:7" ht="15" customHeight="1" x14ac:dyDescent="0.25">
      <c r="A4" s="892">
        <f>+A3+1</f>
        <v>2</v>
      </c>
      <c r="B4" s="893" t="s">
        <v>583</v>
      </c>
      <c r="C4" s="889">
        <v>0</v>
      </c>
      <c r="D4" s="894">
        <v>74065.080135988333</v>
      </c>
      <c r="E4" s="891"/>
    </row>
    <row r="5" spans="1:7" ht="15" customHeight="1" x14ac:dyDescent="0.25">
      <c r="A5" s="892">
        <f t="shared" ref="A5:A40" si="0">+A4+1</f>
        <v>3</v>
      </c>
      <c r="B5" s="895" t="s">
        <v>584</v>
      </c>
      <c r="C5" s="889"/>
      <c r="D5" s="894">
        <v>19871.249588590235</v>
      </c>
      <c r="E5" s="896">
        <f t="shared" ref="E5:E39" si="1">C5*D5</f>
        <v>0</v>
      </c>
      <c r="G5" s="897"/>
    </row>
    <row r="6" spans="1:7" ht="15" customHeight="1" x14ac:dyDescent="0.25">
      <c r="A6" s="892">
        <f t="shared" si="0"/>
        <v>4</v>
      </c>
      <c r="B6" s="893" t="s">
        <v>585</v>
      </c>
      <c r="C6" s="898"/>
      <c r="D6" s="894">
        <v>17539.134129330989</v>
      </c>
      <c r="E6" s="896">
        <f t="shared" si="1"/>
        <v>0</v>
      </c>
      <c r="G6" s="897"/>
    </row>
    <row r="7" spans="1:7" ht="15" customHeight="1" x14ac:dyDescent="0.25">
      <c r="A7" s="892">
        <f t="shared" si="0"/>
        <v>5</v>
      </c>
      <c r="B7" s="893" t="s">
        <v>586</v>
      </c>
      <c r="C7" s="889"/>
      <c r="D7" s="894">
        <v>10356</v>
      </c>
      <c r="E7" s="896">
        <f t="shared" si="1"/>
        <v>0</v>
      </c>
      <c r="G7" s="897"/>
    </row>
    <row r="8" spans="1:7" ht="15" customHeight="1" x14ac:dyDescent="0.25">
      <c r="A8" s="892">
        <f t="shared" si="0"/>
        <v>6</v>
      </c>
      <c r="B8" s="893" t="s">
        <v>587</v>
      </c>
      <c r="C8" s="889">
        <v>0</v>
      </c>
      <c r="D8" s="894">
        <v>11733</v>
      </c>
      <c r="E8" s="896">
        <f t="shared" si="1"/>
        <v>0</v>
      </c>
    </row>
    <row r="9" spans="1:7" ht="15" customHeight="1" x14ac:dyDescent="0.25">
      <c r="A9" s="892">
        <f t="shared" si="0"/>
        <v>7</v>
      </c>
      <c r="B9" s="893" t="s">
        <v>588</v>
      </c>
      <c r="C9" s="889">
        <v>0</v>
      </c>
      <c r="D9" s="894">
        <v>162000</v>
      </c>
      <c r="E9" s="896">
        <f t="shared" si="1"/>
        <v>0</v>
      </c>
    </row>
    <row r="10" spans="1:7" ht="15" customHeight="1" x14ac:dyDescent="0.25">
      <c r="A10" s="892">
        <f t="shared" si="0"/>
        <v>8</v>
      </c>
      <c r="B10" s="893" t="s">
        <v>589</v>
      </c>
      <c r="C10" s="889">
        <v>0</v>
      </c>
      <c r="D10" s="894">
        <v>164000</v>
      </c>
      <c r="E10" s="896">
        <f t="shared" si="1"/>
        <v>0</v>
      </c>
    </row>
    <row r="11" spans="1:7" ht="15" customHeight="1" x14ac:dyDescent="0.25">
      <c r="A11" s="892">
        <f t="shared" si="0"/>
        <v>9</v>
      </c>
      <c r="B11" s="893" t="s">
        <v>590</v>
      </c>
      <c r="C11" s="889">
        <v>0</v>
      </c>
      <c r="D11" s="894">
        <v>50000</v>
      </c>
      <c r="E11" s="896">
        <f t="shared" si="1"/>
        <v>0</v>
      </c>
    </row>
    <row r="12" spans="1:7" ht="15" customHeight="1" x14ac:dyDescent="0.25">
      <c r="A12" s="892">
        <f t="shared" si="0"/>
        <v>10</v>
      </c>
      <c r="B12" s="893" t="s">
        <v>591</v>
      </c>
      <c r="C12" s="889">
        <v>0</v>
      </c>
      <c r="D12" s="894">
        <v>24000</v>
      </c>
      <c r="E12" s="896">
        <f t="shared" si="1"/>
        <v>0</v>
      </c>
      <c r="G12" s="897"/>
    </row>
    <row r="13" spans="1:7" ht="15" customHeight="1" x14ac:dyDescent="0.25">
      <c r="A13" s="892">
        <f t="shared" si="0"/>
        <v>11</v>
      </c>
      <c r="B13" s="893" t="s">
        <v>592</v>
      </c>
      <c r="C13" s="889">
        <v>2</v>
      </c>
      <c r="D13" s="894">
        <v>20760</v>
      </c>
      <c r="E13" s="896">
        <f t="shared" si="1"/>
        <v>41520</v>
      </c>
      <c r="G13" s="897"/>
    </row>
    <row r="14" spans="1:7" ht="15" customHeight="1" x14ac:dyDescent="0.25">
      <c r="A14" s="892">
        <f t="shared" si="0"/>
        <v>12</v>
      </c>
      <c r="B14" s="893" t="s">
        <v>593</v>
      </c>
      <c r="C14" s="889">
        <v>0</v>
      </c>
      <c r="D14" s="894">
        <v>16614</v>
      </c>
      <c r="E14" s="896">
        <f t="shared" si="1"/>
        <v>0</v>
      </c>
      <c r="G14" s="897"/>
    </row>
    <row r="15" spans="1:7" ht="15" customHeight="1" x14ac:dyDescent="0.25">
      <c r="A15" s="892">
        <f t="shared" si="0"/>
        <v>13</v>
      </c>
      <c r="B15" s="893" t="s">
        <v>594</v>
      </c>
      <c r="C15" s="889">
        <v>0</v>
      </c>
      <c r="D15" s="894">
        <v>7000</v>
      </c>
      <c r="E15" s="896">
        <f t="shared" si="1"/>
        <v>0</v>
      </c>
      <c r="G15" s="897"/>
    </row>
    <row r="16" spans="1:7" ht="15" customHeight="1" x14ac:dyDescent="0.25">
      <c r="A16" s="892">
        <f t="shared" si="0"/>
        <v>14</v>
      </c>
      <c r="B16" s="893" t="s">
        <v>595</v>
      </c>
      <c r="C16" s="889"/>
      <c r="D16" s="894">
        <v>4400</v>
      </c>
      <c r="E16" s="896">
        <f t="shared" si="1"/>
        <v>0</v>
      </c>
      <c r="G16" s="897"/>
    </row>
    <row r="17" spans="1:7" ht="15" customHeight="1" x14ac:dyDescent="0.25">
      <c r="A17" s="892">
        <f t="shared" si="0"/>
        <v>15</v>
      </c>
      <c r="B17" s="899" t="s">
        <v>596</v>
      </c>
      <c r="C17" s="889">
        <v>0</v>
      </c>
      <c r="D17" s="894">
        <v>19000</v>
      </c>
      <c r="E17" s="896">
        <f t="shared" si="1"/>
        <v>0</v>
      </c>
      <c r="G17" s="897"/>
    </row>
    <row r="18" spans="1:7" ht="15" customHeight="1" x14ac:dyDescent="0.25">
      <c r="A18" s="892">
        <f t="shared" si="0"/>
        <v>16</v>
      </c>
      <c r="B18" s="899" t="s">
        <v>597</v>
      </c>
      <c r="C18" s="889"/>
      <c r="D18" s="894">
        <v>13609.78260869565</v>
      </c>
      <c r="E18" s="896">
        <f t="shared" si="1"/>
        <v>0</v>
      </c>
      <c r="G18" s="897"/>
    </row>
    <row r="19" spans="1:7" ht="15" customHeight="1" x14ac:dyDescent="0.25">
      <c r="A19" s="892">
        <f t="shared" si="0"/>
        <v>17</v>
      </c>
      <c r="B19" s="899" t="s">
        <v>598</v>
      </c>
      <c r="C19" s="889">
        <v>0</v>
      </c>
      <c r="D19" s="894">
        <v>17000</v>
      </c>
      <c r="E19" s="896">
        <f t="shared" si="1"/>
        <v>0</v>
      </c>
      <c r="G19" s="897"/>
    </row>
    <row r="20" spans="1:7" ht="15" customHeight="1" x14ac:dyDescent="0.25">
      <c r="A20" s="892">
        <f t="shared" si="0"/>
        <v>18</v>
      </c>
      <c r="B20" s="899" t="s">
        <v>599</v>
      </c>
      <c r="C20" s="889"/>
      <c r="D20" s="894">
        <v>11600</v>
      </c>
      <c r="E20" s="896">
        <f t="shared" si="1"/>
        <v>0</v>
      </c>
      <c r="G20" s="897"/>
    </row>
    <row r="21" spans="1:7" ht="15" customHeight="1" x14ac:dyDescent="0.25">
      <c r="A21" s="892">
        <f t="shared" si="0"/>
        <v>19</v>
      </c>
      <c r="B21" s="893" t="s">
        <v>600</v>
      </c>
      <c r="C21" s="889">
        <v>0</v>
      </c>
      <c r="D21" s="894">
        <v>35869.565217391311</v>
      </c>
      <c r="E21" s="896">
        <f t="shared" si="1"/>
        <v>0</v>
      </c>
      <c r="G21" s="897"/>
    </row>
    <row r="22" spans="1:7" ht="15" customHeight="1" x14ac:dyDescent="0.25">
      <c r="A22" s="892">
        <f t="shared" si="0"/>
        <v>20</v>
      </c>
      <c r="B22" s="893" t="s">
        <v>601</v>
      </c>
      <c r="C22" s="889">
        <v>0</v>
      </c>
      <c r="D22" s="894">
        <v>3500000</v>
      </c>
      <c r="E22" s="896">
        <f t="shared" si="1"/>
        <v>0</v>
      </c>
    </row>
    <row r="23" spans="1:7" ht="15" customHeight="1" x14ac:dyDescent="0.25">
      <c r="A23" s="892">
        <f t="shared" si="0"/>
        <v>21</v>
      </c>
      <c r="B23" s="893" t="s">
        <v>654</v>
      </c>
      <c r="C23" s="889">
        <v>1</v>
      </c>
      <c r="D23" s="894">
        <v>3200000</v>
      </c>
      <c r="E23" s="896">
        <f t="shared" si="1"/>
        <v>3200000</v>
      </c>
    </row>
    <row r="24" spans="1:7" ht="15" customHeight="1" x14ac:dyDescent="0.25">
      <c r="A24" s="892">
        <f t="shared" si="0"/>
        <v>22</v>
      </c>
      <c r="B24" s="893" t="s">
        <v>655</v>
      </c>
      <c r="C24" s="889">
        <v>0</v>
      </c>
      <c r="D24" s="894">
        <v>2000000</v>
      </c>
      <c r="E24" s="896">
        <f t="shared" si="1"/>
        <v>0</v>
      </c>
    </row>
    <row r="25" spans="1:7" ht="15" customHeight="1" x14ac:dyDescent="0.25">
      <c r="A25" s="892">
        <f t="shared" si="0"/>
        <v>23</v>
      </c>
      <c r="B25" s="893" t="s">
        <v>656</v>
      </c>
      <c r="C25" s="889">
        <v>2</v>
      </c>
      <c r="D25" s="894">
        <v>2700000</v>
      </c>
      <c r="E25" s="896">
        <f t="shared" si="1"/>
        <v>5400000</v>
      </c>
    </row>
    <row r="26" spans="1:7" ht="15" customHeight="1" x14ac:dyDescent="0.25">
      <c r="A26" s="892">
        <f t="shared" si="0"/>
        <v>24</v>
      </c>
      <c r="B26" s="893" t="s">
        <v>605</v>
      </c>
      <c r="C26" s="889">
        <v>0</v>
      </c>
      <c r="D26" s="894">
        <v>2150000</v>
      </c>
      <c r="E26" s="896">
        <f t="shared" si="1"/>
        <v>0</v>
      </c>
    </row>
    <row r="27" spans="1:7" ht="15" customHeight="1" x14ac:dyDescent="0.25">
      <c r="A27" s="892">
        <f t="shared" si="0"/>
        <v>25</v>
      </c>
      <c r="B27" s="893" t="s">
        <v>606</v>
      </c>
      <c r="C27" s="889">
        <v>0</v>
      </c>
      <c r="D27" s="894">
        <v>810000</v>
      </c>
      <c r="E27" s="896">
        <f t="shared" si="1"/>
        <v>0</v>
      </c>
    </row>
    <row r="28" spans="1:7" ht="15" customHeight="1" x14ac:dyDescent="0.25">
      <c r="A28" s="892">
        <f t="shared" si="0"/>
        <v>26</v>
      </c>
      <c r="B28" s="893" t="s">
        <v>607</v>
      </c>
      <c r="C28" s="889">
        <v>0</v>
      </c>
      <c r="D28" s="894">
        <v>160000</v>
      </c>
      <c r="E28" s="896">
        <f t="shared" si="1"/>
        <v>0</v>
      </c>
    </row>
    <row r="29" spans="1:7" ht="15" customHeight="1" x14ac:dyDescent="0.25">
      <c r="A29" s="892">
        <f t="shared" si="0"/>
        <v>27</v>
      </c>
      <c r="B29" s="893" t="s">
        <v>608</v>
      </c>
      <c r="C29" s="889">
        <v>0</v>
      </c>
      <c r="D29" s="894">
        <v>218000</v>
      </c>
      <c r="E29" s="896">
        <f t="shared" si="1"/>
        <v>0</v>
      </c>
    </row>
    <row r="30" spans="1:7" ht="15" customHeight="1" x14ac:dyDescent="0.25">
      <c r="A30" s="892">
        <f t="shared" si="0"/>
        <v>28</v>
      </c>
      <c r="B30" s="893" t="s">
        <v>609</v>
      </c>
      <c r="C30" s="889">
        <v>0</v>
      </c>
      <c r="D30" s="894">
        <v>850000</v>
      </c>
      <c r="E30" s="896">
        <f t="shared" si="1"/>
        <v>0</v>
      </c>
    </row>
    <row r="31" spans="1:7" ht="15" customHeight="1" x14ac:dyDescent="0.25">
      <c r="A31" s="892">
        <f t="shared" si="0"/>
        <v>29</v>
      </c>
      <c r="B31" s="893" t="s">
        <v>610</v>
      </c>
      <c r="C31" s="889">
        <v>0</v>
      </c>
      <c r="D31" s="894">
        <v>480000</v>
      </c>
      <c r="E31" s="896"/>
    </row>
    <row r="32" spans="1:7" ht="15" customHeight="1" x14ac:dyDescent="0.25">
      <c r="A32" s="892">
        <f t="shared" si="0"/>
        <v>30</v>
      </c>
      <c r="B32" s="893" t="s">
        <v>611</v>
      </c>
      <c r="C32" s="889"/>
      <c r="D32" s="894">
        <v>300000</v>
      </c>
      <c r="E32" s="896">
        <f t="shared" si="1"/>
        <v>0</v>
      </c>
    </row>
    <row r="33" spans="1:7" ht="15" customHeight="1" x14ac:dyDescent="0.25">
      <c r="A33" s="892">
        <f t="shared" si="0"/>
        <v>31</v>
      </c>
      <c r="B33" s="893" t="s">
        <v>612</v>
      </c>
      <c r="C33" s="889">
        <v>0</v>
      </c>
      <c r="D33" s="894">
        <v>200000</v>
      </c>
      <c r="E33" s="896">
        <f t="shared" si="1"/>
        <v>0</v>
      </c>
    </row>
    <row r="34" spans="1:7" ht="15" customHeight="1" x14ac:dyDescent="0.25">
      <c r="A34" s="892">
        <f t="shared" si="0"/>
        <v>32</v>
      </c>
      <c r="B34" s="893" t="s">
        <v>613</v>
      </c>
      <c r="C34" s="889">
        <v>0</v>
      </c>
      <c r="D34" s="894">
        <v>59800</v>
      </c>
      <c r="E34" s="896">
        <f t="shared" si="1"/>
        <v>0</v>
      </c>
    </row>
    <row r="35" spans="1:7" ht="15" customHeight="1" x14ac:dyDescent="0.25">
      <c r="A35" s="892">
        <f t="shared" si="0"/>
        <v>33</v>
      </c>
      <c r="B35" s="893" t="s">
        <v>614</v>
      </c>
      <c r="C35" s="889">
        <v>0</v>
      </c>
      <c r="D35" s="894">
        <v>7400</v>
      </c>
      <c r="E35" s="896">
        <f t="shared" si="1"/>
        <v>0</v>
      </c>
      <c r="G35" s="897"/>
    </row>
    <row r="36" spans="1:7" ht="15" customHeight="1" x14ac:dyDescent="0.25">
      <c r="A36" s="892">
        <f t="shared" si="0"/>
        <v>34</v>
      </c>
      <c r="B36" s="893" t="s">
        <v>615</v>
      </c>
      <c r="C36" s="889">
        <v>0</v>
      </c>
      <c r="D36" s="894">
        <v>14201.865057597364</v>
      </c>
      <c r="E36" s="896">
        <f t="shared" si="1"/>
        <v>0</v>
      </c>
      <c r="G36" s="897"/>
    </row>
    <row r="37" spans="1:7" ht="15" customHeight="1" x14ac:dyDescent="0.25">
      <c r="A37" s="892">
        <f t="shared" si="0"/>
        <v>35</v>
      </c>
      <c r="B37" s="893" t="s">
        <v>616</v>
      </c>
      <c r="C37" s="889">
        <v>0</v>
      </c>
      <c r="D37" s="894">
        <v>9000</v>
      </c>
      <c r="E37" s="896">
        <f t="shared" si="1"/>
        <v>0</v>
      </c>
      <c r="G37" s="897"/>
    </row>
    <row r="38" spans="1:7" ht="15" customHeight="1" x14ac:dyDescent="0.25">
      <c r="A38" s="892">
        <f t="shared" si="0"/>
        <v>36</v>
      </c>
      <c r="B38" s="893" t="s">
        <v>617</v>
      </c>
      <c r="C38" s="889">
        <v>0</v>
      </c>
      <c r="D38" s="894">
        <v>1468.0412371134018</v>
      </c>
      <c r="E38" s="896">
        <f t="shared" si="1"/>
        <v>0</v>
      </c>
      <c r="G38" s="897"/>
    </row>
    <row r="39" spans="1:7" ht="15" customHeight="1" x14ac:dyDescent="0.25">
      <c r="A39" s="892">
        <f t="shared" si="0"/>
        <v>37</v>
      </c>
      <c r="B39" s="893" t="s">
        <v>618</v>
      </c>
      <c r="C39" s="889">
        <v>0</v>
      </c>
      <c r="D39" s="894">
        <v>6775.3623188405809</v>
      </c>
      <c r="E39" s="896">
        <f t="shared" si="1"/>
        <v>0</v>
      </c>
      <c r="G39" s="897"/>
    </row>
    <row r="40" spans="1:7" ht="15" customHeight="1" x14ac:dyDescent="0.25">
      <c r="A40" s="900">
        <f t="shared" si="0"/>
        <v>38</v>
      </c>
      <c r="B40" s="901" t="s">
        <v>619</v>
      </c>
      <c r="C40" s="902">
        <v>0</v>
      </c>
      <c r="D40" s="903">
        <v>6918.4782608695632</v>
      </c>
      <c r="E40" s="904">
        <f>C40*D40</f>
        <v>0</v>
      </c>
      <c r="G40" s="897"/>
    </row>
    <row r="41" spans="1:7" ht="15" customHeight="1" x14ac:dyDescent="0.25">
      <c r="A41" s="905"/>
      <c r="B41" s="906"/>
      <c r="C41" s="907"/>
      <c r="D41" s="908"/>
      <c r="E41" s="891"/>
    </row>
    <row r="42" spans="1:7" ht="15" customHeight="1" x14ac:dyDescent="0.25">
      <c r="A42" s="909"/>
      <c r="B42" s="910" t="s">
        <v>620</v>
      </c>
      <c r="C42" s="911"/>
      <c r="D42" s="912"/>
      <c r="E42" s="913">
        <f>SUM(E3:E40)</f>
        <v>8641520</v>
      </c>
    </row>
    <row r="43" spans="1:7" ht="15" customHeight="1" thickBot="1" x14ac:dyDescent="0.3">
      <c r="A43" s="914"/>
      <c r="B43" s="915" t="s">
        <v>621</v>
      </c>
      <c r="C43" s="916"/>
      <c r="D43" s="917"/>
      <c r="E43" s="918">
        <f>+E42-SUM(E22:E33)</f>
        <v>41520</v>
      </c>
    </row>
    <row r="44" spans="1:7" ht="30" customHeight="1" x14ac:dyDescent="0.25">
      <c r="A44" s="919"/>
      <c r="B44" s="920"/>
      <c r="C44" s="921"/>
      <c r="D44" s="922" t="s">
        <v>622</v>
      </c>
      <c r="E44" s="923"/>
    </row>
    <row r="45" spans="1:7" ht="15" customHeight="1" x14ac:dyDescent="0.25">
      <c r="A45" s="924">
        <f>+A40+1</f>
        <v>39</v>
      </c>
      <c r="B45" s="925" t="s">
        <v>623</v>
      </c>
      <c r="C45" s="926" t="s">
        <v>624</v>
      </c>
      <c r="D45" s="927">
        <v>5</v>
      </c>
      <c r="E45" s="928">
        <f>$E$43*D45/100</f>
        <v>2076</v>
      </c>
    </row>
    <row r="46" spans="1:7" ht="15" customHeight="1" x14ac:dyDescent="0.25">
      <c r="A46" s="892">
        <f>+A45+1</f>
        <v>40</v>
      </c>
      <c r="B46" s="925" t="s">
        <v>625</v>
      </c>
      <c r="C46" s="926" t="s">
        <v>624</v>
      </c>
      <c r="D46" s="927">
        <v>12</v>
      </c>
      <c r="E46" s="928">
        <f>$E$43*D46/100</f>
        <v>4982.3999999999996</v>
      </c>
    </row>
    <row r="47" spans="1:7" ht="15" customHeight="1" x14ac:dyDescent="0.25">
      <c r="A47" s="892">
        <f>+A46+1</f>
        <v>41</v>
      </c>
      <c r="B47" s="925" t="s">
        <v>626</v>
      </c>
      <c r="C47" s="926" t="s">
        <v>624</v>
      </c>
      <c r="D47" s="927">
        <v>50</v>
      </c>
      <c r="E47" s="928">
        <f>E43*D47/100</f>
        <v>20760</v>
      </c>
    </row>
    <row r="48" spans="1:7" ht="15" customHeight="1" x14ac:dyDescent="0.25">
      <c r="A48" s="892">
        <f>+A47+1</f>
        <v>42</v>
      </c>
      <c r="B48" s="925" t="s">
        <v>627</v>
      </c>
      <c r="C48" s="926" t="s">
        <v>624</v>
      </c>
      <c r="D48" s="927">
        <v>70</v>
      </c>
      <c r="E48" s="928">
        <f>E43*D48/100</f>
        <v>29064</v>
      </c>
    </row>
    <row r="49" spans="1:8" x14ac:dyDescent="0.25">
      <c r="A49" s="892">
        <f>+A48+1</f>
        <v>43</v>
      </c>
      <c r="B49" s="925" t="s">
        <v>628</v>
      </c>
      <c r="C49" s="926" t="s">
        <v>624</v>
      </c>
      <c r="D49" s="927">
        <v>15</v>
      </c>
      <c r="E49" s="928">
        <f>E43*D49/100</f>
        <v>6228</v>
      </c>
    </row>
    <row r="50" spans="1:8" x14ac:dyDescent="0.25">
      <c r="A50" s="892">
        <f>+A49+1</f>
        <v>44</v>
      </c>
      <c r="B50" s="925" t="s">
        <v>629</v>
      </c>
      <c r="C50" s="926" t="s">
        <v>624</v>
      </c>
      <c r="D50" s="927">
        <v>25</v>
      </c>
      <c r="E50" s="928">
        <f>E43*D50/100</f>
        <v>10380</v>
      </c>
    </row>
    <row r="51" spans="1:8" x14ac:dyDescent="0.25">
      <c r="A51" s="924"/>
      <c r="B51" s="929"/>
      <c r="C51" s="930"/>
      <c r="D51" s="931"/>
      <c r="E51" s="896"/>
    </row>
    <row r="52" spans="1:8" ht="15.75" thickBot="1" x14ac:dyDescent="0.3">
      <c r="A52" s="914"/>
      <c r="B52" s="932" t="s">
        <v>630</v>
      </c>
      <c r="C52" s="933"/>
      <c r="D52" s="934"/>
      <c r="E52" s="918">
        <f>+E42+SUM(E45:E50)</f>
        <v>8715010.4000000004</v>
      </c>
    </row>
    <row r="53" spans="1:8" x14ac:dyDescent="0.25">
      <c r="A53" s="919"/>
      <c r="B53" s="935"/>
      <c r="C53" s="936"/>
      <c r="D53" s="937" t="s">
        <v>631</v>
      </c>
      <c r="E53" s="923"/>
    </row>
    <row r="54" spans="1:8" x14ac:dyDescent="0.25">
      <c r="A54" s="924">
        <f>+A50+1</f>
        <v>45</v>
      </c>
      <c r="B54" s="925" t="s">
        <v>632</v>
      </c>
      <c r="C54" s="926" t="s">
        <v>624</v>
      </c>
      <c r="D54" s="927">
        <v>15</v>
      </c>
      <c r="E54" s="896">
        <f>E52*D54/100</f>
        <v>1307251.56</v>
      </c>
    </row>
    <row r="55" spans="1:8" x14ac:dyDescent="0.25">
      <c r="A55" s="892">
        <f>+A54+1</f>
        <v>46</v>
      </c>
      <c r="B55" s="925" t="s">
        <v>633</v>
      </c>
      <c r="C55" s="926" t="s">
        <v>624</v>
      </c>
      <c r="D55" s="938">
        <v>25</v>
      </c>
      <c r="E55" s="896">
        <f>E52*D55/100</f>
        <v>2178752.6</v>
      </c>
    </row>
    <row r="56" spans="1:8" x14ac:dyDescent="0.25">
      <c r="A56" s="924"/>
      <c r="B56" s="929"/>
      <c r="C56" s="939"/>
      <c r="D56" s="931"/>
      <c r="E56" s="896"/>
    </row>
    <row r="57" spans="1:8" ht="15.75" thickBot="1" x14ac:dyDescent="0.3">
      <c r="A57" s="914"/>
      <c r="B57" s="932" t="s">
        <v>635</v>
      </c>
      <c r="C57" s="933"/>
      <c r="D57" s="934"/>
      <c r="E57" s="918">
        <f>SUM(E52,E54,E55)</f>
        <v>12201014.560000001</v>
      </c>
    </row>
    <row r="58" spans="1:8" x14ac:dyDescent="0.25">
      <c r="A58" s="919"/>
      <c r="B58" s="935"/>
      <c r="C58" s="941"/>
      <c r="D58" s="937" t="s">
        <v>637</v>
      </c>
      <c r="E58" s="942"/>
    </row>
    <row r="59" spans="1:8" x14ac:dyDescent="0.25">
      <c r="A59" s="924">
        <f>A55+1</f>
        <v>47</v>
      </c>
      <c r="B59" s="925" t="s">
        <v>639</v>
      </c>
      <c r="C59" s="943"/>
      <c r="D59" s="944">
        <v>5</v>
      </c>
      <c r="E59" s="896">
        <f t="shared" ref="E59:E65" si="2">$E$57*D59/100</f>
        <v>610050.728</v>
      </c>
      <c r="G59" s="881" t="s">
        <v>636</v>
      </c>
      <c r="H59" s="881">
        <v>8600000</v>
      </c>
    </row>
    <row r="60" spans="1:8" x14ac:dyDescent="0.25">
      <c r="A60" s="892">
        <f t="shared" ref="A60:A66" si="3">+A59+1</f>
        <v>48</v>
      </c>
      <c r="B60" s="945" t="s">
        <v>640</v>
      </c>
      <c r="C60" s="943"/>
      <c r="D60" s="944">
        <v>3</v>
      </c>
      <c r="E60" s="896">
        <f t="shared" si="2"/>
        <v>366030.43680000002</v>
      </c>
      <c r="G60" s="881" t="s">
        <v>638</v>
      </c>
      <c r="H60" s="881">
        <v>6945375.4188640006</v>
      </c>
    </row>
    <row r="61" spans="1:8" x14ac:dyDescent="0.25">
      <c r="A61" s="892">
        <f t="shared" si="3"/>
        <v>49</v>
      </c>
      <c r="B61" s="925" t="s">
        <v>642</v>
      </c>
      <c r="C61" s="943"/>
      <c r="D61" s="944">
        <v>4</v>
      </c>
      <c r="E61" s="896">
        <f t="shared" si="2"/>
        <v>488040.58240000001</v>
      </c>
      <c r="H61" s="881">
        <v>15545375.418864001</v>
      </c>
    </row>
    <row r="62" spans="1:8" x14ac:dyDescent="0.25">
      <c r="A62" s="892">
        <f t="shared" si="3"/>
        <v>50</v>
      </c>
      <c r="B62" s="945" t="s">
        <v>355</v>
      </c>
      <c r="C62" s="943"/>
      <c r="D62" s="944">
        <v>4</v>
      </c>
      <c r="E62" s="896">
        <f t="shared" si="2"/>
        <v>488040.58240000001</v>
      </c>
      <c r="G62" s="881" t="s">
        <v>641</v>
      </c>
    </row>
    <row r="63" spans="1:8" x14ac:dyDescent="0.25">
      <c r="A63" s="892">
        <f t="shared" si="3"/>
        <v>51</v>
      </c>
      <c r="B63" s="925" t="s">
        <v>643</v>
      </c>
      <c r="C63" s="943"/>
      <c r="D63" s="944">
        <v>5</v>
      </c>
      <c r="E63" s="896">
        <f t="shared" si="2"/>
        <v>610050.728</v>
      </c>
      <c r="G63" s="881" t="s">
        <v>636</v>
      </c>
      <c r="H63" s="881">
        <v>7856195.7087435247</v>
      </c>
    </row>
    <row r="64" spans="1:8" x14ac:dyDescent="0.25">
      <c r="A64" s="892">
        <f t="shared" si="3"/>
        <v>52</v>
      </c>
      <c r="B64" s="945" t="s">
        <v>645</v>
      </c>
      <c r="C64" s="943"/>
      <c r="D64" s="944">
        <v>6</v>
      </c>
      <c r="E64" s="896">
        <f t="shared" si="2"/>
        <v>732060.87360000005</v>
      </c>
      <c r="G64" s="881" t="s">
        <v>638</v>
      </c>
      <c r="H64" s="881">
        <v>6344677.7396851303</v>
      </c>
    </row>
    <row r="65" spans="1:11" x14ac:dyDescent="0.25">
      <c r="A65" s="892">
        <f t="shared" si="3"/>
        <v>53</v>
      </c>
      <c r="B65" s="925" t="s">
        <v>646</v>
      </c>
      <c r="C65" s="943"/>
      <c r="D65" s="944">
        <v>0.19</v>
      </c>
      <c r="E65" s="896">
        <f t="shared" si="2"/>
        <v>23181.927664000003</v>
      </c>
      <c r="G65" s="881" t="s">
        <v>644</v>
      </c>
      <c r="H65" s="881">
        <v>14200873.448428655</v>
      </c>
    </row>
    <row r="66" spans="1:11" ht="15.75" thickBot="1" x14ac:dyDescent="0.3">
      <c r="A66" s="946">
        <f t="shared" si="3"/>
        <v>54</v>
      </c>
      <c r="B66" s="947" t="s">
        <v>647</v>
      </c>
      <c r="C66" s="948" t="s">
        <v>648</v>
      </c>
      <c r="D66" s="949">
        <v>0</v>
      </c>
      <c r="E66" s="950">
        <v>26905</v>
      </c>
    </row>
    <row r="67" spans="1:11" ht="15.75" thickBot="1" x14ac:dyDescent="0.3">
      <c r="A67" s="914"/>
      <c r="B67" s="951" t="s">
        <v>649</v>
      </c>
      <c r="C67" s="933"/>
      <c r="D67" s="934"/>
      <c r="E67" s="952">
        <f>SUM(E57,E59:E66)</f>
        <v>15545375.418864001</v>
      </c>
    </row>
    <row r="68" spans="1:11" x14ac:dyDescent="0.25">
      <c r="A68" s="953"/>
      <c r="B68" s="954"/>
      <c r="C68" s="954"/>
      <c r="D68" s="955"/>
      <c r="E68" s="954"/>
      <c r="I68" s="961"/>
    </row>
    <row r="69" spans="1:11" x14ac:dyDescent="0.25">
      <c r="G69" s="881" t="s">
        <v>634</v>
      </c>
    </row>
    <row r="70" spans="1:11" x14ac:dyDescent="0.25">
      <c r="G70" s="881" t="s">
        <v>636</v>
      </c>
      <c r="H70" s="956">
        <f>+E23</f>
        <v>3200000</v>
      </c>
      <c r="I70" s="881" t="s">
        <v>657</v>
      </c>
      <c r="J70" s="962">
        <v>8.6488871076334309E-2</v>
      </c>
      <c r="K70" s="881" t="s">
        <v>651</v>
      </c>
    </row>
    <row r="71" spans="1:11" x14ac:dyDescent="0.25">
      <c r="H71" s="956">
        <f>+E25</f>
        <v>5400000</v>
      </c>
      <c r="I71" s="881" t="s">
        <v>658</v>
      </c>
    </row>
    <row r="72" spans="1:11" x14ac:dyDescent="0.25">
      <c r="G72" s="881" t="s">
        <v>638</v>
      </c>
      <c r="H72" s="956">
        <f>+E67-H70-H71</f>
        <v>6945375.4188640006</v>
      </c>
    </row>
    <row r="73" spans="1:11" x14ac:dyDescent="0.25">
      <c r="H73" s="956">
        <f>SUM(H70:H72)</f>
        <v>15545375.418864001</v>
      </c>
    </row>
    <row r="74" spans="1:11" x14ac:dyDescent="0.25">
      <c r="G74" s="881" t="s">
        <v>641</v>
      </c>
    </row>
    <row r="75" spans="1:11" x14ac:dyDescent="0.25">
      <c r="G75" s="881" t="s">
        <v>636</v>
      </c>
      <c r="H75" s="960">
        <f>+H70-(H70*J70)</f>
        <v>2923235.6125557302</v>
      </c>
      <c r="I75" s="881" t="s">
        <v>657</v>
      </c>
    </row>
    <row r="76" spans="1:11" x14ac:dyDescent="0.25">
      <c r="H76" s="960">
        <f>+H71-(H71*J70)</f>
        <v>4932960.0961877946</v>
      </c>
      <c r="I76" s="881" t="s">
        <v>658</v>
      </c>
    </row>
    <row r="77" spans="1:11" x14ac:dyDescent="0.25">
      <c r="G77" s="881" t="s">
        <v>638</v>
      </c>
      <c r="H77" s="960">
        <f>+H72-(H72*J70)</f>
        <v>6344677.7396851303</v>
      </c>
    </row>
    <row r="78" spans="1:11" x14ac:dyDescent="0.25">
      <c r="G78" s="881" t="s">
        <v>644</v>
      </c>
      <c r="H78" s="960">
        <f>SUM(H75:H77)</f>
        <v>14200873.448428655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15" workbookViewId="0">
      <selection activeCell="E25" sqref="E25"/>
    </sheetView>
  </sheetViews>
  <sheetFormatPr baseColWidth="10" defaultRowHeight="15" x14ac:dyDescent="0.25"/>
  <cols>
    <col min="1" max="1" width="7.28515625" style="957" customWidth="1"/>
    <col min="2" max="2" width="67.140625" style="881" customWidth="1"/>
    <col min="3" max="3" width="11.42578125" style="881"/>
    <col min="4" max="4" width="35" style="958" customWidth="1"/>
    <col min="5" max="5" width="14.85546875" style="881" customWidth="1"/>
    <col min="6" max="16384" width="11.42578125" style="881"/>
  </cols>
  <sheetData>
    <row r="1" spans="1:7" ht="30" customHeight="1" thickBot="1" x14ac:dyDescent="0.3">
      <c r="A1" s="1096" t="s">
        <v>659</v>
      </c>
      <c r="B1" s="1097"/>
      <c r="C1" s="1097"/>
      <c r="D1" s="1097"/>
      <c r="E1" s="1098"/>
    </row>
    <row r="2" spans="1:7" ht="30" customHeight="1" thickBot="1" x14ac:dyDescent="0.3">
      <c r="A2" s="882" t="s">
        <v>578</v>
      </c>
      <c r="B2" s="883" t="s">
        <v>579</v>
      </c>
      <c r="C2" s="884" t="s">
        <v>70</v>
      </c>
      <c r="D2" s="885" t="s">
        <v>580</v>
      </c>
      <c r="E2" s="886" t="s">
        <v>581</v>
      </c>
    </row>
    <row r="3" spans="1:7" ht="15" customHeight="1" x14ac:dyDescent="0.25">
      <c r="A3" s="887">
        <v>1</v>
      </c>
      <c r="B3" s="888" t="s">
        <v>582</v>
      </c>
      <c r="C3" s="889">
        <v>1</v>
      </c>
      <c r="D3" s="890">
        <v>65250</v>
      </c>
      <c r="E3" s="891">
        <f>C3*D3</f>
        <v>65250</v>
      </c>
    </row>
    <row r="4" spans="1:7" ht="15" customHeight="1" x14ac:dyDescent="0.25">
      <c r="A4" s="892">
        <f>+A3+1</f>
        <v>2</v>
      </c>
      <c r="B4" s="893" t="s">
        <v>583</v>
      </c>
      <c r="C4" s="889">
        <v>0</v>
      </c>
      <c r="D4" s="894">
        <v>74065.080135988333</v>
      </c>
      <c r="E4" s="891"/>
    </row>
    <row r="5" spans="1:7" ht="15" customHeight="1" x14ac:dyDescent="0.25">
      <c r="A5" s="892">
        <f t="shared" ref="A5:A40" si="0">+A4+1</f>
        <v>3</v>
      </c>
      <c r="B5" s="895" t="s">
        <v>584</v>
      </c>
      <c r="C5" s="889">
        <v>0</v>
      </c>
      <c r="D5" s="894">
        <v>19871.249588590235</v>
      </c>
      <c r="E5" s="896">
        <f t="shared" ref="E5:E39" si="1">C5*D5</f>
        <v>0</v>
      </c>
      <c r="G5" s="897"/>
    </row>
    <row r="6" spans="1:7" ht="15" customHeight="1" x14ac:dyDescent="0.25">
      <c r="A6" s="892">
        <f t="shared" si="0"/>
        <v>4</v>
      </c>
      <c r="B6" s="893" t="s">
        <v>585</v>
      </c>
      <c r="C6" s="898">
        <v>0</v>
      </c>
      <c r="D6" s="894">
        <v>17539.134129330989</v>
      </c>
      <c r="E6" s="896">
        <f t="shared" si="1"/>
        <v>0</v>
      </c>
      <c r="G6" s="897"/>
    </row>
    <row r="7" spans="1:7" ht="15" customHeight="1" x14ac:dyDescent="0.25">
      <c r="A7" s="892">
        <f t="shared" si="0"/>
        <v>5</v>
      </c>
      <c r="B7" s="893" t="s">
        <v>586</v>
      </c>
      <c r="C7" s="889">
        <v>0</v>
      </c>
      <c r="D7" s="894">
        <v>10356</v>
      </c>
      <c r="E7" s="896">
        <f t="shared" si="1"/>
        <v>0</v>
      </c>
      <c r="G7" s="897"/>
    </row>
    <row r="8" spans="1:7" ht="15" customHeight="1" x14ac:dyDescent="0.25">
      <c r="A8" s="892">
        <f t="shared" si="0"/>
        <v>6</v>
      </c>
      <c r="B8" s="893" t="s">
        <v>587</v>
      </c>
      <c r="C8" s="889">
        <v>0</v>
      </c>
      <c r="D8" s="894">
        <v>11733</v>
      </c>
      <c r="E8" s="896">
        <f t="shared" si="1"/>
        <v>0</v>
      </c>
    </row>
    <row r="9" spans="1:7" ht="15" customHeight="1" x14ac:dyDescent="0.25">
      <c r="A9" s="892">
        <f t="shared" si="0"/>
        <v>7</v>
      </c>
      <c r="B9" s="893" t="s">
        <v>588</v>
      </c>
      <c r="C9" s="889">
        <v>0</v>
      </c>
      <c r="D9" s="894">
        <v>162000</v>
      </c>
      <c r="E9" s="896">
        <f t="shared" si="1"/>
        <v>0</v>
      </c>
    </row>
    <row r="10" spans="1:7" ht="15" customHeight="1" x14ac:dyDescent="0.25">
      <c r="A10" s="892">
        <f t="shared" si="0"/>
        <v>8</v>
      </c>
      <c r="B10" s="893" t="s">
        <v>589</v>
      </c>
      <c r="C10" s="889">
        <v>0</v>
      </c>
      <c r="D10" s="894">
        <v>164000</v>
      </c>
      <c r="E10" s="896">
        <f t="shared" si="1"/>
        <v>0</v>
      </c>
    </row>
    <row r="11" spans="1:7" ht="15" customHeight="1" x14ac:dyDescent="0.25">
      <c r="A11" s="892">
        <f t="shared" si="0"/>
        <v>9</v>
      </c>
      <c r="B11" s="893" t="s">
        <v>590</v>
      </c>
      <c r="C11" s="889">
        <v>0</v>
      </c>
      <c r="D11" s="894">
        <v>50000</v>
      </c>
      <c r="E11" s="896">
        <f t="shared" si="1"/>
        <v>0</v>
      </c>
    </row>
    <row r="12" spans="1:7" ht="15" customHeight="1" x14ac:dyDescent="0.25">
      <c r="A12" s="892">
        <f t="shared" si="0"/>
        <v>10</v>
      </c>
      <c r="B12" s="893" t="s">
        <v>591</v>
      </c>
      <c r="C12" s="889">
        <v>0</v>
      </c>
      <c r="D12" s="894">
        <v>24000</v>
      </c>
      <c r="E12" s="896">
        <f t="shared" si="1"/>
        <v>0</v>
      </c>
      <c r="G12" s="897"/>
    </row>
    <row r="13" spans="1:7" ht="15" customHeight="1" x14ac:dyDescent="0.25">
      <c r="A13" s="892">
        <f t="shared" si="0"/>
        <v>11</v>
      </c>
      <c r="B13" s="893" t="s">
        <v>592</v>
      </c>
      <c r="C13" s="889">
        <v>0</v>
      </c>
      <c r="D13" s="894">
        <v>20760</v>
      </c>
      <c r="E13" s="896">
        <f t="shared" si="1"/>
        <v>0</v>
      </c>
      <c r="G13" s="897"/>
    </row>
    <row r="14" spans="1:7" ht="15" customHeight="1" x14ac:dyDescent="0.25">
      <c r="A14" s="892">
        <f t="shared" si="0"/>
        <v>12</v>
      </c>
      <c r="B14" s="893" t="s">
        <v>593</v>
      </c>
      <c r="C14" s="889">
        <v>0</v>
      </c>
      <c r="D14" s="894">
        <v>16614</v>
      </c>
      <c r="E14" s="896">
        <f t="shared" si="1"/>
        <v>0</v>
      </c>
      <c r="G14" s="897"/>
    </row>
    <row r="15" spans="1:7" ht="15" customHeight="1" x14ac:dyDescent="0.25">
      <c r="A15" s="892">
        <f t="shared" si="0"/>
        <v>13</v>
      </c>
      <c r="B15" s="893" t="s">
        <v>594</v>
      </c>
      <c r="C15" s="889">
        <v>0</v>
      </c>
      <c r="D15" s="894">
        <v>7000</v>
      </c>
      <c r="E15" s="896">
        <f t="shared" si="1"/>
        <v>0</v>
      </c>
      <c r="G15" s="897"/>
    </row>
    <row r="16" spans="1:7" ht="15" customHeight="1" x14ac:dyDescent="0.25">
      <c r="A16" s="892">
        <f t="shared" si="0"/>
        <v>14</v>
      </c>
      <c r="B16" s="893" t="s">
        <v>595</v>
      </c>
      <c r="C16" s="889">
        <v>0</v>
      </c>
      <c r="D16" s="894">
        <v>4400</v>
      </c>
      <c r="E16" s="896">
        <f t="shared" si="1"/>
        <v>0</v>
      </c>
      <c r="G16" s="897"/>
    </row>
    <row r="17" spans="1:7" ht="15" customHeight="1" x14ac:dyDescent="0.25">
      <c r="A17" s="892">
        <f t="shared" si="0"/>
        <v>15</v>
      </c>
      <c r="B17" s="899" t="s">
        <v>596</v>
      </c>
      <c r="C17" s="889">
        <v>0</v>
      </c>
      <c r="D17" s="894">
        <v>19000</v>
      </c>
      <c r="E17" s="896">
        <f t="shared" si="1"/>
        <v>0</v>
      </c>
      <c r="G17" s="897"/>
    </row>
    <row r="18" spans="1:7" ht="15" customHeight="1" x14ac:dyDescent="0.25">
      <c r="A18" s="892">
        <f t="shared" si="0"/>
        <v>16</v>
      </c>
      <c r="B18" s="899" t="s">
        <v>597</v>
      </c>
      <c r="C18" s="889">
        <v>0</v>
      </c>
      <c r="D18" s="894">
        <v>13609.78260869565</v>
      </c>
      <c r="E18" s="896">
        <f t="shared" si="1"/>
        <v>0</v>
      </c>
      <c r="G18" s="897"/>
    </row>
    <row r="19" spans="1:7" ht="15" customHeight="1" x14ac:dyDescent="0.25">
      <c r="A19" s="892">
        <f t="shared" si="0"/>
        <v>17</v>
      </c>
      <c r="B19" s="899" t="s">
        <v>598</v>
      </c>
      <c r="C19" s="889">
        <v>0</v>
      </c>
      <c r="D19" s="894">
        <v>17000</v>
      </c>
      <c r="E19" s="896">
        <f>C19*D19</f>
        <v>0</v>
      </c>
      <c r="G19" s="897"/>
    </row>
    <row r="20" spans="1:7" ht="15" customHeight="1" x14ac:dyDescent="0.25">
      <c r="A20" s="892">
        <f t="shared" si="0"/>
        <v>18</v>
      </c>
      <c r="B20" s="899" t="s">
        <v>599</v>
      </c>
      <c r="C20" s="889">
        <v>0</v>
      </c>
      <c r="D20" s="894">
        <v>11600</v>
      </c>
      <c r="E20" s="896">
        <f>C20*D20</f>
        <v>0</v>
      </c>
      <c r="G20" s="897"/>
    </row>
    <row r="21" spans="1:7" ht="15" customHeight="1" x14ac:dyDescent="0.25">
      <c r="A21" s="892">
        <f t="shared" si="0"/>
        <v>19</v>
      </c>
      <c r="B21" s="893" t="s">
        <v>600</v>
      </c>
      <c r="C21" s="889">
        <v>0</v>
      </c>
      <c r="D21" s="894">
        <v>35869.565217391311</v>
      </c>
      <c r="E21" s="896">
        <f t="shared" si="1"/>
        <v>0</v>
      </c>
      <c r="G21" s="897"/>
    </row>
    <row r="22" spans="1:7" ht="15" customHeight="1" x14ac:dyDescent="0.25">
      <c r="A22" s="892">
        <f t="shared" si="0"/>
        <v>20</v>
      </c>
      <c r="B22" s="893" t="s">
        <v>601</v>
      </c>
      <c r="C22" s="889">
        <v>0</v>
      </c>
      <c r="D22" s="894">
        <v>3500000</v>
      </c>
      <c r="E22" s="896">
        <f t="shared" si="1"/>
        <v>0</v>
      </c>
    </row>
    <row r="23" spans="1:7" ht="15" customHeight="1" x14ac:dyDescent="0.25">
      <c r="A23" s="892">
        <f t="shared" si="0"/>
        <v>21</v>
      </c>
      <c r="B23" s="893" t="s">
        <v>602</v>
      </c>
      <c r="C23" s="889">
        <v>0</v>
      </c>
      <c r="D23" s="894">
        <v>3200000</v>
      </c>
      <c r="E23" s="896">
        <f t="shared" si="1"/>
        <v>0</v>
      </c>
    </row>
    <row r="24" spans="1:7" ht="15" customHeight="1" x14ac:dyDescent="0.25">
      <c r="A24" s="892">
        <f t="shared" si="0"/>
        <v>22</v>
      </c>
      <c r="B24" s="893" t="s">
        <v>603</v>
      </c>
      <c r="C24" s="889">
        <v>0</v>
      </c>
      <c r="D24" s="894">
        <v>2000000</v>
      </c>
      <c r="E24" s="896">
        <f t="shared" si="1"/>
        <v>0</v>
      </c>
    </row>
    <row r="25" spans="1:7" ht="15" customHeight="1" x14ac:dyDescent="0.25">
      <c r="A25" s="892">
        <f t="shared" si="0"/>
        <v>23</v>
      </c>
      <c r="B25" s="893" t="s">
        <v>656</v>
      </c>
      <c r="C25" s="889">
        <v>0</v>
      </c>
      <c r="D25" s="894">
        <v>2700000</v>
      </c>
      <c r="E25" s="896">
        <f t="shared" si="1"/>
        <v>0</v>
      </c>
    </row>
    <row r="26" spans="1:7" ht="15" customHeight="1" x14ac:dyDescent="0.25">
      <c r="A26" s="892">
        <f t="shared" si="0"/>
        <v>24</v>
      </c>
      <c r="B26" s="893" t="s">
        <v>605</v>
      </c>
      <c r="C26" s="889">
        <v>0</v>
      </c>
      <c r="D26" s="894">
        <v>2150000</v>
      </c>
      <c r="E26" s="896">
        <f t="shared" si="1"/>
        <v>0</v>
      </c>
    </row>
    <row r="27" spans="1:7" ht="15" customHeight="1" x14ac:dyDescent="0.25">
      <c r="A27" s="892">
        <f t="shared" si="0"/>
        <v>25</v>
      </c>
      <c r="B27" s="893" t="s">
        <v>660</v>
      </c>
      <c r="C27" s="889">
        <v>1</v>
      </c>
      <c r="D27" s="894">
        <v>810000</v>
      </c>
      <c r="E27" s="896">
        <f t="shared" si="1"/>
        <v>810000</v>
      </c>
    </row>
    <row r="28" spans="1:7" ht="15" customHeight="1" x14ac:dyDescent="0.25">
      <c r="A28" s="892">
        <f t="shared" si="0"/>
        <v>26</v>
      </c>
      <c r="B28" s="893" t="s">
        <v>607</v>
      </c>
      <c r="C28" s="889">
        <v>0</v>
      </c>
      <c r="D28" s="894">
        <v>160000</v>
      </c>
      <c r="E28" s="896">
        <f t="shared" si="1"/>
        <v>0</v>
      </c>
    </row>
    <row r="29" spans="1:7" ht="15" customHeight="1" x14ac:dyDescent="0.25">
      <c r="A29" s="892">
        <f t="shared" si="0"/>
        <v>27</v>
      </c>
      <c r="B29" s="893" t="s">
        <v>608</v>
      </c>
      <c r="C29" s="889">
        <v>0</v>
      </c>
      <c r="D29" s="894">
        <v>218000</v>
      </c>
      <c r="E29" s="896">
        <f t="shared" si="1"/>
        <v>0</v>
      </c>
    </row>
    <row r="30" spans="1:7" ht="15" customHeight="1" x14ac:dyDescent="0.25">
      <c r="A30" s="892">
        <f t="shared" si="0"/>
        <v>28</v>
      </c>
      <c r="B30" s="893" t="s">
        <v>609</v>
      </c>
      <c r="C30" s="889">
        <v>0</v>
      </c>
      <c r="D30" s="894">
        <v>850000</v>
      </c>
      <c r="E30" s="896">
        <f t="shared" si="1"/>
        <v>0</v>
      </c>
    </row>
    <row r="31" spans="1:7" ht="15" customHeight="1" x14ac:dyDescent="0.25">
      <c r="A31" s="892">
        <f t="shared" si="0"/>
        <v>29</v>
      </c>
      <c r="B31" s="893" t="s">
        <v>610</v>
      </c>
      <c r="C31" s="889">
        <v>0</v>
      </c>
      <c r="D31" s="894">
        <v>480000</v>
      </c>
      <c r="E31" s="896"/>
    </row>
    <row r="32" spans="1:7" ht="15" customHeight="1" x14ac:dyDescent="0.25">
      <c r="A32" s="892">
        <f t="shared" si="0"/>
        <v>30</v>
      </c>
      <c r="B32" s="893" t="s">
        <v>611</v>
      </c>
      <c r="C32" s="889">
        <v>0</v>
      </c>
      <c r="D32" s="894">
        <v>300000</v>
      </c>
      <c r="E32" s="896">
        <f t="shared" si="1"/>
        <v>0</v>
      </c>
    </row>
    <row r="33" spans="1:7" ht="15" customHeight="1" x14ac:dyDescent="0.25">
      <c r="A33" s="892">
        <f t="shared" si="0"/>
        <v>31</v>
      </c>
      <c r="B33" s="893" t="s">
        <v>612</v>
      </c>
      <c r="C33" s="889">
        <v>0</v>
      </c>
      <c r="D33" s="894">
        <v>200000</v>
      </c>
      <c r="E33" s="896">
        <f t="shared" si="1"/>
        <v>0</v>
      </c>
    </row>
    <row r="34" spans="1:7" ht="15" customHeight="1" x14ac:dyDescent="0.25">
      <c r="A34" s="892">
        <f t="shared" si="0"/>
        <v>32</v>
      </c>
      <c r="B34" s="893" t="s">
        <v>613</v>
      </c>
      <c r="C34" s="889">
        <v>0</v>
      </c>
      <c r="D34" s="894">
        <v>59800</v>
      </c>
      <c r="E34" s="896">
        <f t="shared" si="1"/>
        <v>0</v>
      </c>
    </row>
    <row r="35" spans="1:7" ht="15" customHeight="1" x14ac:dyDescent="0.25">
      <c r="A35" s="892">
        <f t="shared" si="0"/>
        <v>33</v>
      </c>
      <c r="B35" s="893" t="s">
        <v>614</v>
      </c>
      <c r="C35" s="889">
        <v>0</v>
      </c>
      <c r="D35" s="894">
        <v>7400</v>
      </c>
      <c r="E35" s="896">
        <f t="shared" si="1"/>
        <v>0</v>
      </c>
      <c r="G35" s="897"/>
    </row>
    <row r="36" spans="1:7" ht="15" customHeight="1" x14ac:dyDescent="0.25">
      <c r="A36" s="892">
        <f t="shared" si="0"/>
        <v>34</v>
      </c>
      <c r="B36" s="893" t="s">
        <v>615</v>
      </c>
      <c r="C36" s="889">
        <v>0</v>
      </c>
      <c r="D36" s="894">
        <v>14201.865057597364</v>
      </c>
      <c r="E36" s="896">
        <f t="shared" si="1"/>
        <v>0</v>
      </c>
      <c r="G36" s="897"/>
    </row>
    <row r="37" spans="1:7" ht="15" customHeight="1" x14ac:dyDescent="0.25">
      <c r="A37" s="892">
        <f t="shared" si="0"/>
        <v>35</v>
      </c>
      <c r="B37" s="893" t="s">
        <v>616</v>
      </c>
      <c r="C37" s="889">
        <v>0</v>
      </c>
      <c r="D37" s="894">
        <v>9000</v>
      </c>
      <c r="E37" s="896">
        <f t="shared" si="1"/>
        <v>0</v>
      </c>
      <c r="G37" s="897"/>
    </row>
    <row r="38" spans="1:7" ht="15" customHeight="1" x14ac:dyDescent="0.25">
      <c r="A38" s="892">
        <f t="shared" si="0"/>
        <v>36</v>
      </c>
      <c r="B38" s="893" t="s">
        <v>617</v>
      </c>
      <c r="C38" s="889">
        <v>0</v>
      </c>
      <c r="D38" s="894">
        <v>1468.0412371134018</v>
      </c>
      <c r="E38" s="896">
        <f t="shared" si="1"/>
        <v>0</v>
      </c>
      <c r="G38" s="897"/>
    </row>
    <row r="39" spans="1:7" ht="15" customHeight="1" x14ac:dyDescent="0.25">
      <c r="A39" s="892">
        <f t="shared" si="0"/>
        <v>37</v>
      </c>
      <c r="B39" s="893" t="s">
        <v>618</v>
      </c>
      <c r="C39" s="889">
        <v>0</v>
      </c>
      <c r="D39" s="894">
        <v>6775.3623188405809</v>
      </c>
      <c r="E39" s="896">
        <f t="shared" si="1"/>
        <v>0</v>
      </c>
      <c r="G39" s="897"/>
    </row>
    <row r="40" spans="1:7" ht="15" customHeight="1" x14ac:dyDescent="0.25">
      <c r="A40" s="900">
        <f t="shared" si="0"/>
        <v>38</v>
      </c>
      <c r="B40" s="901" t="s">
        <v>619</v>
      </c>
      <c r="C40" s="902">
        <v>0</v>
      </c>
      <c r="D40" s="903">
        <v>6918.4782608695632</v>
      </c>
      <c r="E40" s="904">
        <f>C40*D40</f>
        <v>0</v>
      </c>
      <c r="G40" s="897"/>
    </row>
    <row r="41" spans="1:7" ht="15" customHeight="1" x14ac:dyDescent="0.25">
      <c r="A41" s="905"/>
      <c r="B41" s="906"/>
      <c r="C41" s="907"/>
      <c r="D41" s="908"/>
      <c r="E41" s="891"/>
    </row>
    <row r="42" spans="1:7" ht="15" customHeight="1" x14ac:dyDescent="0.25">
      <c r="A42" s="909"/>
      <c r="B42" s="910" t="s">
        <v>620</v>
      </c>
      <c r="C42" s="911"/>
      <c r="D42" s="912"/>
      <c r="E42" s="913">
        <f>SUM(E3:E40)</f>
        <v>875250</v>
      </c>
    </row>
    <row r="43" spans="1:7" ht="15" customHeight="1" thickBot="1" x14ac:dyDescent="0.3">
      <c r="A43" s="914"/>
      <c r="B43" s="915" t="s">
        <v>621</v>
      </c>
      <c r="C43" s="916"/>
      <c r="D43" s="917"/>
      <c r="E43" s="918">
        <f>+E42-SUM(E22:E33)</f>
        <v>65250</v>
      </c>
    </row>
    <row r="44" spans="1:7" ht="30" customHeight="1" x14ac:dyDescent="0.25">
      <c r="A44" s="919"/>
      <c r="B44" s="920"/>
      <c r="C44" s="921"/>
      <c r="D44" s="922" t="s">
        <v>622</v>
      </c>
      <c r="E44" s="923"/>
    </row>
    <row r="45" spans="1:7" ht="15" customHeight="1" x14ac:dyDescent="0.25">
      <c r="A45" s="924">
        <f>+A40+1</f>
        <v>39</v>
      </c>
      <c r="B45" s="925" t="s">
        <v>623</v>
      </c>
      <c r="C45" s="926" t="s">
        <v>624</v>
      </c>
      <c r="D45" s="927">
        <v>5</v>
      </c>
      <c r="E45" s="928">
        <f>$E$43*D45/100</f>
        <v>3262.5</v>
      </c>
    </row>
    <row r="46" spans="1:7" ht="15" customHeight="1" x14ac:dyDescent="0.25">
      <c r="A46" s="892">
        <f>+A45+1</f>
        <v>40</v>
      </c>
      <c r="B46" s="925" t="s">
        <v>625</v>
      </c>
      <c r="C46" s="926" t="s">
        <v>624</v>
      </c>
      <c r="D46" s="927">
        <v>12</v>
      </c>
      <c r="E46" s="928">
        <f>$E$43*D46/100</f>
        <v>7830</v>
      </c>
    </row>
    <row r="47" spans="1:7" ht="15" customHeight="1" x14ac:dyDescent="0.25">
      <c r="A47" s="892">
        <f>+A46+1</f>
        <v>41</v>
      </c>
      <c r="B47" s="925" t="s">
        <v>626</v>
      </c>
      <c r="C47" s="926" t="s">
        <v>624</v>
      </c>
      <c r="D47" s="927">
        <v>50</v>
      </c>
      <c r="E47" s="928">
        <f>E43*D47/100</f>
        <v>32625</v>
      </c>
    </row>
    <row r="48" spans="1:7" ht="15" customHeight="1" x14ac:dyDescent="0.25">
      <c r="A48" s="892">
        <f>+A47+1</f>
        <v>42</v>
      </c>
      <c r="B48" s="925" t="s">
        <v>627</v>
      </c>
      <c r="C48" s="926" t="s">
        <v>624</v>
      </c>
      <c r="D48" s="927">
        <v>70</v>
      </c>
      <c r="E48" s="928">
        <f>E43*D48/100</f>
        <v>45675</v>
      </c>
    </row>
    <row r="49" spans="1:5" x14ac:dyDescent="0.25">
      <c r="A49" s="892">
        <f>+A48+1</f>
        <v>43</v>
      </c>
      <c r="B49" s="925" t="s">
        <v>628</v>
      </c>
      <c r="C49" s="926" t="s">
        <v>624</v>
      </c>
      <c r="D49" s="927">
        <v>15</v>
      </c>
      <c r="E49" s="928">
        <f>E43*D49/100</f>
        <v>9787.5</v>
      </c>
    </row>
    <row r="50" spans="1:5" x14ac:dyDescent="0.25">
      <c r="A50" s="892">
        <f>+A49+1</f>
        <v>44</v>
      </c>
      <c r="B50" s="925" t="s">
        <v>629</v>
      </c>
      <c r="C50" s="926" t="s">
        <v>624</v>
      </c>
      <c r="D50" s="927">
        <v>25</v>
      </c>
      <c r="E50" s="928">
        <f>E43*D50/100</f>
        <v>16312.5</v>
      </c>
    </row>
    <row r="51" spans="1:5" x14ac:dyDescent="0.25">
      <c r="A51" s="924"/>
      <c r="B51" s="929"/>
      <c r="C51" s="930"/>
      <c r="D51" s="931"/>
      <c r="E51" s="896"/>
    </row>
    <row r="52" spans="1:5" ht="15.75" thickBot="1" x14ac:dyDescent="0.3">
      <c r="A52" s="914"/>
      <c r="B52" s="932" t="s">
        <v>630</v>
      </c>
      <c r="C52" s="933"/>
      <c r="D52" s="934"/>
      <c r="E52" s="918">
        <f>+E42+SUM(E45:E50)</f>
        <v>990742.5</v>
      </c>
    </row>
    <row r="53" spans="1:5" x14ac:dyDescent="0.25">
      <c r="A53" s="919"/>
      <c r="B53" s="935"/>
      <c r="C53" s="936"/>
      <c r="D53" s="937" t="s">
        <v>631</v>
      </c>
      <c r="E53" s="923"/>
    </row>
    <row r="54" spans="1:5" x14ac:dyDescent="0.25">
      <c r="A54" s="924">
        <f>+A50+1</f>
        <v>45</v>
      </c>
      <c r="B54" s="925" t="s">
        <v>632</v>
      </c>
      <c r="C54" s="926" t="s">
        <v>624</v>
      </c>
      <c r="D54" s="927">
        <v>15</v>
      </c>
      <c r="E54" s="896">
        <f>E52*D54/100</f>
        <v>148611.375</v>
      </c>
    </row>
    <row r="55" spans="1:5" x14ac:dyDescent="0.25">
      <c r="A55" s="892">
        <f>+A54+1</f>
        <v>46</v>
      </c>
      <c r="B55" s="925" t="s">
        <v>633</v>
      </c>
      <c r="C55" s="926" t="s">
        <v>624</v>
      </c>
      <c r="D55" s="938">
        <v>25</v>
      </c>
      <c r="E55" s="896">
        <f>E52*D55/100</f>
        <v>247685.625</v>
      </c>
    </row>
    <row r="56" spans="1:5" x14ac:dyDescent="0.25">
      <c r="A56" s="924"/>
      <c r="B56" s="929"/>
      <c r="C56" s="939"/>
      <c r="D56" s="931"/>
      <c r="E56" s="896"/>
    </row>
    <row r="57" spans="1:5" ht="15.75" thickBot="1" x14ac:dyDescent="0.3">
      <c r="A57" s="914"/>
      <c r="B57" s="932" t="s">
        <v>635</v>
      </c>
      <c r="C57" s="933"/>
      <c r="D57" s="934"/>
      <c r="E57" s="918">
        <f>SUM(E52,E54,E55)</f>
        <v>1387039.5</v>
      </c>
    </row>
    <row r="58" spans="1:5" x14ac:dyDescent="0.25">
      <c r="A58" s="919"/>
      <c r="B58" s="935"/>
      <c r="C58" s="941"/>
      <c r="D58" s="937" t="s">
        <v>637</v>
      </c>
      <c r="E58" s="942"/>
    </row>
    <row r="59" spans="1:5" x14ac:dyDescent="0.25">
      <c r="A59" s="924">
        <f>A55+1</f>
        <v>47</v>
      </c>
      <c r="B59" s="925" t="s">
        <v>639</v>
      </c>
      <c r="C59" s="943"/>
      <c r="D59" s="944">
        <v>5</v>
      </c>
      <c r="E59" s="896">
        <f t="shared" ref="E59:E65" si="2">$E$57*D59/100</f>
        <v>69351.975000000006</v>
      </c>
    </row>
    <row r="60" spans="1:5" x14ac:dyDescent="0.25">
      <c r="A60" s="892">
        <f t="shared" ref="A60:A66" si="3">+A59+1</f>
        <v>48</v>
      </c>
      <c r="B60" s="945" t="s">
        <v>640</v>
      </c>
      <c r="C60" s="943"/>
      <c r="D60" s="944">
        <v>3</v>
      </c>
      <c r="E60" s="896">
        <f t="shared" si="2"/>
        <v>41611.184999999998</v>
      </c>
    </row>
    <row r="61" spans="1:5" x14ac:dyDescent="0.25">
      <c r="A61" s="892">
        <f t="shared" si="3"/>
        <v>49</v>
      </c>
      <c r="B61" s="925" t="s">
        <v>642</v>
      </c>
      <c r="C61" s="943"/>
      <c r="D61" s="944">
        <v>4</v>
      </c>
      <c r="E61" s="896">
        <f t="shared" si="2"/>
        <v>55481.58</v>
      </c>
    </row>
    <row r="62" spans="1:5" x14ac:dyDescent="0.25">
      <c r="A62" s="892">
        <f t="shared" si="3"/>
        <v>50</v>
      </c>
      <c r="B62" s="945" t="s">
        <v>355</v>
      </c>
      <c r="C62" s="943"/>
      <c r="D62" s="944">
        <v>4</v>
      </c>
      <c r="E62" s="896">
        <f t="shared" si="2"/>
        <v>55481.58</v>
      </c>
    </row>
    <row r="63" spans="1:5" x14ac:dyDescent="0.25">
      <c r="A63" s="892">
        <f t="shared" si="3"/>
        <v>51</v>
      </c>
      <c r="B63" s="925" t="s">
        <v>643</v>
      </c>
      <c r="C63" s="943"/>
      <c r="D63" s="944">
        <v>3</v>
      </c>
      <c r="E63" s="896">
        <f t="shared" si="2"/>
        <v>41611.184999999998</v>
      </c>
    </row>
    <row r="64" spans="1:5" x14ac:dyDescent="0.25">
      <c r="A64" s="892">
        <f t="shared" si="3"/>
        <v>52</v>
      </c>
      <c r="B64" s="945" t="s">
        <v>645</v>
      </c>
      <c r="C64" s="943"/>
      <c r="D64" s="944">
        <v>6</v>
      </c>
      <c r="E64" s="896">
        <f t="shared" si="2"/>
        <v>83222.37</v>
      </c>
    </row>
    <row r="65" spans="1:7" x14ac:dyDescent="0.25">
      <c r="A65" s="892">
        <f t="shared" si="3"/>
        <v>53</v>
      </c>
      <c r="B65" s="925" t="s">
        <v>646</v>
      </c>
      <c r="C65" s="943"/>
      <c r="D65" s="944">
        <v>0.19</v>
      </c>
      <c r="E65" s="896">
        <f t="shared" si="2"/>
        <v>2635.3750500000001</v>
      </c>
    </row>
    <row r="66" spans="1:7" ht="15.75" thickBot="1" x14ac:dyDescent="0.3">
      <c r="A66" s="946">
        <f t="shared" si="3"/>
        <v>54</v>
      </c>
      <c r="B66" s="947" t="s">
        <v>647</v>
      </c>
      <c r="C66" s="948" t="s">
        <v>648</v>
      </c>
      <c r="D66" s="949">
        <v>0</v>
      </c>
      <c r="E66" s="950">
        <f>D66*16.75</f>
        <v>0</v>
      </c>
    </row>
    <row r="67" spans="1:7" ht="15.75" thickBot="1" x14ac:dyDescent="0.3">
      <c r="A67" s="914"/>
      <c r="B67" s="951" t="s">
        <v>649</v>
      </c>
      <c r="C67" s="933"/>
      <c r="D67" s="934"/>
      <c r="E67" s="952">
        <f>SUM(E57,E59:E66)</f>
        <v>1736434.7500500004</v>
      </c>
    </row>
    <row r="68" spans="1:7" x14ac:dyDescent="0.25">
      <c r="A68" s="953"/>
      <c r="B68" s="954"/>
      <c r="C68" s="954"/>
      <c r="D68" s="955"/>
      <c r="E68" s="954"/>
      <c r="G68" s="956">
        <f>+E27</f>
        <v>810000</v>
      </c>
    </row>
    <row r="69" spans="1:7" x14ac:dyDescent="0.25">
      <c r="G69" s="956">
        <f>+E67-G68</f>
        <v>926434.75005000038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5" sqref="C5"/>
    </sheetView>
  </sheetViews>
  <sheetFormatPr baseColWidth="10" defaultRowHeight="12.75" x14ac:dyDescent="0.2"/>
  <cols>
    <col min="1" max="1" width="13" style="1" bestFit="1" customWidth="1"/>
    <col min="2" max="2" width="7.28515625" style="1" bestFit="1" customWidth="1"/>
    <col min="3" max="3" width="7.42578125" style="1" bestFit="1" customWidth="1"/>
    <col min="4" max="8" width="7.28515625" style="1" customWidth="1"/>
    <col min="9" max="16384" width="11.42578125" style="1"/>
  </cols>
  <sheetData>
    <row r="1" spans="1:9" ht="15.75" x14ac:dyDescent="0.25">
      <c r="A1" s="1100" t="s">
        <v>13</v>
      </c>
      <c r="B1" s="1100"/>
      <c r="C1" s="1100"/>
      <c r="D1" s="1100"/>
      <c r="E1" s="1100"/>
      <c r="F1" s="1100"/>
      <c r="G1" s="1100"/>
      <c r="H1" s="1100"/>
    </row>
    <row r="2" spans="1:9" ht="15.75" x14ac:dyDescent="0.25">
      <c r="A2" s="1100" t="s">
        <v>14</v>
      </c>
      <c r="B2" s="1100"/>
      <c r="C2" s="1100"/>
      <c r="D2" s="1100"/>
      <c r="E2" s="1100"/>
      <c r="F2" s="1100"/>
      <c r="G2" s="1100"/>
      <c r="H2" s="1100"/>
    </row>
    <row r="3" spans="1:9" ht="16.5" thickBot="1" x14ac:dyDescent="0.3">
      <c r="A3" s="1099" t="s">
        <v>15</v>
      </c>
      <c r="B3" s="1099"/>
      <c r="C3" s="1099"/>
      <c r="D3" s="1099"/>
      <c r="E3" s="1099"/>
      <c r="F3" s="1099"/>
      <c r="G3" s="1099"/>
      <c r="H3" s="1099"/>
    </row>
    <row r="4" spans="1:9" x14ac:dyDescent="0.2">
      <c r="A4" s="2" t="s">
        <v>16</v>
      </c>
      <c r="B4" s="3" t="s">
        <v>17</v>
      </c>
      <c r="C4" s="3">
        <v>2017</v>
      </c>
      <c r="D4" s="4">
        <f>+C4+1</f>
        <v>2018</v>
      </c>
      <c r="E4" s="4">
        <f>+D4+1</f>
        <v>2019</v>
      </c>
      <c r="F4" s="4">
        <f>+E4+1</f>
        <v>2020</v>
      </c>
      <c r="G4" s="4">
        <f>+F4+1</f>
        <v>2021</v>
      </c>
      <c r="H4" s="4">
        <f>+G4+1</f>
        <v>2022</v>
      </c>
    </row>
    <row r="5" spans="1:9" x14ac:dyDescent="0.2">
      <c r="A5" s="5" t="s">
        <v>18</v>
      </c>
      <c r="B5" s="6" t="s">
        <v>19</v>
      </c>
      <c r="C5" s="18">
        <v>1.9742400000000004E-2</v>
      </c>
      <c r="D5" s="16"/>
      <c r="E5" s="16"/>
      <c r="F5" s="16"/>
      <c r="G5" s="16"/>
      <c r="H5" s="17"/>
    </row>
    <row r="6" spans="1:9" x14ac:dyDescent="0.2">
      <c r="A6" s="5" t="s">
        <v>20</v>
      </c>
      <c r="B6" s="6" t="s">
        <v>19</v>
      </c>
      <c r="C6" s="18">
        <v>7.9074074074074064E-3</v>
      </c>
      <c r="D6" s="16"/>
      <c r="E6" s="16"/>
      <c r="F6" s="16"/>
      <c r="G6" s="16"/>
      <c r="H6" s="17"/>
    </row>
    <row r="7" spans="1:9" x14ac:dyDescent="0.2">
      <c r="A7" s="5" t="s">
        <v>21</v>
      </c>
      <c r="B7" s="6" t="s">
        <v>19</v>
      </c>
      <c r="C7" s="22">
        <v>7.7600000000000002E-2</v>
      </c>
      <c r="D7" s="208"/>
      <c r="E7" s="7"/>
      <c r="F7" s="7"/>
      <c r="G7" s="7"/>
      <c r="H7" s="8"/>
    </row>
    <row r="8" spans="1:9" ht="13.5" thickBot="1" x14ac:dyDescent="0.25">
      <c r="A8" s="9" t="s">
        <v>22</v>
      </c>
      <c r="B8" s="10" t="s">
        <v>19</v>
      </c>
      <c r="C8" s="25">
        <v>3.5000000000000003E-2</v>
      </c>
      <c r="D8" s="11"/>
      <c r="E8" s="11"/>
      <c r="F8" s="11"/>
      <c r="G8" s="11"/>
      <c r="H8" s="12"/>
    </row>
    <row r="16" spans="1:9" x14ac:dyDescent="0.2">
      <c r="A16" s="13"/>
      <c r="D16" s="14"/>
      <c r="I16" s="15"/>
    </row>
  </sheetData>
  <mergeCells count="3">
    <mergeCell ref="A3:H3"/>
    <mergeCell ref="A1:H1"/>
    <mergeCell ref="A2:H2"/>
  </mergeCells>
  <phoneticPr fontId="0" type="noConversion"/>
  <printOptions horizontalCentered="1" verticalCentered="1"/>
  <pageMargins left="0.75" right="0.75" top="1" bottom="0.53" header="0" footer="1.03"/>
  <pageSetup scale="125" orientation="landscape" horizontalDpi="300" verticalDpi="300" r:id="rId1"/>
  <headerFooter alignWithMargins="0">
    <oddFooter>&amp;LGerencia de Planificación/DAP/MRN Arcihvo: &amp;F, Hoja&amp;A&amp;R&amp;D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W284"/>
  <sheetViews>
    <sheetView showGridLines="0" zoomScale="70" zoomScaleNormal="70" workbookViewId="0">
      <pane ySplit="4" topLeftCell="A5" activePane="bottomLeft" state="frozen"/>
      <selection pane="bottomLeft" activeCell="B43" sqref="B43"/>
    </sheetView>
  </sheetViews>
  <sheetFormatPr baseColWidth="10" defaultColWidth="9.140625" defaultRowHeight="12.75" outlineLevelRow="2" outlineLevelCol="2" x14ac:dyDescent="0.2"/>
  <cols>
    <col min="1" max="1" width="3.7109375" style="504" customWidth="1" collapsed="1"/>
    <col min="2" max="2" width="50.5703125" style="504" customWidth="1" collapsed="1"/>
    <col min="3" max="3" width="11.7109375" style="504" customWidth="1" outlineLevel="2" collapsed="1"/>
    <col min="4" max="4" width="15.5703125" style="504" customWidth="1" outlineLevel="1"/>
    <col min="5" max="5" width="15.5703125" style="504" customWidth="1"/>
    <col min="6" max="9" width="15.5703125" style="504" customWidth="1" collapsed="1"/>
    <col min="10" max="10" width="15.7109375" style="504" customWidth="1" collapsed="1"/>
    <col min="11" max="11" width="15.7109375" style="504" customWidth="1" outlineLevel="1" collapsed="1"/>
    <col min="12" max="12" width="118" style="504" bestFit="1" customWidth="1" outlineLevel="1" collapsed="1"/>
    <col min="13" max="13" width="10.7109375" style="504" customWidth="1"/>
    <col min="14" max="14" width="10.42578125" style="504" customWidth="1" collapsed="1"/>
    <col min="15" max="15" width="10.5703125" style="504" customWidth="1" collapsed="1"/>
    <col min="16" max="16384" width="9.140625" style="504" collapsed="1"/>
  </cols>
  <sheetData>
    <row r="1" spans="2:14" s="500" customFormat="1" ht="15" x14ac:dyDescent="0.25">
      <c r="B1" s="499"/>
      <c r="C1" s="499"/>
      <c r="D1" s="499"/>
      <c r="E1" s="499"/>
      <c r="F1" s="499"/>
      <c r="G1" s="499"/>
      <c r="H1" s="499"/>
      <c r="I1" s="499"/>
    </row>
    <row r="2" spans="2:14" s="500" customFormat="1" x14ac:dyDescent="0.2">
      <c r="B2" s="1033" t="s">
        <v>366</v>
      </c>
      <c r="C2" s="1033"/>
      <c r="D2" s="1033"/>
      <c r="E2" s="1033"/>
      <c r="F2" s="1033"/>
      <c r="G2" s="1033"/>
      <c r="H2" s="1033"/>
      <c r="I2" s="1033"/>
    </row>
    <row r="3" spans="2:14" s="500" customFormat="1" x14ac:dyDescent="0.2">
      <c r="B3" s="1033" t="s">
        <v>367</v>
      </c>
      <c r="C3" s="1033"/>
      <c r="D3" s="1033"/>
      <c r="E3" s="1033"/>
      <c r="F3" s="1033"/>
      <c r="G3" s="1033"/>
      <c r="H3" s="1033"/>
      <c r="I3" s="1033"/>
    </row>
    <row r="4" spans="2:14" s="500" customFormat="1" x14ac:dyDescent="0.2">
      <c r="B4" s="1033" t="s">
        <v>73</v>
      </c>
      <c r="C4" s="1033"/>
      <c r="D4" s="1033"/>
      <c r="E4" s="1033"/>
      <c r="F4" s="1033"/>
      <c r="G4" s="1033"/>
      <c r="H4" s="1033"/>
      <c r="I4" s="1033"/>
    </row>
    <row r="5" spans="2:14" s="500" customFormat="1" x14ac:dyDescent="0.2"/>
    <row r="6" spans="2:14" s="502" customFormat="1" outlineLevel="1" x14ac:dyDescent="0.2">
      <c r="B6" s="501" t="s">
        <v>368</v>
      </c>
    </row>
    <row r="7" spans="2:14" ht="13.5" outlineLevel="1" thickBot="1" x14ac:dyDescent="0.25">
      <c r="B7" s="503"/>
      <c r="C7" s="503"/>
      <c r="D7" s="503"/>
      <c r="E7" s="503"/>
      <c r="F7" s="503"/>
      <c r="G7" s="503"/>
      <c r="H7" s="503"/>
      <c r="I7" s="503"/>
    </row>
    <row r="8" spans="2:14" s="505" customFormat="1" outlineLevel="1" x14ac:dyDescent="0.2">
      <c r="B8" s="484"/>
      <c r="C8" s="482" t="s">
        <v>17</v>
      </c>
      <c r="D8" s="482">
        <v>2016</v>
      </c>
      <c r="E8" s="482">
        <v>2017</v>
      </c>
      <c r="F8" s="482">
        <v>2018</v>
      </c>
      <c r="G8" s="482">
        <v>2019</v>
      </c>
      <c r="H8" s="482">
        <v>2020</v>
      </c>
      <c r="I8" s="481">
        <v>2021</v>
      </c>
    </row>
    <row r="9" spans="2:14" s="505" customFormat="1" outlineLevel="1" x14ac:dyDescent="0.2">
      <c r="B9" s="506" t="s">
        <v>18</v>
      </c>
      <c r="C9" s="478" t="s">
        <v>19</v>
      </c>
      <c r="D9" s="507"/>
      <c r="E9" s="508">
        <v>1.9742400000000004E-2</v>
      </c>
      <c r="F9" s="507">
        <v>1.9742400000000004E-2</v>
      </c>
      <c r="G9" s="507">
        <v>1.9742400000000004E-2</v>
      </c>
      <c r="H9" s="507">
        <v>1.9742400000000004E-2</v>
      </c>
      <c r="I9" s="509">
        <v>1.9742400000000004E-2</v>
      </c>
      <c r="J9" s="510"/>
      <c r="K9" s="510"/>
      <c r="N9" s="511"/>
    </row>
    <row r="10" spans="2:14" s="505" customFormat="1" ht="13.5" outlineLevel="1" thickBot="1" x14ac:dyDescent="0.25">
      <c r="B10" s="512" t="s">
        <v>20</v>
      </c>
      <c r="C10" s="473" t="s">
        <v>19</v>
      </c>
      <c r="D10" s="513"/>
      <c r="E10" s="514">
        <v>7.9074074074074064E-3</v>
      </c>
      <c r="F10" s="513">
        <v>7.9074074074074064E-3</v>
      </c>
      <c r="G10" s="513">
        <v>7.9074074074074064E-3</v>
      </c>
      <c r="H10" s="513">
        <v>7.9074074074074064E-3</v>
      </c>
      <c r="I10" s="515">
        <v>7.9074074074074064E-3</v>
      </c>
      <c r="J10" s="510"/>
      <c r="K10" s="510"/>
    </row>
    <row r="11" spans="2:14" s="505" customFormat="1" ht="13.5" outlineLevel="1" thickBot="1" x14ac:dyDescent="0.25">
      <c r="E11" s="516"/>
      <c r="F11" s="516"/>
      <c r="G11" s="516"/>
      <c r="H11" s="516"/>
      <c r="I11" s="516"/>
      <c r="J11" s="510"/>
      <c r="K11" s="510"/>
    </row>
    <row r="12" spans="2:14" s="505" customFormat="1" outlineLevel="1" x14ac:dyDescent="0.2">
      <c r="B12" s="517" t="s">
        <v>369</v>
      </c>
      <c r="C12" s="518" t="s">
        <v>19</v>
      </c>
      <c r="D12" s="519">
        <v>3.5000000000000003E-2</v>
      </c>
      <c r="E12" s="516"/>
      <c r="F12" s="516"/>
      <c r="G12" s="516"/>
      <c r="H12" s="516"/>
      <c r="I12" s="516"/>
      <c r="J12" s="520"/>
      <c r="K12" s="520"/>
    </row>
    <row r="13" spans="2:14" s="505" customFormat="1" ht="13.5" outlineLevel="1" thickBot="1" x14ac:dyDescent="0.25">
      <c r="B13" s="521" t="s">
        <v>21</v>
      </c>
      <c r="C13" s="522" t="s">
        <v>19</v>
      </c>
      <c r="D13" s="523">
        <v>7.7600000000000002E-2</v>
      </c>
      <c r="E13" s="516"/>
      <c r="F13" s="516"/>
      <c r="G13" s="516"/>
      <c r="H13" s="516"/>
      <c r="I13" s="516"/>
      <c r="J13" s="520"/>
      <c r="K13" s="520"/>
    </row>
    <row r="14" spans="2:14" outlineLevel="1" x14ac:dyDescent="0.2">
      <c r="B14" s="524"/>
      <c r="J14" s="525"/>
      <c r="K14" s="525"/>
    </row>
    <row r="15" spans="2:14" s="502" customFormat="1" outlineLevel="1" x14ac:dyDescent="0.2">
      <c r="B15" s="501" t="s">
        <v>370</v>
      </c>
    </row>
    <row r="16" spans="2:14" ht="13.5" customHeight="1" outlineLevel="1" x14ac:dyDescent="0.2">
      <c r="B16" s="526" t="s">
        <v>371</v>
      </c>
      <c r="C16" s="526"/>
      <c r="D16" s="526"/>
      <c r="E16" s="526"/>
      <c r="F16" s="526"/>
      <c r="G16" s="526"/>
      <c r="H16" s="526"/>
      <c r="I16" s="526"/>
    </row>
    <row r="17" spans="2:13" ht="13.5" customHeight="1" outlineLevel="1" thickBot="1" x14ac:dyDescent="0.25">
      <c r="B17" s="527"/>
      <c r="C17" s="526"/>
      <c r="D17" s="526"/>
      <c r="E17" s="526"/>
      <c r="F17" s="526"/>
      <c r="G17" s="526"/>
      <c r="H17" s="526"/>
      <c r="I17" s="526"/>
    </row>
    <row r="18" spans="2:13" ht="13.5" customHeight="1" outlineLevel="1" x14ac:dyDescent="0.2">
      <c r="B18" s="484" t="s">
        <v>359</v>
      </c>
      <c r="C18" s="482" t="s">
        <v>17</v>
      </c>
      <c r="D18" s="482">
        <v>2016</v>
      </c>
      <c r="E18" s="482">
        <v>2017</v>
      </c>
      <c r="F18" s="482">
        <v>2018</v>
      </c>
      <c r="G18" s="482">
        <v>2019</v>
      </c>
      <c r="H18" s="482">
        <v>2020</v>
      </c>
      <c r="I18" s="481">
        <v>2021</v>
      </c>
    </row>
    <row r="19" spans="2:13" outlineLevel="1" x14ac:dyDescent="0.2">
      <c r="B19" s="486" t="s">
        <v>372</v>
      </c>
      <c r="C19" s="478" t="s">
        <v>354</v>
      </c>
      <c r="D19" s="528">
        <v>413319.11996403383</v>
      </c>
      <c r="E19" s="528">
        <v>413319.11996403383</v>
      </c>
      <c r="F19" s="528">
        <v>413319.11996403383</v>
      </c>
      <c r="G19" s="528">
        <v>413319.11996403383</v>
      </c>
      <c r="H19" s="528">
        <v>413319.11996403383</v>
      </c>
      <c r="I19" s="529">
        <v>413319.11996403383</v>
      </c>
    </row>
    <row r="20" spans="2:13" outlineLevel="1" x14ac:dyDescent="0.2">
      <c r="B20" s="486" t="s">
        <v>373</v>
      </c>
      <c r="C20" s="478" t="s">
        <v>354</v>
      </c>
      <c r="D20" s="528">
        <v>0</v>
      </c>
      <c r="E20" s="528">
        <v>345480.16800000001</v>
      </c>
      <c r="F20" s="528">
        <v>345480.16800000001</v>
      </c>
      <c r="G20" s="528">
        <v>345480.16800000001</v>
      </c>
      <c r="H20" s="528">
        <v>345480.16800000001</v>
      </c>
      <c r="I20" s="529">
        <v>345480.16800000001</v>
      </c>
    </row>
    <row r="21" spans="2:13" ht="23.25" outlineLevel="1" x14ac:dyDescent="0.35">
      <c r="B21" s="486" t="s">
        <v>358</v>
      </c>
      <c r="C21" s="478" t="s">
        <v>354</v>
      </c>
      <c r="D21" s="760">
        <v>30496.959555000001</v>
      </c>
      <c r="E21" s="760">
        <v>34548.959555000001</v>
      </c>
      <c r="F21" s="760">
        <v>40875.959555000001</v>
      </c>
      <c r="G21" s="760">
        <v>42953.959555000001</v>
      </c>
      <c r="H21" s="760">
        <v>45802.959555000001</v>
      </c>
      <c r="I21" s="761">
        <v>45802.959555000001</v>
      </c>
    </row>
    <row r="22" spans="2:13" outlineLevel="1" x14ac:dyDescent="0.2">
      <c r="B22" s="530" t="s">
        <v>374</v>
      </c>
      <c r="C22" s="531" t="s">
        <v>354</v>
      </c>
      <c r="D22" s="532">
        <v>0</v>
      </c>
      <c r="E22" s="532">
        <v>0</v>
      </c>
      <c r="F22" s="532">
        <v>0</v>
      </c>
      <c r="G22" s="532">
        <v>0</v>
      </c>
      <c r="H22" s="532">
        <v>0</v>
      </c>
      <c r="I22" s="533">
        <v>0</v>
      </c>
    </row>
    <row r="23" spans="2:13" outlineLevel="1" x14ac:dyDescent="0.2">
      <c r="B23" s="486" t="s">
        <v>375</v>
      </c>
      <c r="C23" s="478" t="s">
        <v>354</v>
      </c>
      <c r="D23" s="528">
        <v>204259.9661240339</v>
      </c>
      <c r="E23" s="528">
        <v>188786.04443471515</v>
      </c>
      <c r="F23" s="528">
        <v>173312.12274539642</v>
      </c>
      <c r="G23" s="528">
        <v>157838.20105607776</v>
      </c>
      <c r="H23" s="528">
        <v>142364.27936675903</v>
      </c>
      <c r="I23" s="529">
        <v>126890.35767744032</v>
      </c>
    </row>
    <row r="24" spans="2:13" outlineLevel="1" x14ac:dyDescent="0.2">
      <c r="B24" s="486" t="s">
        <v>376</v>
      </c>
      <c r="C24" s="478" t="s">
        <v>354</v>
      </c>
      <c r="D24" s="528">
        <v>0</v>
      </c>
      <c r="E24" s="528">
        <v>339449.17887037195</v>
      </c>
      <c r="F24" s="528">
        <v>327413.30672753748</v>
      </c>
      <c r="G24" s="528">
        <v>315377.43458470295</v>
      </c>
      <c r="H24" s="528">
        <v>303341.56244186847</v>
      </c>
      <c r="I24" s="529">
        <v>291305.690299034</v>
      </c>
    </row>
    <row r="25" spans="2:13" outlineLevel="1" x14ac:dyDescent="0.2">
      <c r="B25" s="486" t="s">
        <v>377</v>
      </c>
      <c r="C25" s="478" t="s">
        <v>354</v>
      </c>
      <c r="D25" s="528">
        <v>14766.818485</v>
      </c>
      <c r="E25" s="528">
        <v>17984.387026563571</v>
      </c>
      <c r="F25" s="528">
        <v>23281.688650318916</v>
      </c>
      <c r="G25" s="528">
        <v>24208.367671334541</v>
      </c>
      <c r="H25" s="528">
        <v>25857.001815637836</v>
      </c>
      <c r="I25" s="529">
        <v>24582.054603776745</v>
      </c>
    </row>
    <row r="26" spans="2:13" ht="13.5" outlineLevel="1" thickBot="1" x14ac:dyDescent="0.25">
      <c r="B26" s="534" t="s">
        <v>378</v>
      </c>
      <c r="C26" s="535" t="s">
        <v>354</v>
      </c>
      <c r="D26" s="536">
        <v>0</v>
      </c>
      <c r="E26" s="536">
        <v>0</v>
      </c>
      <c r="F26" s="536">
        <v>0</v>
      </c>
      <c r="G26" s="536">
        <v>0</v>
      </c>
      <c r="H26" s="536">
        <v>0</v>
      </c>
      <c r="I26" s="537">
        <v>0</v>
      </c>
    </row>
    <row r="27" spans="2:13" outlineLevel="1" x14ac:dyDescent="0.2">
      <c r="B27" s="538"/>
      <c r="C27" s="539"/>
      <c r="D27" s="540"/>
      <c r="E27" s="540"/>
      <c r="F27" s="540"/>
      <c r="G27" s="540"/>
      <c r="H27" s="540"/>
      <c r="I27" s="540"/>
    </row>
    <row r="28" spans="2:13" ht="13.5" hidden="1" outlineLevel="1" thickBot="1" x14ac:dyDescent="0.25">
      <c r="B28" s="541" t="s">
        <v>379</v>
      </c>
      <c r="C28" s="482" t="s">
        <v>17</v>
      </c>
      <c r="D28" s="482">
        <v>2016</v>
      </c>
      <c r="E28" s="482">
        <v>2017</v>
      </c>
      <c r="F28" s="482">
        <v>2018</v>
      </c>
      <c r="G28" s="482">
        <v>2019</v>
      </c>
      <c r="H28" s="482">
        <v>2020</v>
      </c>
      <c r="I28" s="481">
        <v>2021</v>
      </c>
      <c r="K28" s="542" t="s">
        <v>380</v>
      </c>
      <c r="L28" s="542" t="s">
        <v>381</v>
      </c>
    </row>
    <row r="29" spans="2:13" hidden="1" outlineLevel="1" x14ac:dyDescent="0.2">
      <c r="B29" s="486" t="s">
        <v>382</v>
      </c>
      <c r="C29" s="478" t="s">
        <v>354</v>
      </c>
      <c r="D29" s="532"/>
      <c r="E29" s="532">
        <v>0</v>
      </c>
      <c r="F29" s="540">
        <v>0</v>
      </c>
      <c r="G29" s="532">
        <v>0</v>
      </c>
      <c r="H29" s="532">
        <v>0</v>
      </c>
      <c r="I29" s="543">
        <v>0</v>
      </c>
      <c r="K29" s="544" t="s">
        <v>383</v>
      </c>
      <c r="L29" s="545" t="s">
        <v>384</v>
      </c>
      <c r="M29" s="546" t="s">
        <v>385</v>
      </c>
    </row>
    <row r="30" spans="2:13" hidden="1" outlineLevel="1" x14ac:dyDescent="0.2">
      <c r="B30" s="486" t="s">
        <v>386</v>
      </c>
      <c r="C30" s="478" t="s">
        <v>354</v>
      </c>
      <c r="D30" s="532"/>
      <c r="E30" s="532">
        <v>0</v>
      </c>
      <c r="F30" s="540">
        <v>0</v>
      </c>
      <c r="G30" s="532">
        <v>0</v>
      </c>
      <c r="H30" s="532">
        <v>0</v>
      </c>
      <c r="I30" s="543">
        <v>0</v>
      </c>
      <c r="K30" s="547" t="s">
        <v>383</v>
      </c>
      <c r="L30" s="548" t="s">
        <v>387</v>
      </c>
      <c r="M30" s="546" t="s">
        <v>383</v>
      </c>
    </row>
    <row r="31" spans="2:13" hidden="1" outlineLevel="1" x14ac:dyDescent="0.2">
      <c r="B31" s="486" t="s">
        <v>388</v>
      </c>
      <c r="C31" s="478" t="s">
        <v>354</v>
      </c>
      <c r="D31" s="532"/>
      <c r="E31" s="532">
        <v>0</v>
      </c>
      <c r="F31" s="540">
        <v>0</v>
      </c>
      <c r="G31" s="532">
        <v>0</v>
      </c>
      <c r="H31" s="532">
        <v>0</v>
      </c>
      <c r="I31" s="543">
        <v>0</v>
      </c>
      <c r="K31" s="547" t="s">
        <v>383</v>
      </c>
      <c r="L31" s="548"/>
    </row>
    <row r="32" spans="2:13" ht="13.5" hidden="1" outlineLevel="1" thickBot="1" x14ac:dyDescent="0.25">
      <c r="B32" s="549" t="s">
        <v>389</v>
      </c>
      <c r="C32" s="473" t="s">
        <v>354</v>
      </c>
      <c r="D32" s="550"/>
      <c r="E32" s="550">
        <v>0</v>
      </c>
      <c r="F32" s="551">
        <v>0</v>
      </c>
      <c r="G32" s="550">
        <v>0</v>
      </c>
      <c r="H32" s="550">
        <v>0</v>
      </c>
      <c r="I32" s="552">
        <v>0</v>
      </c>
      <c r="K32" s="553" t="s">
        <v>383</v>
      </c>
      <c r="L32" s="554"/>
    </row>
    <row r="33" spans="1:13" hidden="1" outlineLevel="1" x14ac:dyDescent="0.2">
      <c r="B33" s="524"/>
      <c r="C33" s="555"/>
      <c r="D33" s="540"/>
      <c r="E33" s="540"/>
      <c r="F33" s="540"/>
      <c r="G33" s="540"/>
      <c r="H33" s="540"/>
      <c r="I33" s="540"/>
    </row>
    <row r="34" spans="1:13" ht="13.5" hidden="1" outlineLevel="1" thickBot="1" x14ac:dyDescent="0.25">
      <c r="B34" s="541" t="s">
        <v>390</v>
      </c>
      <c r="C34" s="482" t="s">
        <v>17</v>
      </c>
      <c r="D34" s="482">
        <v>2016</v>
      </c>
      <c r="E34" s="482">
        <v>2017</v>
      </c>
      <c r="F34" s="482">
        <v>2018</v>
      </c>
      <c r="G34" s="482">
        <v>2019</v>
      </c>
      <c r="H34" s="482">
        <v>2020</v>
      </c>
      <c r="I34" s="481">
        <v>2021</v>
      </c>
      <c r="K34" s="542" t="s">
        <v>380</v>
      </c>
      <c r="L34" s="542" t="s">
        <v>381</v>
      </c>
    </row>
    <row r="35" spans="1:13" hidden="1" outlineLevel="1" x14ac:dyDescent="0.2">
      <c r="B35" s="486" t="s">
        <v>391</v>
      </c>
      <c r="C35" s="478" t="s">
        <v>354</v>
      </c>
      <c r="D35" s="556"/>
      <c r="E35" s="532">
        <v>173114.76168767121</v>
      </c>
      <c r="F35" s="540">
        <v>0</v>
      </c>
      <c r="G35" s="532">
        <v>0</v>
      </c>
      <c r="H35" s="532">
        <v>0</v>
      </c>
      <c r="I35" s="543">
        <v>0</v>
      </c>
      <c r="K35" s="544" t="s">
        <v>385</v>
      </c>
      <c r="L35" s="545" t="s">
        <v>392</v>
      </c>
      <c r="M35" s="557"/>
    </row>
    <row r="36" spans="1:13" hidden="1" outlineLevel="1" x14ac:dyDescent="0.2">
      <c r="B36" s="486" t="s">
        <v>393</v>
      </c>
      <c r="C36" s="478" t="s">
        <v>354</v>
      </c>
      <c r="D36" s="532"/>
      <c r="E36" s="532">
        <v>0</v>
      </c>
      <c r="F36" s="540">
        <v>0</v>
      </c>
      <c r="G36" s="532">
        <v>0</v>
      </c>
      <c r="H36" s="532">
        <v>0</v>
      </c>
      <c r="I36" s="543">
        <v>0</v>
      </c>
      <c r="K36" s="547" t="s">
        <v>383</v>
      </c>
      <c r="L36" s="548"/>
    </row>
    <row r="37" spans="1:13" hidden="1" outlineLevel="1" x14ac:dyDescent="0.2">
      <c r="B37" s="486" t="s">
        <v>394</v>
      </c>
      <c r="C37" s="478" t="s">
        <v>354</v>
      </c>
      <c r="D37" s="532"/>
      <c r="E37" s="532">
        <v>0</v>
      </c>
      <c r="F37" s="540">
        <v>0</v>
      </c>
      <c r="G37" s="532">
        <v>0</v>
      </c>
      <c r="H37" s="532">
        <v>0</v>
      </c>
      <c r="I37" s="543">
        <v>0</v>
      </c>
      <c r="K37" s="547" t="s">
        <v>383</v>
      </c>
      <c r="L37" s="548"/>
      <c r="M37" s="557"/>
    </row>
    <row r="38" spans="1:13" ht="13.5" hidden="1" outlineLevel="1" thickBot="1" x14ac:dyDescent="0.25">
      <c r="B38" s="549" t="s">
        <v>395</v>
      </c>
      <c r="C38" s="473" t="s">
        <v>354</v>
      </c>
      <c r="D38" s="550"/>
      <c r="E38" s="550">
        <v>0</v>
      </c>
      <c r="F38" s="551">
        <v>0</v>
      </c>
      <c r="G38" s="550">
        <v>0</v>
      </c>
      <c r="H38" s="550">
        <v>0</v>
      </c>
      <c r="I38" s="552">
        <v>0</v>
      </c>
      <c r="K38" s="553" t="s">
        <v>383</v>
      </c>
      <c r="L38" s="554"/>
      <c r="M38" s="557"/>
    </row>
    <row r="39" spans="1:13" hidden="1" outlineLevel="1" x14ac:dyDescent="0.2">
      <c r="B39" s="538"/>
      <c r="C39" s="558"/>
      <c r="D39" s="559"/>
      <c r="E39" s="559"/>
      <c r="F39" s="559"/>
      <c r="G39" s="559"/>
      <c r="H39" s="559"/>
      <c r="I39" s="559"/>
    </row>
    <row r="40" spans="1:13" s="502" customFormat="1" outlineLevel="1" x14ac:dyDescent="0.2">
      <c r="B40" s="501" t="s">
        <v>396</v>
      </c>
    </row>
    <row r="41" spans="1:13" outlineLevel="1" x14ac:dyDescent="0.2">
      <c r="B41" s="526" t="s">
        <v>371</v>
      </c>
      <c r="C41" s="526"/>
      <c r="D41" s="526"/>
      <c r="E41" s="526"/>
      <c r="F41" s="526"/>
      <c r="G41" s="526"/>
      <c r="H41" s="526"/>
      <c r="I41" s="526"/>
      <c r="J41" s="560"/>
      <c r="K41" s="560"/>
    </row>
    <row r="42" spans="1:13" ht="13.5" outlineLevel="1" thickBot="1" x14ac:dyDescent="0.25">
      <c r="B42" s="527"/>
      <c r="C42" s="526"/>
      <c r="D42" s="526"/>
      <c r="E42" s="526"/>
      <c r="F42" s="526"/>
      <c r="G42" s="526"/>
      <c r="H42" s="526"/>
      <c r="I42" s="526"/>
      <c r="J42" s="560"/>
      <c r="K42" s="560"/>
    </row>
    <row r="43" spans="1:13" outlineLevel="1" x14ac:dyDescent="0.2">
      <c r="B43" s="541" t="s">
        <v>397</v>
      </c>
      <c r="C43" s="482" t="s">
        <v>17</v>
      </c>
      <c r="D43" s="482">
        <v>2016</v>
      </c>
      <c r="E43" s="482">
        <v>2017</v>
      </c>
      <c r="F43" s="482">
        <v>2018</v>
      </c>
      <c r="G43" s="482">
        <v>2019</v>
      </c>
      <c r="H43" s="482">
        <v>2020</v>
      </c>
      <c r="I43" s="481">
        <v>2021</v>
      </c>
      <c r="J43" s="560"/>
      <c r="K43" s="560"/>
    </row>
    <row r="44" spans="1:13" outlineLevel="1" x14ac:dyDescent="0.2">
      <c r="B44" s="486" t="s">
        <v>398</v>
      </c>
      <c r="C44" s="478" t="s">
        <v>354</v>
      </c>
      <c r="D44" s="528">
        <v>798705.00513052323</v>
      </c>
      <c r="E44" s="528">
        <v>798705.00513052323</v>
      </c>
      <c r="F44" s="561">
        <v>798705.00513052323</v>
      </c>
      <c r="G44" s="528">
        <v>798705.00513052323</v>
      </c>
      <c r="H44" s="528">
        <v>798705.00513052323</v>
      </c>
      <c r="I44" s="562">
        <v>798705.00513052323</v>
      </c>
      <c r="J44" s="563"/>
      <c r="K44" s="563"/>
    </row>
    <row r="45" spans="1:13" outlineLevel="1" x14ac:dyDescent="0.2">
      <c r="B45" s="486" t="s">
        <v>399</v>
      </c>
      <c r="C45" s="478" t="s">
        <v>354</v>
      </c>
      <c r="D45" s="528">
        <v>0</v>
      </c>
      <c r="E45" s="528">
        <v>345480.16800000001</v>
      </c>
      <c r="F45" s="561">
        <v>345480.16800000001</v>
      </c>
      <c r="G45" s="528">
        <v>345480.16800000001</v>
      </c>
      <c r="H45" s="528">
        <v>345480.16800000001</v>
      </c>
      <c r="I45" s="562">
        <v>345480.16800000001</v>
      </c>
      <c r="J45" s="563"/>
      <c r="K45" s="563"/>
    </row>
    <row r="46" spans="1:13" s="526" customFormat="1" ht="13.5" outlineLevel="1" thickBot="1" x14ac:dyDescent="0.25">
      <c r="B46" s="534" t="s">
        <v>400</v>
      </c>
      <c r="C46" s="535" t="s">
        <v>354</v>
      </c>
      <c r="D46" s="550">
        <v>65601.620907903925</v>
      </c>
      <c r="E46" s="550">
        <v>69653.620907903925</v>
      </c>
      <c r="F46" s="551">
        <v>75980.620907903925</v>
      </c>
      <c r="G46" s="550">
        <v>78058.620907903925</v>
      </c>
      <c r="H46" s="550">
        <v>80907.620907903925</v>
      </c>
      <c r="I46" s="552">
        <v>80907.620907903925</v>
      </c>
      <c r="J46" s="564"/>
      <c r="K46" s="564"/>
    </row>
    <row r="47" spans="1:13" ht="13.5" outlineLevel="1" thickBot="1" x14ac:dyDescent="0.25">
      <c r="A47" s="505"/>
      <c r="B47" s="524"/>
      <c r="C47" s="555"/>
      <c r="D47" s="561"/>
      <c r="E47" s="561"/>
      <c r="F47" s="561"/>
      <c r="G47" s="561"/>
      <c r="H47" s="561"/>
      <c r="I47" s="561"/>
      <c r="J47" s="563"/>
      <c r="K47" s="563"/>
    </row>
    <row r="48" spans="1:13" ht="13.5" hidden="1" outlineLevel="1" thickBot="1" x14ac:dyDescent="0.25">
      <c r="B48" s="541" t="s">
        <v>401</v>
      </c>
      <c r="C48" s="482"/>
      <c r="D48" s="482">
        <v>2016</v>
      </c>
      <c r="E48" s="482">
        <v>2017</v>
      </c>
      <c r="F48" s="482">
        <v>2018</v>
      </c>
      <c r="G48" s="482">
        <v>2019</v>
      </c>
      <c r="H48" s="482">
        <v>2020</v>
      </c>
      <c r="I48" s="481">
        <v>2021</v>
      </c>
      <c r="J48" s="563"/>
      <c r="K48" s="542" t="s">
        <v>380</v>
      </c>
      <c r="L48" s="542" t="s">
        <v>381</v>
      </c>
    </row>
    <row r="49" spans="2:13" ht="13.5" hidden="1" outlineLevel="1" thickBot="1" x14ac:dyDescent="0.25">
      <c r="B49" s="486" t="s">
        <v>402</v>
      </c>
      <c r="C49" s="478" t="s">
        <v>354</v>
      </c>
      <c r="D49" s="528"/>
      <c r="E49" s="528">
        <v>0</v>
      </c>
      <c r="F49" s="561">
        <v>0</v>
      </c>
      <c r="G49" s="528">
        <v>0</v>
      </c>
      <c r="H49" s="528">
        <v>0</v>
      </c>
      <c r="I49" s="562">
        <v>0</v>
      </c>
      <c r="J49" s="563"/>
      <c r="K49" s="544" t="s">
        <v>383</v>
      </c>
      <c r="L49" s="545" t="s">
        <v>403</v>
      </c>
    </row>
    <row r="50" spans="2:13" ht="13.5" hidden="1" outlineLevel="1" thickBot="1" x14ac:dyDescent="0.25">
      <c r="B50" s="486" t="s">
        <v>404</v>
      </c>
      <c r="C50" s="478" t="s">
        <v>354</v>
      </c>
      <c r="D50" s="528"/>
      <c r="E50" s="528">
        <v>0</v>
      </c>
      <c r="F50" s="561">
        <v>0</v>
      </c>
      <c r="G50" s="528">
        <v>0</v>
      </c>
      <c r="H50" s="528">
        <v>0</v>
      </c>
      <c r="I50" s="562">
        <v>0</v>
      </c>
      <c r="J50" s="563"/>
      <c r="K50" s="547" t="s">
        <v>383</v>
      </c>
      <c r="L50" s="548"/>
    </row>
    <row r="51" spans="2:13" ht="13.5" hidden="1" outlineLevel="1" thickBot="1" x14ac:dyDescent="0.25">
      <c r="B51" s="549" t="s">
        <v>405</v>
      </c>
      <c r="C51" s="473" t="s">
        <v>354</v>
      </c>
      <c r="D51" s="565"/>
      <c r="E51" s="565"/>
      <c r="F51" s="566"/>
      <c r="G51" s="565"/>
      <c r="H51" s="565"/>
      <c r="I51" s="567"/>
      <c r="J51" s="563"/>
      <c r="K51" s="553" t="s">
        <v>383</v>
      </c>
      <c r="L51" s="554"/>
    </row>
    <row r="52" spans="2:13" ht="13.5" hidden="1" outlineLevel="1" thickBot="1" x14ac:dyDescent="0.25">
      <c r="B52" s="538"/>
      <c r="C52" s="555"/>
      <c r="D52" s="540"/>
      <c r="E52" s="540"/>
      <c r="F52" s="540"/>
      <c r="G52" s="540"/>
      <c r="H52" s="540"/>
      <c r="I52" s="540"/>
    </row>
    <row r="53" spans="2:13" outlineLevel="1" x14ac:dyDescent="0.2">
      <c r="B53" s="541" t="s">
        <v>72</v>
      </c>
      <c r="C53" s="482"/>
      <c r="D53" s="482">
        <v>2016</v>
      </c>
      <c r="E53" s="482">
        <v>2017</v>
      </c>
      <c r="F53" s="482">
        <v>2018</v>
      </c>
      <c r="G53" s="482">
        <v>2019</v>
      </c>
      <c r="H53" s="482">
        <v>2020</v>
      </c>
      <c r="I53" s="481">
        <v>2021</v>
      </c>
      <c r="J53" s="563"/>
      <c r="K53" s="563"/>
    </row>
    <row r="54" spans="2:13" outlineLevel="1" x14ac:dyDescent="0.2">
      <c r="B54" s="486" t="s">
        <v>406</v>
      </c>
      <c r="C54" s="478" t="s">
        <v>354</v>
      </c>
      <c r="D54" s="556"/>
      <c r="E54" s="532">
        <v>173114.76168767121</v>
      </c>
      <c r="F54" s="540">
        <v>0</v>
      </c>
      <c r="G54" s="532">
        <v>0</v>
      </c>
      <c r="H54" s="532">
        <v>0</v>
      </c>
      <c r="I54" s="543">
        <v>0</v>
      </c>
      <c r="J54" s="563"/>
      <c r="K54" s="563"/>
      <c r="M54" s="557"/>
    </row>
    <row r="55" spans="2:13" outlineLevel="1" x14ac:dyDescent="0.2">
      <c r="B55" s="486" t="s">
        <v>407</v>
      </c>
      <c r="C55" s="478" t="s">
        <v>354</v>
      </c>
      <c r="D55" s="528"/>
      <c r="E55" s="528">
        <v>0</v>
      </c>
      <c r="F55" s="561">
        <v>0</v>
      </c>
      <c r="G55" s="528">
        <v>0</v>
      </c>
      <c r="H55" s="528">
        <v>0</v>
      </c>
      <c r="I55" s="562">
        <v>0</v>
      </c>
      <c r="J55" s="563"/>
      <c r="K55" s="563"/>
      <c r="L55" s="563"/>
    </row>
    <row r="56" spans="2:13" outlineLevel="1" x14ac:dyDescent="0.2">
      <c r="B56" s="486" t="s">
        <v>408</v>
      </c>
      <c r="C56" s="478" t="s">
        <v>354</v>
      </c>
      <c r="D56" s="528"/>
      <c r="E56" s="528">
        <v>0</v>
      </c>
      <c r="F56" s="561">
        <v>0</v>
      </c>
      <c r="G56" s="528">
        <v>0</v>
      </c>
      <c r="H56" s="528">
        <v>0</v>
      </c>
      <c r="I56" s="562">
        <v>0</v>
      </c>
      <c r="J56" s="563"/>
      <c r="K56" s="563"/>
      <c r="L56" s="563"/>
      <c r="M56" s="557"/>
    </row>
    <row r="57" spans="2:13" s="526" customFormat="1" ht="13.5" outlineLevel="1" thickBot="1" x14ac:dyDescent="0.25">
      <c r="B57" s="534" t="s">
        <v>409</v>
      </c>
      <c r="C57" s="535" t="s">
        <v>354</v>
      </c>
      <c r="D57" s="550"/>
      <c r="E57" s="550">
        <v>0</v>
      </c>
      <c r="F57" s="551">
        <v>0</v>
      </c>
      <c r="G57" s="550">
        <v>0</v>
      </c>
      <c r="H57" s="550">
        <v>0</v>
      </c>
      <c r="I57" s="552">
        <v>0</v>
      </c>
      <c r="J57" s="564"/>
      <c r="K57" s="564"/>
      <c r="L57" s="564"/>
      <c r="M57" s="568"/>
    </row>
    <row r="58" spans="2:13" outlineLevel="1" x14ac:dyDescent="0.2">
      <c r="B58" s="569"/>
      <c r="C58" s="569"/>
      <c r="D58" s="569"/>
      <c r="E58" s="569"/>
      <c r="F58" s="569"/>
      <c r="G58" s="569"/>
      <c r="H58" s="569"/>
      <c r="I58" s="569"/>
    </row>
    <row r="59" spans="2:13" s="502" customFormat="1" x14ac:dyDescent="0.2">
      <c r="B59" s="501" t="s">
        <v>410</v>
      </c>
    </row>
    <row r="60" spans="2:13" outlineLevel="1" x14ac:dyDescent="0.2">
      <c r="B60" s="526" t="s">
        <v>371</v>
      </c>
      <c r="C60" s="526"/>
      <c r="D60" s="526"/>
      <c r="E60" s="526"/>
      <c r="F60" s="526"/>
      <c r="G60" s="526"/>
      <c r="H60" s="526"/>
      <c r="I60" s="526"/>
    </row>
    <row r="61" spans="2:13" ht="13.5" outlineLevel="1" thickBot="1" x14ac:dyDescent="0.25">
      <c r="B61" s="570"/>
      <c r="C61" s="526"/>
      <c r="D61" s="526"/>
      <c r="E61" s="526"/>
      <c r="F61" s="526"/>
      <c r="G61" s="526"/>
      <c r="H61" s="526"/>
      <c r="I61" s="526"/>
    </row>
    <row r="62" spans="2:13" ht="13.5" outlineLevel="1" thickBot="1" x14ac:dyDescent="0.25">
      <c r="B62" s="484" t="s">
        <v>411</v>
      </c>
      <c r="C62" s="482"/>
      <c r="D62" s="482"/>
      <c r="E62" s="482">
        <v>2017</v>
      </c>
      <c r="F62" s="482">
        <v>2018</v>
      </c>
      <c r="G62" s="482">
        <v>2019</v>
      </c>
      <c r="H62" s="482">
        <v>2020</v>
      </c>
      <c r="I62" s="481">
        <v>2021</v>
      </c>
      <c r="K62" s="542" t="s">
        <v>380</v>
      </c>
      <c r="L62" s="542" t="s">
        <v>381</v>
      </c>
    </row>
    <row r="63" spans="2:13" outlineLevel="1" x14ac:dyDescent="0.2">
      <c r="B63" s="479" t="s">
        <v>356</v>
      </c>
      <c r="C63" s="478" t="s">
        <v>354</v>
      </c>
      <c r="D63" s="477"/>
      <c r="E63" s="528">
        <v>15768.353693288846</v>
      </c>
      <c r="F63" s="528">
        <v>15768.353693288846</v>
      </c>
      <c r="G63" s="528">
        <v>15768.353693288846</v>
      </c>
      <c r="H63" s="528">
        <v>15768.353693288846</v>
      </c>
      <c r="I63" s="529">
        <v>15768.353693288846</v>
      </c>
      <c r="K63" s="544" t="s">
        <v>383</v>
      </c>
      <c r="L63" s="545"/>
    </row>
    <row r="64" spans="2:13" outlineLevel="1" x14ac:dyDescent="0.2">
      <c r="B64" s="479" t="s">
        <v>355</v>
      </c>
      <c r="C64" s="478" t="s">
        <v>354</v>
      </c>
      <c r="D64" s="477"/>
      <c r="E64" s="528">
        <v>6315.6858739024701</v>
      </c>
      <c r="F64" s="528">
        <v>6315.6858739024701</v>
      </c>
      <c r="G64" s="528">
        <v>6315.6858739024701</v>
      </c>
      <c r="H64" s="528">
        <v>6315.6858739024701</v>
      </c>
      <c r="I64" s="529">
        <v>6315.6858739024701</v>
      </c>
      <c r="K64" s="547" t="s">
        <v>383</v>
      </c>
      <c r="L64" s="548"/>
    </row>
    <row r="65" spans="1:13" outlineLevel="1" x14ac:dyDescent="0.2">
      <c r="B65" s="479" t="s">
        <v>412</v>
      </c>
      <c r="C65" s="478" t="s">
        <v>354</v>
      </c>
      <c r="D65" s="477"/>
      <c r="E65" s="528">
        <v>15473.921689318706</v>
      </c>
      <c r="F65" s="528">
        <v>15473.921689318706</v>
      </c>
      <c r="G65" s="528">
        <v>15473.921689318706</v>
      </c>
      <c r="H65" s="528">
        <v>15473.921689318706</v>
      </c>
      <c r="I65" s="529">
        <v>15473.921689318706</v>
      </c>
      <c r="K65" s="547" t="s">
        <v>383</v>
      </c>
      <c r="L65" s="548"/>
    </row>
    <row r="66" spans="1:13" outlineLevel="1" x14ac:dyDescent="0.2">
      <c r="B66" s="479" t="s">
        <v>413</v>
      </c>
      <c r="C66" s="478" t="s">
        <v>354</v>
      </c>
      <c r="D66" s="477"/>
      <c r="E66" s="528">
        <v>15850.573371225031</v>
      </c>
      <c r="F66" s="528">
        <v>14649.797048133896</v>
      </c>
      <c r="G66" s="528">
        <v>13449.020725042763</v>
      </c>
      <c r="H66" s="528">
        <v>12248.244401951635</v>
      </c>
      <c r="I66" s="529">
        <v>11047.468078860502</v>
      </c>
      <c r="K66" s="547" t="s">
        <v>383</v>
      </c>
      <c r="L66" s="548"/>
    </row>
    <row r="67" spans="1:13" outlineLevel="2" x14ac:dyDescent="0.2">
      <c r="B67" s="479" t="s">
        <v>414</v>
      </c>
      <c r="C67" s="478" t="s">
        <v>354</v>
      </c>
      <c r="D67" s="477"/>
      <c r="E67" s="528">
        <v>0</v>
      </c>
      <c r="F67" s="528">
        <v>0</v>
      </c>
      <c r="G67" s="528">
        <v>0</v>
      </c>
      <c r="H67" s="528">
        <v>0</v>
      </c>
      <c r="I67" s="529">
        <v>0</v>
      </c>
      <c r="K67" s="547" t="s">
        <v>383</v>
      </c>
      <c r="L67" s="548"/>
    </row>
    <row r="68" spans="1:13" ht="13.5" outlineLevel="1" thickBot="1" x14ac:dyDescent="0.25">
      <c r="B68" s="571" t="s">
        <v>415</v>
      </c>
      <c r="C68" s="531" t="s">
        <v>354</v>
      </c>
      <c r="D68" s="572"/>
      <c r="E68" s="528">
        <v>15</v>
      </c>
      <c r="F68" s="528">
        <v>130</v>
      </c>
      <c r="G68" s="528">
        <v>130</v>
      </c>
      <c r="H68" s="528">
        <v>130</v>
      </c>
      <c r="I68" s="528">
        <v>15</v>
      </c>
      <c r="K68" s="553" t="s">
        <v>383</v>
      </c>
      <c r="L68" s="554" t="s">
        <v>416</v>
      </c>
    </row>
    <row r="69" spans="1:13" ht="13.5" outlineLevel="1" thickBot="1" x14ac:dyDescent="0.25">
      <c r="B69" s="573" t="s">
        <v>417</v>
      </c>
      <c r="C69" s="574"/>
      <c r="D69" s="574"/>
      <c r="E69" s="575">
        <v>53423.534627735047</v>
      </c>
      <c r="F69" s="575">
        <v>52337.75830464391</v>
      </c>
      <c r="G69" s="575">
        <v>51136.981981552781</v>
      </c>
      <c r="H69" s="575">
        <v>49936.205658461651</v>
      </c>
      <c r="I69" s="576">
        <v>48620.429335370522</v>
      </c>
      <c r="L69" s="563"/>
      <c r="M69" s="557"/>
    </row>
    <row r="70" spans="1:13" ht="13.5" thickBot="1" x14ac:dyDescent="0.25">
      <c r="A70" s="577"/>
      <c r="B70" s="578"/>
      <c r="C70" s="577"/>
      <c r="D70" s="577"/>
      <c r="E70" s="579"/>
      <c r="F70" s="579"/>
      <c r="G70" s="579"/>
      <c r="H70" s="579"/>
      <c r="I70" s="579"/>
      <c r="L70" s="563"/>
    </row>
    <row r="71" spans="1:13" x14ac:dyDescent="0.2">
      <c r="B71" s="484" t="s">
        <v>418</v>
      </c>
      <c r="C71" s="482"/>
      <c r="D71" s="482"/>
      <c r="E71" s="482">
        <v>2017</v>
      </c>
      <c r="F71" s="482">
        <v>2018</v>
      </c>
      <c r="G71" s="482">
        <v>2019</v>
      </c>
      <c r="H71" s="482">
        <v>2020</v>
      </c>
      <c r="I71" s="481">
        <v>2021</v>
      </c>
      <c r="L71" s="563"/>
    </row>
    <row r="72" spans="1:13" x14ac:dyDescent="0.2">
      <c r="B72" s="479" t="s">
        <v>356</v>
      </c>
      <c r="C72" s="478" t="s">
        <v>354</v>
      </c>
      <c r="D72" s="477"/>
      <c r="E72" s="528">
        <v>3417.7008711426806</v>
      </c>
      <c r="F72" s="528">
        <v>6820.6076687232016</v>
      </c>
      <c r="G72" s="528">
        <v>6820.6076687232016</v>
      </c>
      <c r="H72" s="528">
        <v>6820.6076687232016</v>
      </c>
      <c r="I72" s="529">
        <v>6820.6076687232016</v>
      </c>
      <c r="L72" s="563"/>
    </row>
    <row r="73" spans="1:13" x14ac:dyDescent="0.2">
      <c r="B73" s="479" t="s">
        <v>355</v>
      </c>
      <c r="C73" s="478" t="s">
        <v>354</v>
      </c>
      <c r="D73" s="477"/>
      <c r="E73" s="528">
        <v>1368.8889489006592</v>
      </c>
      <c r="F73" s="528">
        <v>2731.8524395555551</v>
      </c>
      <c r="G73" s="528">
        <v>2731.8524395555551</v>
      </c>
      <c r="H73" s="528">
        <v>2731.8524395555551</v>
      </c>
      <c r="I73" s="529">
        <v>2731.8524395555551</v>
      </c>
      <c r="L73" s="563"/>
    </row>
    <row r="74" spans="1:13" x14ac:dyDescent="0.2">
      <c r="B74" s="479" t="s">
        <v>412</v>
      </c>
      <c r="C74" s="478" t="s">
        <v>354</v>
      </c>
      <c r="D74" s="477"/>
      <c r="E74" s="528">
        <v>6030.9891296280402</v>
      </c>
      <c r="F74" s="528">
        <v>12035.872142834463</v>
      </c>
      <c r="G74" s="528">
        <v>12035.872142834463</v>
      </c>
      <c r="H74" s="528">
        <v>12035.872142834463</v>
      </c>
      <c r="I74" s="529">
        <v>12035.872142834463</v>
      </c>
      <c r="L74" s="563"/>
    </row>
    <row r="75" spans="1:13" x14ac:dyDescent="0.2">
      <c r="B75" s="479" t="s">
        <v>413</v>
      </c>
      <c r="C75" s="478" t="s">
        <v>354</v>
      </c>
      <c r="D75" s="477"/>
      <c r="E75" s="528">
        <v>13433.705506963286</v>
      </c>
      <c r="F75" s="528">
        <v>26341.256280340865</v>
      </c>
      <c r="G75" s="528">
        <v>25407.27260205691</v>
      </c>
      <c r="H75" s="528">
        <v>24473.288923772951</v>
      </c>
      <c r="I75" s="529">
        <v>23539.305245488995</v>
      </c>
      <c r="L75" s="563"/>
    </row>
    <row r="76" spans="1:13" x14ac:dyDescent="0.2">
      <c r="B76" s="479" t="s">
        <v>419</v>
      </c>
      <c r="C76" s="478" t="s">
        <v>354</v>
      </c>
      <c r="D76" s="477"/>
      <c r="E76" s="580">
        <v>0</v>
      </c>
      <c r="F76" s="580">
        <v>16000</v>
      </c>
      <c r="G76" s="580">
        <v>16000</v>
      </c>
      <c r="H76" s="580">
        <v>16000</v>
      </c>
      <c r="I76" s="529">
        <v>0</v>
      </c>
      <c r="L76" s="563"/>
    </row>
    <row r="77" spans="1:13" ht="13.5" thickBot="1" x14ac:dyDescent="0.25">
      <c r="B77" s="474" t="s">
        <v>415</v>
      </c>
      <c r="C77" s="473" t="s">
        <v>354</v>
      </c>
      <c r="D77" s="485"/>
      <c r="E77" s="485"/>
      <c r="F77" s="485"/>
      <c r="G77" s="485"/>
      <c r="H77" s="485"/>
      <c r="I77" s="581"/>
      <c r="L77" s="563"/>
    </row>
    <row r="78" spans="1:13" ht="13.5" thickBot="1" x14ac:dyDescent="0.25">
      <c r="B78" s="573" t="s">
        <v>417</v>
      </c>
      <c r="C78" s="574"/>
      <c r="D78" s="574"/>
      <c r="E78" s="575">
        <v>24251.284456634668</v>
      </c>
      <c r="F78" s="575">
        <v>63929.588531454086</v>
      </c>
      <c r="G78" s="575">
        <v>62995.604853170131</v>
      </c>
      <c r="H78" s="575">
        <v>62061.621174886168</v>
      </c>
      <c r="I78" s="576">
        <v>45127.637496602212</v>
      </c>
      <c r="M78" s="557"/>
    </row>
    <row r="79" spans="1:13" ht="13.5" thickBot="1" x14ac:dyDescent="0.25">
      <c r="A79" s="577"/>
      <c r="B79" s="578"/>
      <c r="C79" s="577"/>
      <c r="D79" s="577"/>
      <c r="E79" s="579"/>
      <c r="F79" s="579"/>
      <c r="G79" s="579"/>
      <c r="H79" s="579"/>
      <c r="I79" s="579"/>
    </row>
    <row r="80" spans="1:13" ht="13.5" hidden="1" thickBot="1" x14ac:dyDescent="0.25">
      <c r="B80" s="484" t="s">
        <v>420</v>
      </c>
      <c r="C80" s="482"/>
      <c r="D80" s="482"/>
      <c r="E80" s="482" t="s">
        <v>465</v>
      </c>
      <c r="F80" s="482" t="s">
        <v>466</v>
      </c>
      <c r="G80" s="482" t="s">
        <v>467</v>
      </c>
      <c r="H80" s="482" t="s">
        <v>468</v>
      </c>
      <c r="I80" s="582" t="s">
        <v>421</v>
      </c>
    </row>
    <row r="81" spans="1:12" ht="13.5" hidden="1" thickBot="1" x14ac:dyDescent="0.25">
      <c r="B81" s="479" t="s">
        <v>422</v>
      </c>
      <c r="C81" s="478" t="s">
        <v>354</v>
      </c>
      <c r="D81" s="477"/>
      <c r="E81" s="528">
        <v>0</v>
      </c>
      <c r="F81" s="528">
        <v>0</v>
      </c>
      <c r="G81" s="528">
        <v>0</v>
      </c>
      <c r="H81" s="528">
        <v>0</v>
      </c>
      <c r="I81" s="529">
        <v>0</v>
      </c>
      <c r="L81" s="563"/>
    </row>
    <row r="82" spans="1:12" ht="13.5" hidden="1" thickBot="1" x14ac:dyDescent="0.25">
      <c r="B82" s="479" t="s">
        <v>423</v>
      </c>
      <c r="C82" s="478" t="s">
        <v>354</v>
      </c>
      <c r="D82" s="477"/>
      <c r="E82" s="528">
        <v>0</v>
      </c>
      <c r="F82" s="528">
        <v>0</v>
      </c>
      <c r="G82" s="528">
        <v>0</v>
      </c>
      <c r="H82" s="528">
        <v>0</v>
      </c>
      <c r="I82" s="529">
        <v>0</v>
      </c>
      <c r="L82" s="563"/>
    </row>
    <row r="83" spans="1:12" ht="13.5" hidden="1" thickBot="1" x14ac:dyDescent="0.25">
      <c r="B83" s="479" t="s">
        <v>424</v>
      </c>
      <c r="C83" s="478" t="s">
        <v>354</v>
      </c>
      <c r="D83" s="477"/>
      <c r="E83" s="528">
        <v>0</v>
      </c>
      <c r="F83" s="528">
        <v>0</v>
      </c>
      <c r="G83" s="528">
        <v>0</v>
      </c>
      <c r="H83" s="528">
        <v>0</v>
      </c>
      <c r="I83" s="529">
        <v>0</v>
      </c>
      <c r="L83" s="563"/>
    </row>
    <row r="84" spans="1:12" ht="13.5" hidden="1" thickBot="1" x14ac:dyDescent="0.25">
      <c r="B84" s="479" t="s">
        <v>425</v>
      </c>
      <c r="C84" s="478" t="s">
        <v>354</v>
      </c>
      <c r="D84" s="477"/>
      <c r="E84" s="528">
        <v>0</v>
      </c>
      <c r="F84" s="528">
        <v>0</v>
      </c>
      <c r="G84" s="528">
        <v>0</v>
      </c>
      <c r="H84" s="528">
        <v>0</v>
      </c>
      <c r="I84" s="529">
        <v>0</v>
      </c>
      <c r="L84" s="563"/>
    </row>
    <row r="85" spans="1:12" ht="13.5" hidden="1" thickBot="1" x14ac:dyDescent="0.25">
      <c r="B85" s="479" t="s">
        <v>412</v>
      </c>
      <c r="C85" s="478" t="s">
        <v>354</v>
      </c>
      <c r="D85" s="477"/>
      <c r="E85" s="528">
        <v>0</v>
      </c>
      <c r="F85" s="528">
        <v>0</v>
      </c>
      <c r="G85" s="528">
        <v>0</v>
      </c>
      <c r="H85" s="528">
        <v>0</v>
      </c>
      <c r="I85" s="529">
        <v>0</v>
      </c>
      <c r="L85" s="563"/>
    </row>
    <row r="86" spans="1:12" ht="13.5" hidden="1" thickBot="1" x14ac:dyDescent="0.25">
      <c r="B86" s="479" t="s">
        <v>426</v>
      </c>
      <c r="C86" s="478" t="s">
        <v>354</v>
      </c>
      <c r="D86" s="477"/>
      <c r="E86" s="528">
        <v>0</v>
      </c>
      <c r="F86" s="528">
        <v>0</v>
      </c>
      <c r="G86" s="528">
        <v>0</v>
      </c>
      <c r="H86" s="528">
        <v>0</v>
      </c>
      <c r="I86" s="529">
        <v>0</v>
      </c>
      <c r="L86" s="563"/>
    </row>
    <row r="87" spans="1:12" ht="13.5" hidden="1" thickBot="1" x14ac:dyDescent="0.25">
      <c r="B87" s="479" t="s">
        <v>413</v>
      </c>
      <c r="C87" s="478" t="s">
        <v>354</v>
      </c>
      <c r="D87" s="477"/>
      <c r="E87" s="528">
        <v>0</v>
      </c>
      <c r="F87" s="528">
        <v>0</v>
      </c>
      <c r="G87" s="528">
        <v>0</v>
      </c>
      <c r="H87" s="528">
        <v>0</v>
      </c>
      <c r="I87" s="529">
        <v>0</v>
      </c>
      <c r="L87" s="563"/>
    </row>
    <row r="88" spans="1:12" ht="13.5" hidden="1" thickBot="1" x14ac:dyDescent="0.25">
      <c r="B88" s="479" t="s">
        <v>427</v>
      </c>
      <c r="C88" s="478" t="s">
        <v>354</v>
      </c>
      <c r="D88" s="477"/>
      <c r="E88" s="528">
        <v>0</v>
      </c>
      <c r="F88" s="528">
        <v>0</v>
      </c>
      <c r="G88" s="528">
        <v>0</v>
      </c>
      <c r="H88" s="528">
        <v>0</v>
      </c>
      <c r="I88" s="529">
        <v>0</v>
      </c>
      <c r="L88" s="563"/>
    </row>
    <row r="89" spans="1:12" ht="13.5" hidden="1" thickBot="1" x14ac:dyDescent="0.25">
      <c r="B89" s="479" t="s">
        <v>414</v>
      </c>
      <c r="C89" s="478" t="s">
        <v>354</v>
      </c>
      <c r="D89" s="477"/>
      <c r="E89" s="583"/>
      <c r="F89" s="583"/>
      <c r="G89" s="583"/>
      <c r="H89" s="477"/>
      <c r="I89" s="584"/>
    </row>
    <row r="90" spans="1:12" ht="13.5" hidden="1" thickBot="1" x14ac:dyDescent="0.25">
      <c r="B90" s="474" t="s">
        <v>415</v>
      </c>
      <c r="C90" s="473" t="s">
        <v>354</v>
      </c>
      <c r="D90" s="485"/>
      <c r="E90" s="485"/>
      <c r="F90" s="485"/>
      <c r="G90" s="485"/>
      <c r="H90" s="485"/>
      <c r="I90" s="581"/>
    </row>
    <row r="91" spans="1:12" ht="13.5" hidden="1" thickBot="1" x14ac:dyDescent="0.25">
      <c r="B91" s="573" t="s">
        <v>417</v>
      </c>
      <c r="C91" s="574"/>
      <c r="D91" s="574"/>
      <c r="E91" s="575">
        <v>0</v>
      </c>
      <c r="F91" s="575">
        <v>0</v>
      </c>
      <c r="G91" s="575">
        <v>0</v>
      </c>
      <c r="H91" s="575">
        <v>0</v>
      </c>
      <c r="I91" s="576">
        <v>0</v>
      </c>
    </row>
    <row r="92" spans="1:12" ht="13.5" hidden="1" thickBot="1" x14ac:dyDescent="0.25">
      <c r="A92" s="577"/>
      <c r="B92" s="578"/>
      <c r="C92" s="577"/>
      <c r="D92" s="577"/>
      <c r="E92" s="579"/>
      <c r="F92" s="579"/>
      <c r="G92" s="579"/>
      <c r="H92" s="579"/>
      <c r="I92" s="579"/>
    </row>
    <row r="93" spans="1:12" ht="13.5" hidden="1" thickBot="1" x14ac:dyDescent="0.25">
      <c r="B93" s="484" t="s">
        <v>428</v>
      </c>
      <c r="C93" s="482"/>
      <c r="D93" s="482"/>
      <c r="E93" s="482" t="s">
        <v>465</v>
      </c>
      <c r="F93" s="482" t="s">
        <v>466</v>
      </c>
      <c r="G93" s="482" t="s">
        <v>467</v>
      </c>
      <c r="H93" s="482" t="s">
        <v>468</v>
      </c>
      <c r="I93" s="582" t="s">
        <v>421</v>
      </c>
    </row>
    <row r="94" spans="1:12" ht="13.5" hidden="1" thickBot="1" x14ac:dyDescent="0.25">
      <c r="B94" s="479" t="s">
        <v>429</v>
      </c>
      <c r="C94" s="478" t="s">
        <v>354</v>
      </c>
      <c r="D94" s="477"/>
      <c r="E94" s="528">
        <v>0</v>
      </c>
      <c r="F94" s="528">
        <v>0</v>
      </c>
      <c r="G94" s="528">
        <v>0</v>
      </c>
      <c r="H94" s="528">
        <v>0</v>
      </c>
      <c r="I94" s="529">
        <v>0</v>
      </c>
      <c r="L94" s="563"/>
    </row>
    <row r="95" spans="1:12" ht="13.5" hidden="1" thickBot="1" x14ac:dyDescent="0.25">
      <c r="B95" s="479" t="s">
        <v>430</v>
      </c>
      <c r="C95" s="478" t="s">
        <v>354</v>
      </c>
      <c r="D95" s="477"/>
      <c r="E95" s="528">
        <v>0</v>
      </c>
      <c r="F95" s="528">
        <v>0</v>
      </c>
      <c r="G95" s="528">
        <v>0</v>
      </c>
      <c r="H95" s="528">
        <v>0</v>
      </c>
      <c r="I95" s="529">
        <v>0</v>
      </c>
      <c r="L95" s="563"/>
    </row>
    <row r="96" spans="1:12" ht="13.5" hidden="1" thickBot="1" x14ac:dyDescent="0.25">
      <c r="B96" s="479" t="s">
        <v>431</v>
      </c>
      <c r="C96" s="478" t="s">
        <v>354</v>
      </c>
      <c r="D96" s="477"/>
      <c r="E96" s="528">
        <v>0</v>
      </c>
      <c r="F96" s="528">
        <v>0</v>
      </c>
      <c r="G96" s="528">
        <v>0</v>
      </c>
      <c r="H96" s="528">
        <v>0</v>
      </c>
      <c r="I96" s="529">
        <v>0</v>
      </c>
      <c r="L96" s="563"/>
    </row>
    <row r="97" spans="1:13" ht="13.5" hidden="1" thickBot="1" x14ac:dyDescent="0.25">
      <c r="B97" s="479" t="s">
        <v>432</v>
      </c>
      <c r="C97" s="478" t="s">
        <v>354</v>
      </c>
      <c r="D97" s="477"/>
      <c r="E97" s="528">
        <v>0</v>
      </c>
      <c r="F97" s="528">
        <v>0</v>
      </c>
      <c r="G97" s="528">
        <v>0</v>
      </c>
      <c r="H97" s="528">
        <v>0</v>
      </c>
      <c r="I97" s="529">
        <v>0</v>
      </c>
      <c r="L97" s="563"/>
    </row>
    <row r="98" spans="1:13" ht="13.5" hidden="1" thickBot="1" x14ac:dyDescent="0.25">
      <c r="B98" s="479" t="s">
        <v>412</v>
      </c>
      <c r="C98" s="478" t="s">
        <v>354</v>
      </c>
      <c r="D98" s="477"/>
      <c r="E98" s="528">
        <v>0</v>
      </c>
      <c r="F98" s="528">
        <v>0</v>
      </c>
      <c r="G98" s="528">
        <v>0</v>
      </c>
      <c r="H98" s="528">
        <v>0</v>
      </c>
      <c r="I98" s="529">
        <v>0</v>
      </c>
      <c r="L98" s="563"/>
    </row>
    <row r="99" spans="1:13" ht="13.5" hidden="1" thickBot="1" x14ac:dyDescent="0.25">
      <c r="B99" s="479" t="s">
        <v>433</v>
      </c>
      <c r="C99" s="478" t="s">
        <v>354</v>
      </c>
      <c r="D99" s="477"/>
      <c r="E99" s="528">
        <v>0</v>
      </c>
      <c r="F99" s="528">
        <v>0</v>
      </c>
      <c r="G99" s="528">
        <v>0</v>
      </c>
      <c r="H99" s="528">
        <v>0</v>
      </c>
      <c r="I99" s="529">
        <v>0</v>
      </c>
      <c r="L99" s="563"/>
    </row>
    <row r="100" spans="1:13" ht="13.5" hidden="1" thickBot="1" x14ac:dyDescent="0.25">
      <c r="B100" s="479" t="s">
        <v>413</v>
      </c>
      <c r="C100" s="478" t="s">
        <v>354</v>
      </c>
      <c r="D100" s="477"/>
      <c r="E100" s="528">
        <v>0</v>
      </c>
      <c r="F100" s="528">
        <v>0</v>
      </c>
      <c r="G100" s="528">
        <v>0</v>
      </c>
      <c r="H100" s="528">
        <v>0</v>
      </c>
      <c r="I100" s="529">
        <v>0</v>
      </c>
      <c r="L100" s="563"/>
    </row>
    <row r="101" spans="1:13" ht="13.5" hidden="1" thickBot="1" x14ac:dyDescent="0.25">
      <c r="B101" s="479" t="s">
        <v>434</v>
      </c>
      <c r="C101" s="478" t="s">
        <v>354</v>
      </c>
      <c r="D101" s="477"/>
      <c r="E101" s="528">
        <v>0</v>
      </c>
      <c r="F101" s="528">
        <v>0</v>
      </c>
      <c r="G101" s="528">
        <v>0</v>
      </c>
      <c r="H101" s="528">
        <v>0</v>
      </c>
      <c r="I101" s="529">
        <v>0</v>
      </c>
      <c r="L101" s="563"/>
    </row>
    <row r="102" spans="1:13" ht="13.5" hidden="1" thickBot="1" x14ac:dyDescent="0.25">
      <c r="B102" s="479" t="s">
        <v>414</v>
      </c>
      <c r="C102" s="478" t="s">
        <v>354</v>
      </c>
      <c r="D102" s="477"/>
      <c r="E102" s="477"/>
      <c r="F102" s="477"/>
      <c r="G102" s="477"/>
      <c r="H102" s="477"/>
      <c r="I102" s="584"/>
    </row>
    <row r="103" spans="1:13" ht="13.5" hidden="1" thickBot="1" x14ac:dyDescent="0.25">
      <c r="B103" s="474" t="s">
        <v>415</v>
      </c>
      <c r="C103" s="473" t="s">
        <v>354</v>
      </c>
      <c r="D103" s="485"/>
      <c r="E103" s="485"/>
      <c r="F103" s="485"/>
      <c r="G103" s="485"/>
      <c r="H103" s="485"/>
      <c r="I103" s="581"/>
    </row>
    <row r="104" spans="1:13" ht="13.5" hidden="1" thickBot="1" x14ac:dyDescent="0.25">
      <c r="B104" s="573" t="s">
        <v>417</v>
      </c>
      <c r="C104" s="574"/>
      <c r="D104" s="574"/>
      <c r="E104" s="575">
        <v>0</v>
      </c>
      <c r="F104" s="575">
        <v>0</v>
      </c>
      <c r="G104" s="575">
        <v>0</v>
      </c>
      <c r="H104" s="575">
        <v>0</v>
      </c>
      <c r="I104" s="576">
        <v>0</v>
      </c>
    </row>
    <row r="105" spans="1:13" ht="13.5" hidden="1" thickBot="1" x14ac:dyDescent="0.25">
      <c r="A105" s="577"/>
      <c r="B105" s="578"/>
      <c r="C105" s="577"/>
      <c r="D105" s="577"/>
      <c r="E105" s="579"/>
      <c r="F105" s="579"/>
      <c r="G105" s="579"/>
      <c r="H105" s="579"/>
      <c r="I105" s="579"/>
    </row>
    <row r="106" spans="1:13" x14ac:dyDescent="0.2">
      <c r="B106" s="484" t="s">
        <v>357</v>
      </c>
      <c r="C106" s="482"/>
      <c r="D106" s="482"/>
      <c r="E106" s="482">
        <v>2017</v>
      </c>
      <c r="F106" s="482">
        <v>2018</v>
      </c>
      <c r="G106" s="482">
        <v>2019</v>
      </c>
      <c r="H106" s="482">
        <v>2020</v>
      </c>
      <c r="I106" s="481">
        <v>2021</v>
      </c>
    </row>
    <row r="107" spans="1:13" ht="21" x14ac:dyDescent="0.35">
      <c r="B107" s="479" t="s">
        <v>356</v>
      </c>
      <c r="C107" s="478" t="s">
        <v>354</v>
      </c>
      <c r="D107" s="477"/>
      <c r="E107" s="758">
        <v>1295.1334406122028</v>
      </c>
      <c r="F107" s="758">
        <v>1375.1296454122028</v>
      </c>
      <c r="G107" s="758">
        <v>1500.0398102122028</v>
      </c>
      <c r="H107" s="758">
        <v>1541.0645174122028</v>
      </c>
      <c r="I107" s="759">
        <v>1597.3106150122028</v>
      </c>
      <c r="M107" s="557"/>
    </row>
    <row r="108" spans="1:13" ht="21" x14ac:dyDescent="0.35">
      <c r="B108" s="479" t="s">
        <v>355</v>
      </c>
      <c r="C108" s="478" t="s">
        <v>354</v>
      </c>
      <c r="D108" s="477"/>
      <c r="E108" s="758">
        <v>518.73874310509211</v>
      </c>
      <c r="F108" s="758">
        <v>550.77955791990689</v>
      </c>
      <c r="G108" s="758">
        <v>600.80972458657357</v>
      </c>
      <c r="H108" s="758">
        <v>617.24131717916612</v>
      </c>
      <c r="I108" s="759">
        <v>639.76952088286987</v>
      </c>
    </row>
    <row r="109" spans="1:13" x14ac:dyDescent="0.2">
      <c r="B109" s="479" t="s">
        <v>412</v>
      </c>
      <c r="C109" s="478" t="s">
        <v>354</v>
      </c>
      <c r="D109" s="477"/>
      <c r="E109" s="528">
        <v>834.43145843643106</v>
      </c>
      <c r="F109" s="528">
        <v>1029.6983762446503</v>
      </c>
      <c r="G109" s="528">
        <v>1151.3209789843761</v>
      </c>
      <c r="H109" s="528">
        <v>1200.365855696705</v>
      </c>
      <c r="I109" s="529">
        <v>1274.9472118610884</v>
      </c>
    </row>
    <row r="110" spans="1:13" ht="13.5" thickBot="1" x14ac:dyDescent="0.25">
      <c r="B110" s="474" t="s">
        <v>413</v>
      </c>
      <c r="C110" s="473" t="s">
        <v>354</v>
      </c>
      <c r="D110" s="485"/>
      <c r="E110" s="565">
        <v>1145.9051144360001</v>
      </c>
      <c r="F110" s="565">
        <v>1395.5884332613332</v>
      </c>
      <c r="G110" s="565">
        <v>1806.6590392647479</v>
      </c>
      <c r="H110" s="565">
        <v>1878.5693312955605</v>
      </c>
      <c r="I110" s="585">
        <v>2006.503340893496</v>
      </c>
    </row>
    <row r="111" spans="1:13" ht="13.5" thickBot="1" x14ac:dyDescent="0.25">
      <c r="B111" s="573" t="s">
        <v>417</v>
      </c>
      <c r="C111" s="574"/>
      <c r="D111" s="574"/>
      <c r="E111" s="575">
        <v>3794.2087565897259</v>
      </c>
      <c r="F111" s="575">
        <v>4351.1960128380933</v>
      </c>
      <c r="G111" s="575">
        <v>5058.8295530478999</v>
      </c>
      <c r="H111" s="575">
        <v>5237.2410215836335</v>
      </c>
      <c r="I111" s="576">
        <v>5518.5306886496564</v>
      </c>
    </row>
    <row r="112" spans="1:13" ht="13.5" thickBot="1" x14ac:dyDescent="0.25">
      <c r="B112" s="578"/>
      <c r="C112" s="577"/>
      <c r="D112" s="577"/>
      <c r="E112" s="579"/>
      <c r="F112" s="579"/>
      <c r="G112" s="579"/>
      <c r="H112" s="579"/>
      <c r="I112" s="579"/>
    </row>
    <row r="113" spans="2:16" x14ac:dyDescent="0.2">
      <c r="B113" s="484" t="s">
        <v>435</v>
      </c>
      <c r="C113" s="482"/>
      <c r="D113" s="482"/>
      <c r="E113" s="482">
        <v>2017</v>
      </c>
      <c r="F113" s="482">
        <v>2018</v>
      </c>
      <c r="G113" s="482">
        <v>2019</v>
      </c>
      <c r="H113" s="482">
        <v>2020</v>
      </c>
      <c r="I113" s="481">
        <v>2021</v>
      </c>
    </row>
    <row r="114" spans="2:16" x14ac:dyDescent="0.2">
      <c r="B114" s="479" t="s">
        <v>436</v>
      </c>
      <c r="C114" s="478" t="s">
        <v>354</v>
      </c>
      <c r="D114" s="477"/>
      <c r="E114" s="532">
        <v>3968.2589607008567</v>
      </c>
      <c r="F114" s="532">
        <v>4611.2581096897229</v>
      </c>
      <c r="G114" s="532">
        <v>5837.3934028983376</v>
      </c>
      <c r="H114" s="532">
        <v>4637.0328355575821</v>
      </c>
      <c r="I114" s="533">
        <v>4111.0328355575812</v>
      </c>
      <c r="P114" s="579"/>
    </row>
    <row r="115" spans="2:16" x14ac:dyDescent="0.2">
      <c r="B115" s="479" t="s">
        <v>437</v>
      </c>
      <c r="C115" s="478" t="s">
        <v>354</v>
      </c>
      <c r="D115" s="477"/>
      <c r="E115" s="532">
        <v>3222.9667539023421</v>
      </c>
      <c r="F115" s="532">
        <v>3405.3667539023422</v>
      </c>
      <c r="G115" s="532">
        <v>2347.3667539023422</v>
      </c>
      <c r="H115" s="532">
        <v>1573.366753902342</v>
      </c>
      <c r="I115" s="533">
        <v>2173.3667539023422</v>
      </c>
      <c r="L115" s="557"/>
    </row>
    <row r="116" spans="2:16" ht="13.5" thickBot="1" x14ac:dyDescent="0.25">
      <c r="B116" s="573" t="s">
        <v>417</v>
      </c>
      <c r="C116" s="574"/>
      <c r="D116" s="574"/>
      <c r="E116" s="575">
        <v>7191.2257146031989</v>
      </c>
      <c r="F116" s="575">
        <v>8016.6248635920656</v>
      </c>
      <c r="G116" s="575">
        <v>8184.7601568006794</v>
      </c>
      <c r="H116" s="575">
        <v>6210.3995894599238</v>
      </c>
      <c r="I116" s="576">
        <v>6284.3995894599229</v>
      </c>
    </row>
    <row r="117" spans="2:16" ht="13.5" thickBot="1" x14ac:dyDescent="0.25">
      <c r="B117" s="578"/>
      <c r="C117" s="577"/>
      <c r="D117" s="577"/>
      <c r="E117" s="579"/>
      <c r="F117" s="579"/>
      <c r="G117" s="579"/>
      <c r="H117" s="579"/>
      <c r="I117" s="579"/>
    </row>
    <row r="118" spans="2:16" x14ac:dyDescent="0.2">
      <c r="B118" s="484" t="s">
        <v>438</v>
      </c>
      <c r="C118" s="586"/>
      <c r="D118" s="482" t="s">
        <v>439</v>
      </c>
      <c r="E118" s="482" t="s">
        <v>465</v>
      </c>
      <c r="F118" s="482" t="s">
        <v>466</v>
      </c>
      <c r="G118" s="482" t="s">
        <v>467</v>
      </c>
      <c r="H118" s="481" t="s">
        <v>468</v>
      </c>
      <c r="I118" s="579"/>
    </row>
    <row r="119" spans="2:16" x14ac:dyDescent="0.2">
      <c r="B119" s="587" t="s">
        <v>440</v>
      </c>
      <c r="C119" s="588" t="s">
        <v>354</v>
      </c>
      <c r="D119" s="589">
        <v>170557.88357331316</v>
      </c>
      <c r="E119" s="589">
        <v>52880.646466189479</v>
      </c>
      <c r="F119" s="589">
        <v>51737.370143098349</v>
      </c>
      <c r="G119" s="589">
        <v>50536.593820007212</v>
      </c>
      <c r="H119" s="590">
        <v>49278.31749691609</v>
      </c>
      <c r="I119" s="579"/>
    </row>
    <row r="120" spans="2:16" x14ac:dyDescent="0.2">
      <c r="B120" s="587" t="s">
        <v>441</v>
      </c>
      <c r="C120" s="588" t="s">
        <v>354</v>
      </c>
      <c r="D120" s="589">
        <v>185282.36754163794</v>
      </c>
      <c r="E120" s="589">
        <v>44090.436494044377</v>
      </c>
      <c r="F120" s="589">
        <v>63462.596692312109</v>
      </c>
      <c r="G120" s="589">
        <v>62528.613014028146</v>
      </c>
      <c r="H120" s="590">
        <v>53594.62933574419</v>
      </c>
      <c r="I120" s="579"/>
    </row>
    <row r="121" spans="2:16" x14ac:dyDescent="0.2">
      <c r="B121" s="591" t="s">
        <v>442</v>
      </c>
      <c r="C121" s="592" t="s">
        <v>354</v>
      </c>
      <c r="D121" s="593">
        <v>170557.88357331316</v>
      </c>
      <c r="E121" s="593">
        <v>51220.151770625169</v>
      </c>
      <c r="F121" s="593">
        <v>51220.151770625169</v>
      </c>
      <c r="G121" s="593">
        <v>51220.151770625169</v>
      </c>
      <c r="H121" s="594">
        <v>51220.151770625169</v>
      </c>
      <c r="I121" s="579"/>
    </row>
    <row r="122" spans="2:16" ht="13.5" thickBot="1" x14ac:dyDescent="0.25">
      <c r="B122" s="595" t="s">
        <v>443</v>
      </c>
      <c r="C122" s="596" t="s">
        <v>354</v>
      </c>
      <c r="D122" s="597">
        <v>185282.367541638</v>
      </c>
      <c r="E122" s="597">
        <v>55642.054105485877</v>
      </c>
      <c r="F122" s="597">
        <v>55642.054105485877</v>
      </c>
      <c r="G122" s="597">
        <v>55642.054105485877</v>
      </c>
      <c r="H122" s="598">
        <v>55642.054105485877</v>
      </c>
      <c r="I122" s="579"/>
    </row>
    <row r="123" spans="2:16" ht="13.5" thickBot="1" x14ac:dyDescent="0.25">
      <c r="B123" s="578"/>
      <c r="C123" s="577"/>
      <c r="D123" s="579"/>
      <c r="E123" s="579"/>
      <c r="F123" s="579"/>
      <c r="G123" s="579"/>
      <c r="H123" s="579"/>
      <c r="I123" s="579"/>
    </row>
    <row r="124" spans="2:16" x14ac:dyDescent="0.2">
      <c r="B124" s="484" t="s">
        <v>444</v>
      </c>
      <c r="C124" s="482"/>
      <c r="D124" s="482"/>
      <c r="E124" s="482" t="s">
        <v>465</v>
      </c>
      <c r="F124" s="482" t="s">
        <v>466</v>
      </c>
      <c r="G124" s="482" t="s">
        <v>467</v>
      </c>
      <c r="H124" s="481" t="s">
        <v>468</v>
      </c>
    </row>
    <row r="125" spans="2:16" x14ac:dyDescent="0.2">
      <c r="B125" s="599" t="s">
        <v>445</v>
      </c>
      <c r="C125" s="600"/>
      <c r="D125" s="601"/>
      <c r="E125" s="602"/>
      <c r="F125" s="602"/>
      <c r="G125" s="602"/>
      <c r="H125" s="603"/>
    </row>
    <row r="126" spans="2:16" outlineLevel="1" x14ac:dyDescent="0.2">
      <c r="B126" s="587" t="s">
        <v>440</v>
      </c>
      <c r="C126" s="588" t="s">
        <v>354</v>
      </c>
      <c r="D126" s="589"/>
      <c r="E126" s="604">
        <v>51220.151770625169</v>
      </c>
      <c r="F126" s="604">
        <v>51220.151770625169</v>
      </c>
      <c r="G126" s="604">
        <v>51220.151770625169</v>
      </c>
      <c r="H126" s="605">
        <v>51220.151770625169</v>
      </c>
    </row>
    <row r="127" spans="2:16" hidden="1" outlineLevel="1" x14ac:dyDescent="0.2">
      <c r="B127" s="587" t="s">
        <v>446</v>
      </c>
      <c r="C127" s="588" t="s">
        <v>354</v>
      </c>
      <c r="D127" s="606"/>
      <c r="E127" s="604">
        <v>0</v>
      </c>
      <c r="F127" s="604">
        <v>0</v>
      </c>
      <c r="G127" s="604">
        <v>0</v>
      </c>
      <c r="H127" s="605">
        <v>0</v>
      </c>
      <c r="J127" s="563"/>
    </row>
    <row r="128" spans="2:16" hidden="1" collapsed="1" x14ac:dyDescent="0.2">
      <c r="B128" s="607" t="s">
        <v>447</v>
      </c>
      <c r="C128" s="608" t="s">
        <v>354</v>
      </c>
      <c r="D128" s="609"/>
      <c r="E128" s="610">
        <v>51220.151770625169</v>
      </c>
      <c r="F128" s="610">
        <v>51220.151770625169</v>
      </c>
      <c r="G128" s="610">
        <v>51220.151770625169</v>
      </c>
      <c r="H128" s="611">
        <v>51220.151770625169</v>
      </c>
      <c r="J128" s="563"/>
    </row>
    <row r="129" spans="2:9" x14ac:dyDescent="0.2">
      <c r="B129" s="612" t="s">
        <v>448</v>
      </c>
      <c r="C129" s="588"/>
      <c r="D129" s="606"/>
      <c r="E129" s="604"/>
      <c r="F129" s="604"/>
      <c r="G129" s="604"/>
      <c r="H129" s="605"/>
    </row>
    <row r="130" spans="2:9" outlineLevel="1" x14ac:dyDescent="0.2">
      <c r="B130" s="587" t="s">
        <v>441</v>
      </c>
      <c r="C130" s="588" t="s">
        <v>354</v>
      </c>
      <c r="D130" s="606"/>
      <c r="E130" s="604">
        <v>55642.054105485877</v>
      </c>
      <c r="F130" s="604">
        <v>55642.054105485877</v>
      </c>
      <c r="G130" s="604">
        <v>55642.054105485877</v>
      </c>
      <c r="H130" s="605">
        <v>55642.054105485877</v>
      </c>
    </row>
    <row r="131" spans="2:9" hidden="1" outlineLevel="1" x14ac:dyDescent="0.2">
      <c r="B131" s="587" t="s">
        <v>449</v>
      </c>
      <c r="C131" s="588" t="s">
        <v>354</v>
      </c>
      <c r="D131" s="606"/>
      <c r="E131" s="589">
        <v>0</v>
      </c>
      <c r="F131" s="589">
        <v>0</v>
      </c>
      <c r="G131" s="589">
        <v>0</v>
      </c>
      <c r="H131" s="590">
        <v>0</v>
      </c>
    </row>
    <row r="132" spans="2:9" hidden="1" collapsed="1" x14ac:dyDescent="0.2">
      <c r="B132" s="607" t="s">
        <v>450</v>
      </c>
      <c r="C132" s="608" t="s">
        <v>354</v>
      </c>
      <c r="D132" s="613"/>
      <c r="E132" s="610">
        <v>55642.054105485877</v>
      </c>
      <c r="F132" s="610">
        <v>55642.054105485877</v>
      </c>
      <c r="G132" s="610">
        <v>55642.054105485877</v>
      </c>
      <c r="H132" s="611">
        <v>55642.054105485877</v>
      </c>
    </row>
    <row r="133" spans="2:9" ht="21" x14ac:dyDescent="0.35">
      <c r="B133" s="614" t="s">
        <v>357</v>
      </c>
      <c r="C133" s="615" t="s">
        <v>354</v>
      </c>
      <c r="D133" s="762"/>
      <c r="E133" s="763">
        <v>4072.7023847139099</v>
      </c>
      <c r="F133" s="763">
        <v>4705.0127829429966</v>
      </c>
      <c r="G133" s="763">
        <v>5148.0352873157663</v>
      </c>
      <c r="H133" s="764">
        <v>5377.885855116645</v>
      </c>
    </row>
    <row r="134" spans="2:9" x14ac:dyDescent="0.2">
      <c r="B134" s="616" t="s">
        <v>451</v>
      </c>
      <c r="C134" s="588"/>
      <c r="D134" s="606"/>
      <c r="E134" s="589"/>
      <c r="F134" s="589"/>
      <c r="G134" s="589"/>
      <c r="H134" s="590"/>
    </row>
    <row r="135" spans="2:9" outlineLevel="1" x14ac:dyDescent="0.2">
      <c r="B135" s="587" t="s">
        <v>436</v>
      </c>
      <c r="C135" s="588" t="s">
        <v>354</v>
      </c>
      <c r="D135" s="606"/>
      <c r="E135" s="589">
        <v>4289.7585351952894</v>
      </c>
      <c r="F135" s="589">
        <v>5224.3257562940307</v>
      </c>
      <c r="G135" s="589">
        <v>5237.2131192279594</v>
      </c>
      <c r="H135" s="590">
        <v>4374.0328355575821</v>
      </c>
    </row>
    <row r="136" spans="2:9" outlineLevel="1" x14ac:dyDescent="0.2">
      <c r="B136" s="587" t="s">
        <v>437</v>
      </c>
      <c r="C136" s="588" t="s">
        <v>354</v>
      </c>
      <c r="D136" s="606"/>
      <c r="E136" s="589">
        <v>3314.166753902342</v>
      </c>
      <c r="F136" s="589">
        <v>2876.3667539023422</v>
      </c>
      <c r="G136" s="589">
        <v>1960.3667539023422</v>
      </c>
      <c r="H136" s="590">
        <v>1873.3667539023422</v>
      </c>
    </row>
    <row r="137" spans="2:9" ht="13.5" thickBot="1" x14ac:dyDescent="0.25">
      <c r="B137" s="617" t="s">
        <v>452</v>
      </c>
      <c r="C137" s="596" t="s">
        <v>354</v>
      </c>
      <c r="D137" s="618"/>
      <c r="E137" s="619">
        <v>7603.9252890976313</v>
      </c>
      <c r="F137" s="619">
        <v>8100.6925101963734</v>
      </c>
      <c r="G137" s="619">
        <v>7197.5798731303021</v>
      </c>
      <c r="H137" s="620">
        <v>6247.3995894599248</v>
      </c>
    </row>
    <row r="138" spans="2:9" ht="13.5" thickBot="1" x14ac:dyDescent="0.25">
      <c r="B138" s="621" t="s">
        <v>453</v>
      </c>
      <c r="C138" s="622" t="s">
        <v>354</v>
      </c>
      <c r="D138" s="623"/>
      <c r="E138" s="624">
        <v>118538.83354992259</v>
      </c>
      <c r="F138" s="624">
        <v>119667.91116925042</v>
      </c>
      <c r="G138" s="624">
        <v>119207.82103655713</v>
      </c>
      <c r="H138" s="625">
        <v>118487.49132068762</v>
      </c>
    </row>
    <row r="139" spans="2:9" ht="13.5" thickBot="1" x14ac:dyDescent="0.25">
      <c r="B139" s="578"/>
      <c r="C139" s="577"/>
      <c r="D139" s="577"/>
      <c r="E139" s="579"/>
      <c r="F139" s="579"/>
      <c r="G139" s="579"/>
      <c r="H139" s="579"/>
      <c r="I139" s="579"/>
    </row>
    <row r="140" spans="2:9" x14ac:dyDescent="0.2">
      <c r="B140" s="626" t="s">
        <v>454</v>
      </c>
      <c r="C140" s="627"/>
      <c r="D140" s="627"/>
      <c r="E140" s="482" t="s">
        <v>465</v>
      </c>
      <c r="F140" s="482" t="s">
        <v>466</v>
      </c>
      <c r="G140" s="482" t="s">
        <v>467</v>
      </c>
      <c r="H140" s="481" t="s">
        <v>468</v>
      </c>
      <c r="I140" s="579"/>
    </row>
    <row r="141" spans="2:9" ht="13.5" thickBot="1" x14ac:dyDescent="0.25">
      <c r="B141" s="628"/>
      <c r="C141" s="629"/>
      <c r="D141" s="629"/>
      <c r="E141" s="630">
        <v>0.96332140106614561</v>
      </c>
      <c r="F141" s="630">
        <v>0.8939508176189177</v>
      </c>
      <c r="G141" s="630">
        <v>0.82957574018088143</v>
      </c>
      <c r="H141" s="631">
        <v>0.76983643298151583</v>
      </c>
      <c r="I141" s="579"/>
    </row>
    <row r="142" spans="2:9" ht="13.5" thickBot="1" x14ac:dyDescent="0.25">
      <c r="B142" s="578"/>
      <c r="C142" s="577"/>
      <c r="D142" s="577"/>
      <c r="E142" s="579"/>
      <c r="F142" s="632"/>
      <c r="G142" s="579"/>
      <c r="H142" s="579"/>
      <c r="I142" s="579"/>
    </row>
    <row r="143" spans="2:9" x14ac:dyDescent="0.2">
      <c r="B143" s="484" t="s">
        <v>455</v>
      </c>
      <c r="C143" s="482"/>
      <c r="D143" s="482" t="s">
        <v>353</v>
      </c>
      <c r="E143" s="482" t="s">
        <v>465</v>
      </c>
      <c r="F143" s="482" t="s">
        <v>466</v>
      </c>
      <c r="G143" s="482" t="s">
        <v>467</v>
      </c>
      <c r="H143" s="481" t="s">
        <v>468</v>
      </c>
      <c r="I143" s="633"/>
    </row>
    <row r="144" spans="2:9" x14ac:dyDescent="0.2">
      <c r="B144" s="599" t="s">
        <v>445</v>
      </c>
      <c r="C144" s="600"/>
      <c r="D144" s="601"/>
      <c r="E144" s="602"/>
      <c r="F144" s="602"/>
      <c r="G144" s="602"/>
      <c r="H144" s="603"/>
      <c r="I144" s="634"/>
    </row>
    <row r="145" spans="2:23" outlineLevel="1" x14ac:dyDescent="0.2">
      <c r="B145" s="587" t="s">
        <v>440</v>
      </c>
      <c r="C145" s="588" t="s">
        <v>354</v>
      </c>
      <c r="D145" s="604">
        <v>177051.89917357813</v>
      </c>
      <c r="E145" s="604">
        <v>49341.468366499255</v>
      </c>
      <c r="F145" s="604">
        <v>45788.296553915425</v>
      </c>
      <c r="G145" s="604">
        <v>42490.995317293462</v>
      </c>
      <c r="H145" s="605">
        <v>39431.138935869953</v>
      </c>
      <c r="I145" s="634"/>
    </row>
    <row r="146" spans="2:23" hidden="1" outlineLevel="1" x14ac:dyDescent="0.2">
      <c r="B146" s="587" t="s">
        <v>446</v>
      </c>
      <c r="C146" s="588" t="s">
        <v>354</v>
      </c>
      <c r="D146" s="589">
        <v>0</v>
      </c>
      <c r="E146" s="589">
        <v>0</v>
      </c>
      <c r="F146" s="589">
        <v>0</v>
      </c>
      <c r="G146" s="589">
        <v>0</v>
      </c>
      <c r="H146" s="590">
        <v>0</v>
      </c>
      <c r="I146" s="634"/>
    </row>
    <row r="147" spans="2:23" hidden="1" collapsed="1" x14ac:dyDescent="0.2">
      <c r="B147" s="607" t="s">
        <v>447</v>
      </c>
      <c r="C147" s="608" t="s">
        <v>354</v>
      </c>
      <c r="D147" s="610">
        <v>177051.89917357813</v>
      </c>
      <c r="E147" s="610">
        <v>49341.468366499255</v>
      </c>
      <c r="F147" s="610">
        <v>45788.296553915425</v>
      </c>
      <c r="G147" s="610">
        <v>42490.995317293462</v>
      </c>
      <c r="H147" s="611">
        <v>39431.138935869953</v>
      </c>
      <c r="I147" s="635"/>
    </row>
    <row r="148" spans="2:23" x14ac:dyDescent="0.2">
      <c r="B148" s="612" t="s">
        <v>448</v>
      </c>
      <c r="C148" s="588"/>
      <c r="D148" s="589">
        <v>0</v>
      </c>
      <c r="E148" s="589"/>
      <c r="F148" s="589"/>
      <c r="G148" s="589"/>
      <c r="H148" s="590"/>
      <c r="I148" s="634"/>
    </row>
    <row r="149" spans="2:23" outlineLevel="1" x14ac:dyDescent="0.2">
      <c r="B149" s="587" t="s">
        <v>441</v>
      </c>
      <c r="C149" s="588" t="s">
        <v>354</v>
      </c>
      <c r="D149" s="604">
        <v>192337.01995676494</v>
      </c>
      <c r="E149" s="604">
        <v>53601.181519094935</v>
      </c>
      <c r="F149" s="604">
        <v>49741.259761595153</v>
      </c>
      <c r="G149" s="604">
        <v>46159.298219743097</v>
      </c>
      <c r="H149" s="605">
        <v>42835.280456331755</v>
      </c>
      <c r="I149" s="634"/>
    </row>
    <row r="150" spans="2:23" hidden="1" outlineLevel="1" x14ac:dyDescent="0.2">
      <c r="B150" s="587" t="s">
        <v>449</v>
      </c>
      <c r="C150" s="588" t="s">
        <v>354</v>
      </c>
      <c r="D150" s="589">
        <v>0</v>
      </c>
      <c r="E150" s="589">
        <v>0</v>
      </c>
      <c r="F150" s="589">
        <v>0</v>
      </c>
      <c r="G150" s="589">
        <v>0</v>
      </c>
      <c r="H150" s="590">
        <v>0</v>
      </c>
      <c r="I150" s="634"/>
    </row>
    <row r="151" spans="2:23" hidden="1" collapsed="1" x14ac:dyDescent="0.2">
      <c r="B151" s="607" t="s">
        <v>450</v>
      </c>
      <c r="C151" s="608" t="s">
        <v>354</v>
      </c>
      <c r="D151" s="610">
        <v>192337.01995676494</v>
      </c>
      <c r="E151" s="610">
        <v>53601.181519094935</v>
      </c>
      <c r="F151" s="610">
        <v>49741.259761595153</v>
      </c>
      <c r="G151" s="610">
        <v>46159.298219743097</v>
      </c>
      <c r="H151" s="611">
        <v>42835.280456331755</v>
      </c>
      <c r="I151" s="634"/>
    </row>
    <row r="152" spans="2:23" ht="16.5" customHeight="1" x14ac:dyDescent="0.3">
      <c r="B152" s="614" t="s">
        <v>357</v>
      </c>
      <c r="C152" s="615" t="s">
        <v>354</v>
      </c>
      <c r="D152" s="725">
        <v>16540.149039224409</v>
      </c>
      <c r="E152" s="725">
        <v>3923.3213673680361</v>
      </c>
      <c r="F152" s="725">
        <v>4206.0500242193511</v>
      </c>
      <c r="G152" s="725">
        <v>4270.6851839522733</v>
      </c>
      <c r="H152" s="726">
        <v>4140.0924636847467</v>
      </c>
      <c r="I152" s="635"/>
    </row>
    <row r="153" spans="2:23" x14ac:dyDescent="0.2">
      <c r="B153" s="616" t="s">
        <v>451</v>
      </c>
      <c r="C153" s="588"/>
      <c r="D153" s="589">
        <v>0</v>
      </c>
      <c r="E153" s="589"/>
      <c r="F153" s="589"/>
      <c r="G153" s="589"/>
      <c r="H153" s="590"/>
      <c r="I153" s="634"/>
    </row>
    <row r="154" spans="2:23" outlineLevel="1" x14ac:dyDescent="0.2">
      <c r="B154" s="587" t="s">
        <v>436</v>
      </c>
      <c r="C154" s="588" t="s">
        <v>354</v>
      </c>
      <c r="D154" s="589">
        <v>16514.661269444634</v>
      </c>
      <c r="E154" s="589">
        <v>4132.4162023597828</v>
      </c>
      <c r="F154" s="589">
        <v>4670.2902813466189</v>
      </c>
      <c r="G154" s="589">
        <v>4344.6649498685574</v>
      </c>
      <c r="H154" s="590">
        <v>3367.2898358696743</v>
      </c>
      <c r="I154" s="634"/>
    </row>
    <row r="155" spans="2:23" outlineLevel="1" x14ac:dyDescent="0.2">
      <c r="B155" s="587" t="s">
        <v>437</v>
      </c>
      <c r="C155" s="588" t="s">
        <v>354</v>
      </c>
      <c r="D155" s="589">
        <v>8832.3968525437831</v>
      </c>
      <c r="E155" s="589">
        <v>3192.6077607360439</v>
      </c>
      <c r="F155" s="589">
        <v>2571.3304114228713</v>
      </c>
      <c r="G155" s="589">
        <v>1626.2727008945274</v>
      </c>
      <c r="H155" s="590">
        <v>1442.1859794903403</v>
      </c>
      <c r="I155" s="634"/>
    </row>
    <row r="156" spans="2:23" ht="13.5" thickBot="1" x14ac:dyDescent="0.25">
      <c r="B156" s="617" t="s">
        <v>452</v>
      </c>
      <c r="C156" s="596" t="s">
        <v>354</v>
      </c>
      <c r="D156" s="619">
        <v>25347.058121988419</v>
      </c>
      <c r="E156" s="619">
        <v>7325.0239630958267</v>
      </c>
      <c r="F156" s="619">
        <v>7241.6206927694902</v>
      </c>
      <c r="G156" s="619">
        <v>5970.937650763085</v>
      </c>
      <c r="H156" s="620">
        <v>4809.4758153600142</v>
      </c>
      <c r="I156" s="634"/>
    </row>
    <row r="157" spans="2:23" ht="13.5" thickBot="1" x14ac:dyDescent="0.25">
      <c r="B157" s="621" t="s">
        <v>453</v>
      </c>
      <c r="C157" s="622" t="s">
        <v>354</v>
      </c>
      <c r="D157" s="624">
        <v>411276.12629155582</v>
      </c>
      <c r="E157" s="624">
        <v>114190.99521605804</v>
      </c>
      <c r="F157" s="624">
        <v>106977.22703249942</v>
      </c>
      <c r="G157" s="624">
        <v>98891.916371751911</v>
      </c>
      <c r="H157" s="625">
        <v>91215.987671246461</v>
      </c>
      <c r="I157" s="634"/>
    </row>
    <row r="158" spans="2:23" ht="13.5" thickBot="1" x14ac:dyDescent="0.25">
      <c r="B158" s="636"/>
      <c r="C158" s="637"/>
      <c r="D158" s="636"/>
      <c r="E158" s="636"/>
      <c r="F158" s="636"/>
      <c r="G158" s="636"/>
      <c r="H158" s="636"/>
      <c r="I158" s="636"/>
    </row>
    <row r="159" spans="2:23" ht="39" thickBot="1" x14ac:dyDescent="0.25">
      <c r="B159" s="638"/>
      <c r="C159" s="639"/>
      <c r="D159" s="638" t="s">
        <v>456</v>
      </c>
      <c r="E159" s="640" t="s">
        <v>457</v>
      </c>
      <c r="F159" s="641" t="s">
        <v>458</v>
      </c>
      <c r="G159" s="526"/>
      <c r="H159" s="526"/>
      <c r="I159" s="526"/>
    </row>
    <row r="160" spans="2:23" x14ac:dyDescent="0.2">
      <c r="B160" s="642" t="s">
        <v>459</v>
      </c>
      <c r="C160" s="539"/>
      <c r="D160" s="589">
        <v>205159.74981340076</v>
      </c>
      <c r="E160" s="604">
        <v>177051.89917357813</v>
      </c>
      <c r="F160" s="643">
        <v>-0.13700470323924452</v>
      </c>
      <c r="I160" s="633"/>
      <c r="J160" s="644"/>
      <c r="K160" s="644"/>
      <c r="L160" s="644"/>
      <c r="M160" s="644"/>
      <c r="N160" s="644"/>
      <c r="O160" s="644"/>
      <c r="P160" s="538"/>
      <c r="Q160" s="538"/>
      <c r="R160" s="538"/>
      <c r="S160" s="538"/>
      <c r="T160" s="538"/>
      <c r="U160" s="538"/>
      <c r="V160" s="538"/>
      <c r="W160" s="538"/>
    </row>
    <row r="161" spans="2:23" x14ac:dyDescent="0.2">
      <c r="B161" s="645" t="s">
        <v>460</v>
      </c>
      <c r="C161" s="539"/>
      <c r="D161" s="589">
        <v>14985.132639654974</v>
      </c>
      <c r="E161" s="604">
        <v>192337.01995676494</v>
      </c>
      <c r="F161" s="643">
        <v>11.835189689798662</v>
      </c>
      <c r="I161" s="634"/>
      <c r="J161" s="644"/>
      <c r="K161" s="644"/>
      <c r="L161" s="644"/>
      <c r="M161" s="644"/>
      <c r="N161" s="644"/>
      <c r="O161" s="644"/>
      <c r="P161" s="538"/>
      <c r="Q161" s="538"/>
      <c r="R161" s="538"/>
      <c r="S161" s="538"/>
      <c r="T161" s="538"/>
      <c r="U161" s="538"/>
      <c r="V161" s="538"/>
      <c r="W161" s="538"/>
    </row>
    <row r="162" spans="2:23" x14ac:dyDescent="0.2">
      <c r="B162" s="642" t="s">
        <v>357</v>
      </c>
      <c r="C162" s="539"/>
      <c r="D162" s="589">
        <v>16135.123894473314</v>
      </c>
      <c r="E162" s="862">
        <v>16540.149039224409</v>
      </c>
      <c r="F162" s="643">
        <v>2.5102078385021098E-2</v>
      </c>
      <c r="I162" s="634"/>
      <c r="J162" s="644"/>
      <c r="K162" s="646"/>
      <c r="L162" s="644"/>
      <c r="M162" s="644"/>
      <c r="N162" s="644"/>
      <c r="O162" s="644"/>
      <c r="P162" s="538"/>
      <c r="Q162" s="538"/>
      <c r="R162" s="538"/>
      <c r="S162" s="538"/>
      <c r="T162" s="538"/>
      <c r="U162" s="538"/>
      <c r="V162" s="538"/>
      <c r="W162" s="538"/>
    </row>
    <row r="163" spans="2:23" ht="13.5" thickBot="1" x14ac:dyDescent="0.25">
      <c r="B163" s="647" t="s">
        <v>461</v>
      </c>
      <c r="C163" s="539"/>
      <c r="D163" s="597">
        <v>39377.625397864402</v>
      </c>
      <c r="E163" s="619">
        <v>25347.058121988419</v>
      </c>
      <c r="F163" s="648">
        <v>-0.35630810984953176</v>
      </c>
      <c r="I163" s="634"/>
      <c r="J163" s="644"/>
      <c r="K163" s="646"/>
      <c r="L163" s="644"/>
      <c r="M163" s="644"/>
      <c r="N163" s="644"/>
      <c r="O163" s="644"/>
      <c r="P163" s="538"/>
      <c r="Q163" s="538"/>
      <c r="R163" s="538"/>
      <c r="S163" s="538"/>
      <c r="T163" s="538"/>
      <c r="U163" s="538"/>
      <c r="V163" s="538"/>
      <c r="W163" s="538"/>
    </row>
    <row r="164" spans="2:23" ht="13.5" thickBot="1" x14ac:dyDescent="0.25">
      <c r="D164" s="649">
        <v>2013</v>
      </c>
      <c r="E164" s="649">
        <v>2014</v>
      </c>
      <c r="F164" s="649">
        <v>2015</v>
      </c>
      <c r="G164" s="649">
        <v>2016</v>
      </c>
      <c r="H164" s="649">
        <v>2017</v>
      </c>
      <c r="I164" s="649">
        <v>2018</v>
      </c>
      <c r="J164" s="649">
        <v>2019</v>
      </c>
      <c r="K164" s="649">
        <v>2020</v>
      </c>
      <c r="L164" s="644"/>
      <c r="M164" s="650"/>
      <c r="N164" s="650"/>
      <c r="O164" s="650"/>
      <c r="P164" s="538"/>
      <c r="Q164" s="538"/>
      <c r="R164" s="538"/>
      <c r="S164" s="538"/>
      <c r="T164" s="538"/>
      <c r="U164" s="538"/>
      <c r="V164" s="538"/>
      <c r="W164" s="538"/>
    </row>
    <row r="165" spans="2:23" ht="13.5" outlineLevel="1" thickBot="1" x14ac:dyDescent="0.25">
      <c r="B165" s="651"/>
      <c r="C165" s="652"/>
      <c r="D165" s="653" t="s">
        <v>469</v>
      </c>
      <c r="E165" s="653" t="s">
        <v>470</v>
      </c>
      <c r="F165" s="653" t="s">
        <v>471</v>
      </c>
      <c r="G165" s="653" t="s">
        <v>472</v>
      </c>
      <c r="H165" s="653" t="s">
        <v>465</v>
      </c>
      <c r="I165" s="653" t="s">
        <v>466</v>
      </c>
      <c r="J165" s="653" t="s">
        <v>467</v>
      </c>
      <c r="K165" s="654" t="s">
        <v>468</v>
      </c>
      <c r="L165" s="650"/>
      <c r="M165" s="650"/>
      <c r="N165" s="650"/>
      <c r="O165" s="650"/>
      <c r="P165" s="538"/>
      <c r="Q165" s="538"/>
      <c r="R165" s="538"/>
      <c r="S165" s="538"/>
      <c r="T165" s="538"/>
      <c r="U165" s="538"/>
      <c r="V165" s="538"/>
      <c r="W165" s="538"/>
    </row>
    <row r="166" spans="2:23" outlineLevel="1" x14ac:dyDescent="0.2">
      <c r="B166" s="655" t="s">
        <v>440</v>
      </c>
      <c r="C166" s="656"/>
      <c r="D166" s="657">
        <v>46803.674244779482</v>
      </c>
      <c r="E166" s="657">
        <v>49433.844294925722</v>
      </c>
      <c r="F166" s="657">
        <v>51533.836253773079</v>
      </c>
      <c r="G166" s="657">
        <v>57388.395019922486</v>
      </c>
      <c r="H166" s="657">
        <v>49341.468366499255</v>
      </c>
      <c r="I166" s="657">
        <v>45788.296553915425</v>
      </c>
      <c r="J166" s="657">
        <v>42490.995317293462</v>
      </c>
      <c r="K166" s="658">
        <v>39431.138935869953</v>
      </c>
      <c r="L166" s="650"/>
      <c r="M166" s="650"/>
      <c r="N166" s="650"/>
      <c r="O166" s="650"/>
      <c r="P166" s="538"/>
      <c r="Q166" s="538"/>
      <c r="R166" s="538"/>
      <c r="S166" s="538"/>
      <c r="T166" s="538"/>
      <c r="U166" s="538"/>
      <c r="V166" s="538"/>
      <c r="W166" s="538"/>
    </row>
    <row r="167" spans="2:23" outlineLevel="1" x14ac:dyDescent="0.2">
      <c r="B167" s="659" t="s">
        <v>441</v>
      </c>
      <c r="C167" s="539"/>
      <c r="D167" s="660">
        <v>0</v>
      </c>
      <c r="E167" s="660">
        <v>0</v>
      </c>
      <c r="F167" s="660">
        <v>0</v>
      </c>
      <c r="G167" s="660">
        <v>14985.132639654974</v>
      </c>
      <c r="H167" s="660">
        <v>53601.181519094935</v>
      </c>
      <c r="I167" s="660">
        <v>49741.259761595153</v>
      </c>
      <c r="J167" s="660">
        <v>46159.298219743097</v>
      </c>
      <c r="K167" s="661">
        <v>42835.280456331755</v>
      </c>
      <c r="L167" s="644"/>
      <c r="M167" s="644"/>
      <c r="N167" s="644"/>
      <c r="O167" s="644"/>
      <c r="P167" s="538"/>
      <c r="Q167" s="538"/>
      <c r="R167" s="538"/>
      <c r="S167" s="538"/>
      <c r="T167" s="538"/>
      <c r="U167" s="538"/>
      <c r="V167" s="538"/>
      <c r="W167" s="538"/>
    </row>
    <row r="168" spans="2:23" outlineLevel="1" x14ac:dyDescent="0.2">
      <c r="B168" s="530" t="s">
        <v>357</v>
      </c>
      <c r="C168" s="539"/>
      <c r="D168" s="660">
        <v>3604.9012297143545</v>
      </c>
      <c r="E168" s="660">
        <v>4576.4353171315834</v>
      </c>
      <c r="F168" s="660">
        <v>4167.307019035673</v>
      </c>
      <c r="G168" s="660">
        <v>3786.4803285917028</v>
      </c>
      <c r="H168" s="662">
        <v>3923.3213673680361</v>
      </c>
      <c r="I168" s="662">
        <v>4206.0500242193511</v>
      </c>
      <c r="J168" s="662">
        <v>4270.6851839522733</v>
      </c>
      <c r="K168" s="663">
        <v>4140.0924636847467</v>
      </c>
      <c r="L168" s="644"/>
      <c r="M168" s="644"/>
      <c r="N168" s="644"/>
      <c r="O168" s="644"/>
      <c r="P168" s="538"/>
      <c r="Q168" s="538"/>
      <c r="R168" s="538"/>
      <c r="S168" s="538"/>
      <c r="T168" s="538"/>
      <c r="U168" s="538"/>
      <c r="V168" s="538"/>
      <c r="W168" s="538"/>
    </row>
    <row r="169" spans="2:23" ht="13.5" outlineLevel="1" thickBot="1" x14ac:dyDescent="0.25">
      <c r="B169" s="534" t="s">
        <v>452</v>
      </c>
      <c r="C169" s="664"/>
      <c r="D169" s="665">
        <v>9931.3789322943703</v>
      </c>
      <c r="E169" s="665">
        <v>11844.477979530508</v>
      </c>
      <c r="F169" s="665">
        <v>8683.7317450607316</v>
      </c>
      <c r="G169" s="665">
        <v>8918.0367409787941</v>
      </c>
      <c r="H169" s="665">
        <v>7325.0239630958267</v>
      </c>
      <c r="I169" s="665">
        <v>7241.6206927694902</v>
      </c>
      <c r="J169" s="665">
        <v>5970.937650763085</v>
      </c>
      <c r="K169" s="666">
        <v>4809.4758153600142</v>
      </c>
      <c r="L169" s="644"/>
      <c r="M169" s="644"/>
      <c r="N169" s="644"/>
      <c r="O169" s="644"/>
      <c r="P169" s="538"/>
      <c r="Q169" s="538"/>
      <c r="R169" s="538"/>
      <c r="S169" s="538"/>
      <c r="T169" s="538"/>
      <c r="U169" s="538"/>
      <c r="V169" s="538"/>
      <c r="W169" s="538"/>
    </row>
    <row r="170" spans="2:23" ht="13.5" thickBot="1" x14ac:dyDescent="0.25">
      <c r="C170" s="539"/>
      <c r="D170" s="539"/>
      <c r="E170" s="667"/>
      <c r="F170" s="667"/>
      <c r="G170" s="667"/>
      <c r="H170" s="667"/>
      <c r="I170" s="667"/>
      <c r="J170" s="667"/>
      <c r="K170" s="667"/>
      <c r="L170" s="650"/>
      <c r="M170" s="650"/>
      <c r="N170" s="650"/>
      <c r="O170" s="650"/>
      <c r="P170" s="538"/>
      <c r="Q170" s="538"/>
      <c r="R170" s="538"/>
      <c r="S170" s="538"/>
      <c r="T170" s="538"/>
      <c r="U170" s="538"/>
      <c r="V170" s="538"/>
      <c r="W170" s="538"/>
    </row>
    <row r="171" spans="2:23" ht="13.5" outlineLevel="1" thickBot="1" x14ac:dyDescent="0.25">
      <c r="B171" s="668" t="s">
        <v>462</v>
      </c>
      <c r="C171" s="669"/>
      <c r="D171" s="670">
        <v>60339.954406788209</v>
      </c>
      <c r="E171" s="670">
        <v>65854.757591587811</v>
      </c>
      <c r="F171" s="670">
        <v>64384.875017869483</v>
      </c>
      <c r="G171" s="670">
        <v>85078.04472914795</v>
      </c>
      <c r="H171" s="670">
        <v>114190.99521605804</v>
      </c>
      <c r="I171" s="670">
        <v>106977.22703249942</v>
      </c>
      <c r="J171" s="670">
        <v>98891.916371751911</v>
      </c>
      <c r="K171" s="671">
        <v>91215.987671246461</v>
      </c>
    </row>
    <row r="172" spans="2:23" ht="13.5" outlineLevel="1" thickBot="1" x14ac:dyDescent="0.25">
      <c r="C172" s="539"/>
      <c r="D172" s="539"/>
      <c r="E172" s="644"/>
      <c r="F172" s="644"/>
      <c r="G172" s="644"/>
      <c r="H172" s="644"/>
      <c r="I172" s="644"/>
      <c r="J172" s="644"/>
      <c r="K172" s="644"/>
      <c r="M172" s="644"/>
      <c r="N172" s="644"/>
      <c r="O172" s="644"/>
      <c r="P172" s="538"/>
      <c r="Q172" s="538"/>
      <c r="R172" s="538"/>
      <c r="S172" s="538"/>
      <c r="T172" s="538"/>
      <c r="U172" s="538"/>
      <c r="V172" s="538"/>
      <c r="W172" s="538"/>
    </row>
    <row r="173" spans="2:23" ht="13.5" outlineLevel="1" thickBot="1" x14ac:dyDescent="0.25">
      <c r="B173" s="668" t="s">
        <v>463</v>
      </c>
      <c r="C173" s="672"/>
      <c r="D173" s="672"/>
      <c r="E173" s="673"/>
      <c r="F173" s="673"/>
      <c r="G173" s="673"/>
      <c r="H173" s="674">
        <v>0.34219110911156059</v>
      </c>
      <c r="I173" s="674">
        <v>-6.3172828732332431E-2</v>
      </c>
      <c r="J173" s="674">
        <v>-7.5579736781653639E-2</v>
      </c>
      <c r="K173" s="675">
        <v>-7.7619374587203915E-2</v>
      </c>
      <c r="L173" s="667"/>
      <c r="M173" s="667"/>
      <c r="N173" s="667"/>
      <c r="O173" s="667"/>
      <c r="P173" s="538"/>
      <c r="Q173" s="538"/>
      <c r="R173" s="538"/>
      <c r="S173" s="538"/>
      <c r="T173" s="538"/>
      <c r="U173" s="538"/>
      <c r="V173" s="538"/>
      <c r="W173" s="538"/>
    </row>
    <row r="174" spans="2:23" ht="13.5" outlineLevel="1" thickBot="1" x14ac:dyDescent="0.25">
      <c r="B174" s="538"/>
      <c r="C174" s="539"/>
      <c r="D174" s="539"/>
      <c r="E174" s="644"/>
      <c r="F174" s="644"/>
      <c r="G174" s="644"/>
      <c r="H174" s="644"/>
      <c r="I174" s="644"/>
      <c r="J174" s="644"/>
      <c r="K174" s="644"/>
      <c r="L174" s="676"/>
      <c r="M174" s="676"/>
      <c r="N174" s="676"/>
      <c r="O174" s="676"/>
      <c r="P174" s="538"/>
      <c r="Q174" s="538"/>
      <c r="R174" s="538"/>
      <c r="S174" s="538"/>
      <c r="T174" s="538"/>
      <c r="U174" s="538"/>
      <c r="V174" s="538"/>
      <c r="W174" s="538"/>
    </row>
    <row r="175" spans="2:23" ht="13.5" outlineLevel="1" thickBot="1" x14ac:dyDescent="0.25">
      <c r="B175" s="668" t="s">
        <v>464</v>
      </c>
      <c r="C175" s="677"/>
      <c r="D175" s="677"/>
      <c r="E175" s="673"/>
      <c r="F175" s="673"/>
      <c r="G175" s="673"/>
      <c r="H175" s="674">
        <v>0.34219110911156059</v>
      </c>
      <c r="I175" s="674">
        <v>0.27901828037922816</v>
      </c>
      <c r="J175" s="674">
        <v>0.20343854359757452</v>
      </c>
      <c r="K175" s="675">
        <v>0.1258191690103706</v>
      </c>
      <c r="L175" s="644"/>
      <c r="M175" s="644"/>
      <c r="N175" s="644"/>
      <c r="O175" s="644"/>
      <c r="P175" s="538"/>
      <c r="Q175" s="538"/>
      <c r="R175" s="538"/>
      <c r="S175" s="538"/>
      <c r="T175" s="538"/>
      <c r="U175" s="538"/>
      <c r="V175" s="538"/>
      <c r="W175" s="538"/>
    </row>
    <row r="176" spans="2:23" x14ac:dyDescent="0.2">
      <c r="L176" s="644"/>
      <c r="M176" s="644"/>
      <c r="N176" s="644"/>
      <c r="O176" s="644"/>
      <c r="P176" s="538"/>
      <c r="Q176" s="538"/>
      <c r="R176" s="538"/>
      <c r="S176" s="538"/>
      <c r="T176" s="538"/>
      <c r="U176" s="538"/>
      <c r="V176" s="538"/>
      <c r="W176" s="538"/>
    </row>
    <row r="177" spans="12:23" x14ac:dyDescent="0.2">
      <c r="L177" s="678">
        <v>2021</v>
      </c>
      <c r="M177" s="644"/>
      <c r="N177" s="644"/>
      <c r="O177" s="644"/>
      <c r="P177" s="538"/>
      <c r="Q177" s="538"/>
      <c r="R177" s="538"/>
      <c r="S177" s="538"/>
      <c r="T177" s="538"/>
      <c r="U177" s="538"/>
      <c r="V177" s="538"/>
      <c r="W177" s="538"/>
    </row>
    <row r="178" spans="12:23" x14ac:dyDescent="0.2">
      <c r="L178" s="644"/>
      <c r="M178" s="644"/>
      <c r="N178" s="644"/>
      <c r="O178" s="644"/>
      <c r="P178" s="538"/>
      <c r="Q178" s="538"/>
      <c r="R178" s="538"/>
      <c r="S178" s="538"/>
      <c r="T178" s="538"/>
      <c r="U178" s="538"/>
      <c r="V178" s="538"/>
      <c r="W178" s="538"/>
    </row>
    <row r="179" spans="12:23" x14ac:dyDescent="0.2">
      <c r="L179" s="644"/>
      <c r="M179" s="644"/>
      <c r="N179" s="644"/>
      <c r="O179" s="644"/>
      <c r="P179" s="538"/>
      <c r="Q179" s="538"/>
      <c r="R179" s="538"/>
      <c r="S179" s="538"/>
      <c r="T179" s="538"/>
      <c r="U179" s="538"/>
      <c r="V179" s="538"/>
      <c r="W179" s="538"/>
    </row>
    <row r="180" spans="12:23" x14ac:dyDescent="0.2">
      <c r="L180" s="644"/>
      <c r="M180" s="644"/>
      <c r="N180" s="644"/>
      <c r="O180" s="644"/>
      <c r="P180" s="538"/>
      <c r="Q180" s="538"/>
      <c r="R180" s="538"/>
      <c r="S180" s="538"/>
      <c r="T180" s="538"/>
      <c r="U180" s="538"/>
      <c r="V180" s="538"/>
      <c r="W180" s="538"/>
    </row>
    <row r="181" spans="12:23" x14ac:dyDescent="0.2">
      <c r="L181" s="644"/>
      <c r="M181" s="644"/>
      <c r="N181" s="644"/>
      <c r="O181" s="644"/>
      <c r="P181" s="538"/>
      <c r="Q181" s="538"/>
      <c r="R181" s="538"/>
      <c r="S181" s="538"/>
      <c r="T181" s="538"/>
      <c r="U181" s="538"/>
      <c r="V181" s="538"/>
      <c r="W181" s="538"/>
    </row>
    <row r="182" spans="12:23" x14ac:dyDescent="0.2">
      <c r="L182" s="679"/>
      <c r="M182" s="679"/>
      <c r="N182" s="679"/>
      <c r="O182" s="679"/>
      <c r="P182" s="538"/>
      <c r="Q182" s="538"/>
      <c r="R182" s="538"/>
      <c r="S182" s="538"/>
      <c r="T182" s="538"/>
      <c r="U182" s="538"/>
      <c r="V182" s="538"/>
      <c r="W182" s="538"/>
    </row>
    <row r="183" spans="12:23" x14ac:dyDescent="0.2">
      <c r="L183" s="667"/>
      <c r="M183" s="667"/>
      <c r="N183" s="667"/>
      <c r="O183" s="667"/>
      <c r="P183" s="538"/>
      <c r="Q183" s="538"/>
      <c r="R183" s="538"/>
      <c r="S183" s="538"/>
      <c r="T183" s="538"/>
      <c r="U183" s="538"/>
      <c r="V183" s="538"/>
      <c r="W183" s="538"/>
    </row>
    <row r="184" spans="12:23" x14ac:dyDescent="0.2">
      <c r="L184" s="644"/>
      <c r="M184" s="644"/>
      <c r="N184" s="644"/>
      <c r="O184" s="644"/>
      <c r="P184" s="538"/>
      <c r="Q184" s="538"/>
      <c r="R184" s="538"/>
      <c r="S184" s="538"/>
      <c r="T184" s="538"/>
      <c r="U184" s="538"/>
      <c r="V184" s="538"/>
      <c r="W184" s="538"/>
    </row>
    <row r="185" spans="12:23" x14ac:dyDescent="0.2">
      <c r="L185" s="644"/>
      <c r="M185" s="644"/>
      <c r="N185" s="644"/>
      <c r="O185" s="644"/>
      <c r="P185" s="538"/>
      <c r="Q185" s="538"/>
      <c r="R185" s="538"/>
      <c r="S185" s="538"/>
      <c r="T185" s="538"/>
      <c r="U185" s="538"/>
      <c r="V185" s="538"/>
      <c r="W185" s="538"/>
    </row>
    <row r="186" spans="12:23" x14ac:dyDescent="0.2">
      <c r="L186" s="644"/>
      <c r="M186" s="644"/>
      <c r="N186" s="644"/>
      <c r="O186" s="644"/>
      <c r="P186" s="538"/>
      <c r="Q186" s="538"/>
      <c r="R186" s="538"/>
      <c r="S186" s="538"/>
      <c r="T186" s="538"/>
      <c r="U186" s="538"/>
      <c r="V186" s="538"/>
      <c r="W186" s="538"/>
    </row>
    <row r="187" spans="12:23" x14ac:dyDescent="0.2">
      <c r="L187" s="644"/>
      <c r="M187" s="644"/>
      <c r="N187" s="644"/>
      <c r="O187" s="644"/>
      <c r="P187" s="538"/>
      <c r="Q187" s="538"/>
      <c r="R187" s="538"/>
      <c r="S187" s="538"/>
      <c r="T187" s="538"/>
      <c r="U187" s="538"/>
      <c r="V187" s="538"/>
      <c r="W187" s="538"/>
    </row>
    <row r="188" spans="12:23" x14ac:dyDescent="0.2">
      <c r="L188" s="644"/>
      <c r="M188" s="644"/>
      <c r="N188" s="644"/>
      <c r="O188" s="644"/>
      <c r="P188" s="538"/>
      <c r="Q188" s="538"/>
      <c r="R188" s="538"/>
      <c r="S188" s="538"/>
      <c r="T188" s="538"/>
      <c r="U188" s="538"/>
      <c r="V188" s="538"/>
      <c r="W188" s="538"/>
    </row>
    <row r="189" spans="12:23" x14ac:dyDescent="0.2">
      <c r="L189" s="667"/>
      <c r="M189" s="667"/>
      <c r="N189" s="667"/>
      <c r="O189" s="667"/>
      <c r="P189" s="538"/>
      <c r="Q189" s="538"/>
      <c r="R189" s="538"/>
      <c r="S189" s="538"/>
      <c r="T189" s="538"/>
      <c r="U189" s="538"/>
      <c r="V189" s="538"/>
      <c r="W189" s="538"/>
    </row>
    <row r="190" spans="12:23" x14ac:dyDescent="0.2">
      <c r="L190" s="680"/>
      <c r="M190" s="680"/>
      <c r="N190" s="680"/>
      <c r="O190" s="680"/>
      <c r="P190" s="538"/>
      <c r="Q190" s="538"/>
      <c r="R190" s="538"/>
      <c r="S190" s="538"/>
      <c r="T190" s="538"/>
      <c r="U190" s="538"/>
      <c r="V190" s="538"/>
      <c r="W190" s="538"/>
    </row>
    <row r="191" spans="12:23" x14ac:dyDescent="0.2">
      <c r="L191" s="680"/>
      <c r="M191" s="680"/>
      <c r="N191" s="680"/>
      <c r="O191" s="680"/>
      <c r="P191" s="679"/>
      <c r="Q191" s="538"/>
      <c r="R191" s="538"/>
      <c r="S191" s="538"/>
      <c r="T191" s="538"/>
      <c r="U191" s="538"/>
      <c r="V191" s="538"/>
      <c r="W191" s="538"/>
    </row>
    <row r="192" spans="12:23" x14ac:dyDescent="0.2">
      <c r="L192" s="679"/>
      <c r="M192" s="679"/>
      <c r="N192" s="679"/>
      <c r="O192" s="679"/>
      <c r="P192" s="538"/>
      <c r="Q192" s="538"/>
      <c r="R192" s="538"/>
      <c r="S192" s="538"/>
      <c r="T192" s="538"/>
      <c r="U192" s="538"/>
      <c r="V192" s="538"/>
      <c r="W192" s="538"/>
    </row>
    <row r="193" spans="2:23" x14ac:dyDescent="0.2">
      <c r="L193" s="667"/>
      <c r="M193" s="667"/>
      <c r="N193" s="667"/>
      <c r="O193" s="667"/>
      <c r="P193" s="538"/>
      <c r="Q193" s="538"/>
      <c r="R193" s="538"/>
      <c r="S193" s="538"/>
      <c r="T193" s="538"/>
      <c r="U193" s="538"/>
      <c r="V193" s="538"/>
      <c r="W193" s="538"/>
    </row>
    <row r="194" spans="2:23" x14ac:dyDescent="0.2">
      <c r="L194" s="680"/>
      <c r="M194" s="680"/>
      <c r="N194" s="680"/>
      <c r="O194" s="680"/>
      <c r="P194" s="538"/>
      <c r="Q194" s="538"/>
      <c r="R194" s="538"/>
      <c r="S194" s="538"/>
      <c r="T194" s="538"/>
      <c r="U194" s="538"/>
      <c r="V194" s="538"/>
      <c r="W194" s="538"/>
    </row>
    <row r="195" spans="2:23" x14ac:dyDescent="0.2">
      <c r="L195" s="680"/>
      <c r="M195" s="680"/>
      <c r="N195" s="680"/>
      <c r="O195" s="680"/>
      <c r="P195" s="538"/>
      <c r="Q195" s="538"/>
      <c r="R195" s="538"/>
      <c r="S195" s="538"/>
      <c r="T195" s="538"/>
      <c r="U195" s="538"/>
      <c r="V195" s="538"/>
      <c r="W195" s="538"/>
    </row>
    <row r="196" spans="2:23" x14ac:dyDescent="0.2">
      <c r="B196" s="1032"/>
      <c r="C196" s="1032"/>
      <c r="D196" s="1032"/>
      <c r="E196" s="1032"/>
      <c r="F196" s="1032"/>
      <c r="G196" s="1032"/>
      <c r="H196" s="1032"/>
      <c r="I196" s="1032"/>
      <c r="J196" s="538"/>
      <c r="K196" s="538"/>
      <c r="L196" s="538"/>
      <c r="M196" s="538"/>
      <c r="N196" s="538"/>
      <c r="O196" s="538"/>
      <c r="P196" s="538"/>
      <c r="Q196" s="538"/>
      <c r="R196" s="538"/>
      <c r="S196" s="538"/>
      <c r="T196" s="538"/>
      <c r="U196" s="538"/>
      <c r="V196" s="538"/>
      <c r="W196" s="538"/>
    </row>
    <row r="197" spans="2:23" x14ac:dyDescent="0.2">
      <c r="B197" s="1032"/>
      <c r="C197" s="1032"/>
      <c r="D197" s="1032"/>
      <c r="E197" s="1032"/>
      <c r="F197" s="1032"/>
      <c r="G197" s="1032"/>
      <c r="H197" s="1032"/>
      <c r="I197" s="1032"/>
      <c r="J197" s="538"/>
      <c r="K197" s="538"/>
      <c r="L197" s="538"/>
      <c r="M197" s="538"/>
      <c r="N197" s="538"/>
      <c r="O197" s="538"/>
      <c r="P197" s="538"/>
      <c r="Q197" s="538"/>
      <c r="R197" s="538"/>
      <c r="S197" s="538"/>
      <c r="T197" s="538"/>
      <c r="U197" s="538"/>
      <c r="V197" s="538"/>
      <c r="W197" s="538"/>
    </row>
    <row r="198" spans="2:23" x14ac:dyDescent="0.2">
      <c r="B198" s="1032"/>
      <c r="C198" s="1032"/>
      <c r="D198" s="1032"/>
      <c r="E198" s="1032"/>
      <c r="F198" s="1032"/>
      <c r="G198" s="1032"/>
      <c r="H198" s="1032"/>
      <c r="I198" s="1032"/>
      <c r="J198" s="538"/>
      <c r="K198" s="538"/>
      <c r="L198" s="538"/>
      <c r="M198" s="538"/>
      <c r="N198" s="538"/>
      <c r="O198" s="538"/>
      <c r="P198" s="538"/>
      <c r="Q198" s="538"/>
      <c r="R198" s="538"/>
      <c r="S198" s="538"/>
      <c r="T198" s="538"/>
      <c r="U198" s="538"/>
      <c r="V198" s="538"/>
      <c r="W198" s="538"/>
    </row>
    <row r="199" spans="2:23" ht="3" customHeight="1" x14ac:dyDescent="0.2">
      <c r="B199" s="527"/>
      <c r="C199" s="538"/>
      <c r="D199" s="538"/>
      <c r="E199" s="538"/>
      <c r="F199" s="538"/>
      <c r="G199" s="538"/>
      <c r="H199" s="538"/>
      <c r="I199" s="538"/>
      <c r="J199" s="538"/>
      <c r="K199" s="538"/>
      <c r="L199" s="538"/>
      <c r="M199" s="538"/>
      <c r="N199" s="538"/>
      <c r="O199" s="538"/>
      <c r="P199" s="538"/>
      <c r="Q199" s="538"/>
      <c r="R199" s="538"/>
      <c r="S199" s="538"/>
      <c r="T199" s="538"/>
      <c r="U199" s="538"/>
      <c r="V199" s="538"/>
      <c r="W199" s="538"/>
    </row>
    <row r="200" spans="2:23" ht="3" customHeight="1" x14ac:dyDescent="0.2">
      <c r="B200" s="527"/>
      <c r="C200" s="538"/>
      <c r="D200" s="538"/>
      <c r="E200" s="538"/>
      <c r="F200" s="538"/>
      <c r="G200" s="538"/>
      <c r="H200" s="538"/>
      <c r="I200" s="538"/>
      <c r="J200" s="538"/>
      <c r="K200" s="538"/>
      <c r="L200" s="538"/>
      <c r="M200" s="538"/>
      <c r="N200" s="538"/>
      <c r="O200" s="538"/>
      <c r="P200" s="538"/>
      <c r="Q200" s="538"/>
      <c r="R200" s="538"/>
      <c r="S200" s="538"/>
      <c r="T200" s="538"/>
      <c r="U200" s="538"/>
      <c r="V200" s="538"/>
      <c r="W200" s="538"/>
    </row>
    <row r="201" spans="2:23" x14ac:dyDescent="0.2">
      <c r="B201" s="681"/>
      <c r="C201" s="682"/>
      <c r="D201" s="682"/>
      <c r="E201" s="681"/>
      <c r="F201" s="681"/>
      <c r="G201" s="681"/>
      <c r="H201" s="681"/>
      <c r="I201" s="681"/>
      <c r="J201" s="538"/>
      <c r="K201" s="538"/>
      <c r="L201" s="538"/>
      <c r="M201" s="538"/>
      <c r="N201" s="538"/>
      <c r="O201" s="538"/>
      <c r="P201" s="538"/>
      <c r="Q201" s="538"/>
      <c r="R201" s="538"/>
      <c r="S201" s="538"/>
      <c r="T201" s="538"/>
      <c r="U201" s="538"/>
      <c r="V201" s="538"/>
      <c r="W201" s="538"/>
    </row>
    <row r="202" spans="2:23" x14ac:dyDescent="0.2">
      <c r="B202" s="683"/>
      <c r="C202" s="682"/>
      <c r="D202" s="682"/>
      <c r="E202" s="682"/>
      <c r="F202" s="684"/>
      <c r="G202" s="684"/>
      <c r="H202" s="684"/>
      <c r="I202" s="684"/>
      <c r="J202" s="538"/>
      <c r="K202" s="538"/>
      <c r="L202" s="538"/>
      <c r="M202" s="538"/>
      <c r="N202" s="538"/>
      <c r="O202" s="538"/>
      <c r="P202" s="538"/>
      <c r="Q202" s="538"/>
      <c r="R202" s="538"/>
      <c r="S202" s="538"/>
      <c r="T202" s="538"/>
      <c r="U202" s="538"/>
      <c r="V202" s="538"/>
      <c r="W202" s="538"/>
    </row>
    <row r="203" spans="2:23" x14ac:dyDescent="0.2">
      <c r="B203" s="682"/>
      <c r="C203" s="682"/>
      <c r="D203" s="682"/>
      <c r="E203" s="685"/>
      <c r="F203" s="685"/>
      <c r="G203" s="685"/>
      <c r="H203" s="685"/>
      <c r="I203" s="685"/>
      <c r="J203" s="540"/>
      <c r="K203" s="540"/>
      <c r="L203" s="538"/>
      <c r="M203" s="538"/>
      <c r="N203" s="538"/>
      <c r="O203" s="538"/>
      <c r="P203" s="538"/>
      <c r="Q203" s="538"/>
      <c r="R203" s="538"/>
      <c r="S203" s="538"/>
      <c r="T203" s="538"/>
      <c r="U203" s="538"/>
      <c r="V203" s="538"/>
      <c r="W203" s="538"/>
    </row>
    <row r="204" spans="2:23" x14ac:dyDescent="0.2">
      <c r="B204" s="686"/>
      <c r="C204" s="682"/>
      <c r="D204" s="682"/>
      <c r="E204" s="685"/>
      <c r="F204" s="685"/>
      <c r="G204" s="685"/>
      <c r="H204" s="685"/>
      <c r="I204" s="685"/>
      <c r="J204" s="540"/>
      <c r="K204" s="540"/>
      <c r="L204" s="538"/>
      <c r="M204" s="538"/>
      <c r="N204" s="538"/>
      <c r="O204" s="538"/>
      <c r="P204" s="538"/>
      <c r="Q204" s="538"/>
      <c r="R204" s="538"/>
      <c r="S204" s="538"/>
      <c r="T204" s="538"/>
    </row>
    <row r="205" spans="2:23" x14ac:dyDescent="0.2">
      <c r="B205" s="682"/>
      <c r="C205" s="682"/>
      <c r="D205" s="682"/>
      <c r="E205" s="685"/>
      <c r="F205" s="685"/>
      <c r="G205" s="685"/>
      <c r="H205" s="685"/>
      <c r="I205" s="685"/>
      <c r="J205" s="540"/>
      <c r="K205" s="540"/>
      <c r="L205" s="538"/>
      <c r="M205" s="538"/>
      <c r="N205" s="538"/>
      <c r="O205" s="538"/>
      <c r="P205" s="538"/>
      <c r="Q205" s="538"/>
      <c r="R205" s="538"/>
      <c r="S205" s="538"/>
      <c r="T205" s="538"/>
    </row>
    <row r="206" spans="2:23" x14ac:dyDescent="0.2">
      <c r="B206" s="682"/>
      <c r="C206" s="682"/>
      <c r="D206" s="682"/>
      <c r="E206" s="685"/>
      <c r="F206" s="685"/>
      <c r="G206" s="685"/>
      <c r="H206" s="685"/>
      <c r="I206" s="685"/>
      <c r="J206" s="540"/>
      <c r="K206" s="540"/>
      <c r="L206" s="538"/>
      <c r="M206" s="538"/>
      <c r="N206" s="538"/>
      <c r="O206" s="538"/>
      <c r="P206" s="538"/>
      <c r="Q206" s="538"/>
      <c r="R206" s="538"/>
      <c r="S206" s="538"/>
      <c r="T206" s="538"/>
    </row>
    <row r="207" spans="2:23" x14ac:dyDescent="0.2">
      <c r="B207" s="682"/>
      <c r="C207" s="682"/>
      <c r="D207" s="682"/>
      <c r="E207" s="685"/>
      <c r="F207" s="685"/>
      <c r="G207" s="685"/>
      <c r="H207" s="685"/>
      <c r="I207" s="685"/>
      <c r="J207" s="540"/>
      <c r="K207" s="540"/>
      <c r="L207" s="538"/>
      <c r="M207" s="538"/>
      <c r="N207" s="538"/>
      <c r="O207" s="538"/>
      <c r="P207" s="538"/>
      <c r="Q207" s="538"/>
      <c r="R207" s="538"/>
      <c r="S207" s="538"/>
      <c r="T207" s="538"/>
    </row>
    <row r="208" spans="2:23" x14ac:dyDescent="0.2">
      <c r="B208" s="682"/>
      <c r="C208" s="682"/>
      <c r="D208" s="682"/>
      <c r="E208" s="685"/>
      <c r="F208" s="685"/>
      <c r="G208" s="685"/>
      <c r="H208" s="685"/>
      <c r="I208" s="685"/>
      <c r="J208" s="540"/>
      <c r="K208" s="540"/>
      <c r="L208" s="538"/>
      <c r="M208" s="538"/>
      <c r="N208" s="538"/>
      <c r="O208" s="538"/>
      <c r="P208" s="538"/>
      <c r="Q208" s="538"/>
      <c r="R208" s="538"/>
      <c r="S208" s="538"/>
      <c r="T208" s="538"/>
    </row>
    <row r="209" spans="2:20" x14ac:dyDescent="0.2">
      <c r="B209" s="682"/>
      <c r="C209" s="682"/>
      <c r="D209" s="682"/>
      <c r="E209" s="682"/>
      <c r="F209" s="682"/>
      <c r="G209" s="682"/>
      <c r="H209" s="682"/>
      <c r="I209" s="682"/>
      <c r="J209" s="538"/>
      <c r="K209" s="538"/>
      <c r="L209" s="538"/>
      <c r="M209" s="538"/>
      <c r="N209" s="538"/>
      <c r="O209" s="538"/>
      <c r="P209" s="538"/>
      <c r="Q209" s="538"/>
      <c r="R209" s="538"/>
      <c r="S209" s="538"/>
      <c r="T209" s="538"/>
    </row>
    <row r="210" spans="2:20" x14ac:dyDescent="0.2">
      <c r="B210" s="683"/>
      <c r="C210" s="682"/>
      <c r="D210" s="682"/>
      <c r="E210" s="681"/>
      <c r="F210" s="681"/>
      <c r="G210" s="681"/>
      <c r="H210" s="681"/>
      <c r="I210" s="681"/>
      <c r="J210" s="538"/>
      <c r="K210" s="538"/>
      <c r="L210" s="538"/>
      <c r="M210" s="538"/>
      <c r="N210" s="538"/>
      <c r="O210" s="538"/>
      <c r="P210" s="538"/>
      <c r="Q210" s="538"/>
      <c r="R210" s="538"/>
      <c r="S210" s="538"/>
      <c r="T210" s="538"/>
    </row>
    <row r="211" spans="2:20" x14ac:dyDescent="0.2">
      <c r="B211" s="683"/>
      <c r="C211" s="682"/>
      <c r="D211" s="682"/>
      <c r="E211" s="685"/>
      <c r="F211" s="685"/>
      <c r="G211" s="685"/>
      <c r="H211" s="685"/>
      <c r="I211" s="685"/>
      <c r="J211" s="538"/>
      <c r="K211" s="538"/>
      <c r="L211" s="538"/>
      <c r="M211" s="538"/>
      <c r="N211" s="538"/>
      <c r="O211" s="538"/>
      <c r="P211" s="538"/>
      <c r="Q211" s="538"/>
      <c r="R211" s="538"/>
      <c r="S211" s="538"/>
      <c r="T211" s="538"/>
    </row>
    <row r="212" spans="2:20" x14ac:dyDescent="0.2">
      <c r="B212" s="687"/>
      <c r="C212" s="682"/>
      <c r="D212" s="682"/>
      <c r="E212" s="685"/>
      <c r="F212" s="685"/>
      <c r="G212" s="685"/>
      <c r="H212" s="685"/>
      <c r="I212" s="685"/>
      <c r="J212" s="540"/>
      <c r="K212" s="540"/>
      <c r="L212" s="538"/>
      <c r="M212" s="538"/>
      <c r="N212" s="538"/>
      <c r="O212" s="538"/>
      <c r="P212" s="538"/>
      <c r="Q212" s="538"/>
      <c r="R212" s="538"/>
      <c r="S212" s="538"/>
      <c r="T212" s="538"/>
    </row>
    <row r="213" spans="2:20" x14ac:dyDescent="0.2">
      <c r="B213" s="683"/>
      <c r="C213" s="682"/>
      <c r="D213" s="682"/>
      <c r="E213" s="685"/>
      <c r="F213" s="685"/>
      <c r="G213" s="685"/>
      <c r="H213" s="685"/>
      <c r="I213" s="685"/>
      <c r="J213" s="538"/>
      <c r="K213" s="538"/>
      <c r="L213" s="538"/>
      <c r="M213" s="538"/>
      <c r="N213" s="538"/>
      <c r="O213" s="538"/>
      <c r="P213" s="538"/>
      <c r="Q213" s="538"/>
      <c r="R213" s="538"/>
      <c r="S213" s="538"/>
      <c r="T213" s="538"/>
    </row>
    <row r="214" spans="2:20" x14ac:dyDescent="0.2">
      <c r="B214" s="683"/>
      <c r="C214" s="682"/>
      <c r="D214" s="682"/>
      <c r="E214" s="685"/>
      <c r="F214" s="685"/>
      <c r="G214" s="685"/>
      <c r="H214" s="685"/>
      <c r="I214" s="685"/>
      <c r="J214" s="538"/>
      <c r="K214" s="538"/>
      <c r="L214" s="538"/>
      <c r="M214" s="538"/>
      <c r="N214" s="538"/>
      <c r="O214" s="538"/>
      <c r="P214" s="538"/>
      <c r="Q214" s="538"/>
      <c r="R214" s="538"/>
      <c r="S214" s="538"/>
      <c r="T214" s="538"/>
    </row>
    <row r="215" spans="2:20" x14ac:dyDescent="0.2">
      <c r="B215" s="682"/>
      <c r="C215" s="682"/>
      <c r="D215" s="682"/>
      <c r="E215" s="685"/>
      <c r="F215" s="685"/>
      <c r="G215" s="685"/>
      <c r="H215" s="685"/>
      <c r="I215" s="685"/>
      <c r="J215" s="688"/>
      <c r="K215" s="688"/>
      <c r="L215" s="538"/>
      <c r="M215" s="538"/>
      <c r="N215" s="538"/>
      <c r="O215" s="538"/>
      <c r="P215" s="538"/>
      <c r="Q215" s="538"/>
      <c r="R215" s="538"/>
      <c r="S215" s="538"/>
      <c r="T215" s="538"/>
    </row>
    <row r="216" spans="2:20" x14ac:dyDescent="0.2">
      <c r="B216" s="682"/>
      <c r="C216" s="682"/>
      <c r="D216" s="682"/>
      <c r="E216" s="685"/>
      <c r="F216" s="685"/>
      <c r="G216" s="685"/>
      <c r="H216" s="685"/>
      <c r="I216" s="685"/>
      <c r="J216" s="538"/>
      <c r="K216" s="538"/>
      <c r="L216" s="538"/>
      <c r="M216" s="538"/>
      <c r="N216" s="538"/>
      <c r="O216" s="538"/>
      <c r="P216" s="538"/>
      <c r="Q216" s="538"/>
      <c r="R216" s="538"/>
      <c r="S216" s="538"/>
      <c r="T216" s="538"/>
    </row>
    <row r="217" spans="2:20" x14ac:dyDescent="0.2">
      <c r="B217" s="682"/>
      <c r="C217" s="682"/>
      <c r="D217" s="682"/>
      <c r="E217" s="682"/>
      <c r="F217" s="682"/>
      <c r="G217" s="682"/>
      <c r="H217" s="682"/>
      <c r="I217" s="682"/>
      <c r="J217" s="538"/>
      <c r="K217" s="538"/>
      <c r="L217" s="538"/>
      <c r="M217" s="538"/>
      <c r="N217" s="538"/>
      <c r="O217" s="538"/>
      <c r="P217" s="538"/>
      <c r="Q217" s="538"/>
      <c r="R217" s="538"/>
      <c r="S217" s="538"/>
      <c r="T217" s="538"/>
    </row>
    <row r="218" spans="2:20" x14ac:dyDescent="0.2">
      <c r="B218" s="683"/>
      <c r="C218" s="682"/>
      <c r="D218" s="682"/>
      <c r="E218" s="689"/>
      <c r="F218" s="689"/>
      <c r="G218" s="689"/>
      <c r="H218" s="689"/>
      <c r="I218" s="689"/>
      <c r="J218" s="538"/>
      <c r="K218" s="538"/>
      <c r="L218" s="538"/>
      <c r="M218" s="538"/>
      <c r="N218" s="690"/>
      <c r="O218" s="690"/>
      <c r="P218" s="690"/>
      <c r="Q218" s="538"/>
      <c r="R218" s="538"/>
      <c r="S218" s="538"/>
      <c r="T218" s="538"/>
    </row>
    <row r="219" spans="2:20" x14ac:dyDescent="0.2">
      <c r="B219" s="682"/>
      <c r="C219" s="682"/>
      <c r="D219" s="682"/>
      <c r="E219" s="682"/>
      <c r="F219" s="682"/>
      <c r="G219" s="682"/>
      <c r="H219" s="682"/>
      <c r="I219" s="682"/>
      <c r="J219" s="538"/>
      <c r="K219" s="538"/>
      <c r="L219" s="527"/>
      <c r="M219" s="538"/>
      <c r="N219" s="690"/>
      <c r="O219" s="690"/>
      <c r="P219" s="690"/>
      <c r="Q219" s="538"/>
      <c r="R219" s="538"/>
      <c r="S219" s="538"/>
      <c r="T219" s="538"/>
    </row>
    <row r="220" spans="2:20" x14ac:dyDescent="0.2">
      <c r="B220" s="683"/>
      <c r="C220" s="682"/>
      <c r="D220" s="681"/>
      <c r="E220" s="682"/>
      <c r="F220" s="682"/>
      <c r="G220" s="682"/>
      <c r="H220" s="691"/>
      <c r="I220" s="691"/>
      <c r="J220" s="538"/>
      <c r="K220" s="538"/>
      <c r="L220" s="538"/>
      <c r="M220" s="538"/>
      <c r="N220" s="692"/>
      <c r="O220" s="692"/>
      <c r="P220" s="692"/>
      <c r="Q220" s="538"/>
      <c r="R220" s="538"/>
      <c r="S220" s="538"/>
      <c r="T220" s="538"/>
    </row>
    <row r="221" spans="2:20" x14ac:dyDescent="0.2">
      <c r="B221" s="683"/>
      <c r="C221" s="682"/>
      <c r="D221" s="693"/>
      <c r="E221" s="694"/>
      <c r="F221" s="694"/>
      <c r="G221" s="694"/>
      <c r="H221" s="694"/>
      <c r="I221" s="695"/>
      <c r="J221" s="538"/>
      <c r="K221" s="538"/>
      <c r="L221" s="538"/>
      <c r="M221" s="538"/>
      <c r="N221" s="696"/>
      <c r="O221" s="696"/>
      <c r="P221" s="696"/>
      <c r="Q221" s="538"/>
      <c r="R221" s="538"/>
      <c r="S221" s="538"/>
      <c r="T221" s="538"/>
    </row>
    <row r="222" spans="2:20" x14ac:dyDescent="0.2">
      <c r="B222" s="697"/>
      <c r="C222" s="682"/>
      <c r="D222" s="698"/>
      <c r="E222" s="699"/>
      <c r="F222" s="699"/>
      <c r="G222" s="699"/>
      <c r="H222" s="699"/>
      <c r="I222" s="695"/>
      <c r="J222" s="538"/>
      <c r="K222" s="538"/>
      <c r="L222" s="538"/>
      <c r="M222" s="538"/>
      <c r="N222" s="696"/>
      <c r="O222" s="696"/>
      <c r="P222" s="696"/>
      <c r="Q222" s="538"/>
      <c r="R222" s="538"/>
      <c r="S222" s="538"/>
      <c r="T222" s="538"/>
    </row>
    <row r="223" spans="2:20" x14ac:dyDescent="0.2">
      <c r="B223" s="697"/>
      <c r="C223" s="682"/>
      <c r="D223" s="698"/>
      <c r="E223" s="699"/>
      <c r="F223" s="699"/>
      <c r="G223" s="699"/>
      <c r="H223" s="699"/>
      <c r="I223" s="695"/>
      <c r="J223" s="538"/>
      <c r="K223" s="538"/>
      <c r="L223" s="700"/>
      <c r="M223" s="538"/>
      <c r="N223" s="696"/>
      <c r="O223" s="696"/>
      <c r="P223" s="696"/>
      <c r="Q223" s="538"/>
      <c r="R223" s="538"/>
      <c r="S223" s="538"/>
      <c r="T223" s="538"/>
    </row>
    <row r="224" spans="2:20" ht="13.5" customHeight="1" x14ac:dyDescent="0.2">
      <c r="B224" s="687"/>
      <c r="C224" s="682"/>
      <c r="D224" s="701"/>
      <c r="E224" s="694"/>
      <c r="F224" s="694"/>
      <c r="G224" s="694"/>
      <c r="H224" s="694"/>
      <c r="I224" s="695"/>
      <c r="J224" s="538"/>
      <c r="K224" s="538"/>
      <c r="L224" s="538"/>
      <c r="M224" s="538"/>
      <c r="N224" s="696"/>
      <c r="O224" s="696"/>
      <c r="P224" s="696"/>
      <c r="Q224" s="538"/>
      <c r="R224" s="538"/>
      <c r="S224" s="538"/>
      <c r="T224" s="538"/>
    </row>
    <row r="225" spans="2:20" x14ac:dyDescent="0.2">
      <c r="B225" s="697"/>
      <c r="C225" s="682"/>
      <c r="D225" s="701"/>
      <c r="E225" s="694"/>
      <c r="F225" s="694"/>
      <c r="G225" s="694"/>
      <c r="H225" s="694"/>
      <c r="I225" s="695"/>
      <c r="J225" s="538"/>
      <c r="K225" s="538"/>
      <c r="L225" s="700"/>
      <c r="M225" s="538"/>
      <c r="N225" s="696"/>
      <c r="O225" s="696"/>
      <c r="P225" s="696"/>
      <c r="Q225" s="538"/>
      <c r="R225" s="538"/>
      <c r="S225" s="538"/>
      <c r="T225" s="538"/>
    </row>
    <row r="226" spans="2:20" x14ac:dyDescent="0.2">
      <c r="B226" s="683"/>
      <c r="C226" s="682"/>
      <c r="D226" s="701"/>
      <c r="E226" s="695"/>
      <c r="F226" s="695"/>
      <c r="G226" s="695"/>
      <c r="H226" s="695"/>
      <c r="I226" s="695"/>
      <c r="J226" s="538"/>
      <c r="K226" s="538"/>
      <c r="L226" s="527"/>
      <c r="M226" s="538"/>
      <c r="N226" s="702"/>
      <c r="O226" s="702"/>
      <c r="P226" s="702"/>
      <c r="Q226" s="538"/>
      <c r="R226" s="538"/>
      <c r="S226" s="538"/>
      <c r="T226" s="538"/>
    </row>
    <row r="227" spans="2:20" x14ac:dyDescent="0.2">
      <c r="B227" s="683"/>
      <c r="C227" s="682"/>
      <c r="D227" s="701"/>
      <c r="E227" s="695"/>
      <c r="F227" s="695"/>
      <c r="G227" s="695"/>
      <c r="H227" s="695"/>
      <c r="I227" s="695"/>
      <c r="J227" s="538"/>
      <c r="K227" s="538"/>
      <c r="L227" s="538"/>
      <c r="M227" s="538"/>
      <c r="N227" s="696"/>
      <c r="O227" s="696"/>
      <c r="P227" s="696"/>
      <c r="Q227" s="538"/>
      <c r="R227" s="538"/>
      <c r="S227" s="538"/>
      <c r="T227" s="538"/>
    </row>
    <row r="228" spans="2:20" x14ac:dyDescent="0.2">
      <c r="B228" s="697"/>
      <c r="C228" s="682"/>
      <c r="D228" s="685"/>
      <c r="E228" s="695"/>
      <c r="F228" s="695"/>
      <c r="G228" s="695"/>
      <c r="H228" s="695"/>
      <c r="I228" s="695"/>
      <c r="J228" s="538"/>
      <c r="K228" s="538"/>
      <c r="L228" s="527"/>
      <c r="M228" s="538"/>
      <c r="N228" s="703"/>
      <c r="O228" s="703"/>
      <c r="P228" s="703"/>
      <c r="Q228" s="538"/>
      <c r="R228" s="538"/>
      <c r="S228" s="538"/>
      <c r="T228" s="538"/>
    </row>
    <row r="229" spans="2:20" x14ac:dyDescent="0.2">
      <c r="B229" s="697"/>
      <c r="C229" s="682"/>
      <c r="D229" s="685"/>
      <c r="E229" s="695"/>
      <c r="F229" s="695"/>
      <c r="G229" s="695"/>
      <c r="H229" s="695"/>
      <c r="I229" s="695"/>
      <c r="J229" s="538"/>
      <c r="K229" s="538"/>
      <c r="L229" s="538"/>
      <c r="M229" s="538"/>
      <c r="N229" s="538"/>
      <c r="O229" s="538"/>
      <c r="P229" s="538"/>
      <c r="Q229" s="538"/>
      <c r="R229" s="538"/>
      <c r="S229" s="538"/>
      <c r="T229" s="538"/>
    </row>
    <row r="230" spans="2:20" x14ac:dyDescent="0.2">
      <c r="B230" s="683"/>
      <c r="C230" s="682"/>
      <c r="D230" s="701"/>
      <c r="E230" s="704"/>
      <c r="F230" s="704"/>
      <c r="G230" s="704"/>
      <c r="H230" s="704"/>
      <c r="I230" s="704"/>
      <c r="J230" s="538"/>
      <c r="K230" s="538"/>
      <c r="L230" s="634"/>
      <c r="M230" s="538"/>
      <c r="N230" s="705"/>
      <c r="O230" s="705"/>
      <c r="P230" s="705"/>
      <c r="Q230" s="538"/>
      <c r="R230" s="538"/>
      <c r="S230" s="538"/>
      <c r="T230" s="538"/>
    </row>
    <row r="231" spans="2:20" x14ac:dyDescent="0.2">
      <c r="B231" s="527"/>
      <c r="C231" s="538"/>
      <c r="D231" s="634"/>
      <c r="E231" s="706"/>
      <c r="F231" s="538"/>
      <c r="G231" s="706"/>
      <c r="H231" s="706"/>
      <c r="I231" s="706"/>
      <c r="J231" s="538"/>
      <c r="K231" s="538"/>
      <c r="L231" s="527"/>
      <c r="M231" s="538"/>
      <c r="N231" s="538"/>
      <c r="O231" s="538"/>
      <c r="P231" s="538"/>
      <c r="Q231" s="538"/>
      <c r="R231" s="538"/>
      <c r="S231" s="538"/>
      <c r="T231" s="538"/>
    </row>
    <row r="232" spans="2:20" x14ac:dyDescent="0.2">
      <c r="B232" s="538"/>
      <c r="C232" s="538"/>
      <c r="D232" s="538"/>
      <c r="E232" s="538"/>
      <c r="F232" s="538"/>
      <c r="G232" s="538"/>
      <c r="H232" s="538"/>
      <c r="I232" s="634"/>
      <c r="J232" s="538"/>
      <c r="K232" s="538"/>
      <c r="L232" s="707"/>
      <c r="M232" s="538"/>
      <c r="N232" s="538"/>
      <c r="O232" s="538"/>
      <c r="P232" s="538"/>
      <c r="Q232" s="538"/>
      <c r="R232" s="538"/>
      <c r="S232" s="538"/>
      <c r="T232" s="538"/>
    </row>
    <row r="233" spans="2:20" x14ac:dyDescent="0.2">
      <c r="B233" s="538"/>
      <c r="C233" s="538"/>
      <c r="D233" s="538"/>
      <c r="E233" s="634"/>
      <c r="F233" s="634"/>
      <c r="G233" s="634"/>
      <c r="H233" s="634"/>
      <c r="I233" s="634"/>
      <c r="J233" s="538"/>
      <c r="K233" s="538"/>
      <c r="L233" s="707"/>
      <c r="M233" s="538"/>
      <c r="N233" s="538"/>
      <c r="O233" s="538"/>
      <c r="P233" s="538"/>
      <c r="Q233" s="538"/>
      <c r="R233" s="538"/>
      <c r="S233" s="538"/>
      <c r="T233" s="538"/>
    </row>
    <row r="234" spans="2:20" x14ac:dyDescent="0.2">
      <c r="B234" s="538"/>
      <c r="C234" s="538"/>
      <c r="D234" s="676"/>
      <c r="E234" s="527"/>
      <c r="F234" s="538"/>
      <c r="G234" s="538"/>
      <c r="H234" s="538"/>
      <c r="I234" s="538"/>
      <c r="J234" s="538"/>
      <c r="K234" s="538"/>
      <c r="L234" s="538"/>
      <c r="M234" s="538"/>
      <c r="N234" s="538"/>
      <c r="O234" s="538"/>
      <c r="P234" s="538"/>
      <c r="Q234" s="538"/>
      <c r="R234" s="538"/>
      <c r="S234" s="538"/>
      <c r="T234" s="538"/>
    </row>
    <row r="235" spans="2:20" x14ac:dyDescent="0.2">
      <c r="B235" s="538"/>
      <c r="C235" s="538"/>
      <c r="D235" s="538"/>
      <c r="E235" s="538"/>
      <c r="F235" s="635"/>
      <c r="G235" s="635"/>
      <c r="H235" s="635"/>
      <c r="I235" s="635"/>
      <c r="J235" s="538"/>
      <c r="K235" s="538"/>
      <c r="L235" s="538"/>
      <c r="M235" s="538"/>
      <c r="N235" s="538"/>
      <c r="O235" s="538"/>
      <c r="P235" s="538"/>
      <c r="Q235" s="538"/>
      <c r="R235" s="538"/>
      <c r="S235" s="538"/>
      <c r="T235" s="538"/>
    </row>
    <row r="236" spans="2:20" ht="21" customHeight="1" x14ac:dyDescent="0.2">
      <c r="B236" s="1030"/>
      <c r="C236" s="1031"/>
      <c r="D236" s="538"/>
      <c r="E236" s="538"/>
      <c r="F236" s="708"/>
      <c r="G236" s="708"/>
      <c r="H236" s="708"/>
      <c r="I236" s="708"/>
      <c r="J236" s="538"/>
      <c r="K236" s="538"/>
      <c r="L236" s="538"/>
      <c r="M236" s="538"/>
      <c r="N236" s="1032"/>
      <c r="O236" s="1032"/>
      <c r="P236" s="1032"/>
      <c r="Q236" s="538"/>
      <c r="R236" s="538"/>
      <c r="S236" s="538"/>
      <c r="T236" s="538"/>
    </row>
    <row r="237" spans="2:20" ht="18.75" customHeight="1" x14ac:dyDescent="0.2">
      <c r="B237" s="709"/>
      <c r="C237" s="710"/>
      <c r="D237" s="708"/>
      <c r="E237" s="708"/>
      <c r="F237" s="708"/>
      <c r="G237" s="708"/>
      <c r="H237" s="538"/>
      <c r="I237" s="538"/>
      <c r="J237" s="538"/>
      <c r="K237" s="538"/>
      <c r="L237" s="538"/>
      <c r="M237" s="538"/>
      <c r="N237" s="707"/>
      <c r="O237" s="707"/>
      <c r="P237" s="707"/>
      <c r="Q237" s="538"/>
      <c r="R237" s="538"/>
      <c r="S237" s="538"/>
      <c r="T237" s="538"/>
    </row>
    <row r="238" spans="2:20" ht="18.75" customHeight="1" x14ac:dyDescent="0.2">
      <c r="B238" s="709"/>
      <c r="C238" s="710"/>
      <c r="D238" s="708"/>
      <c r="E238" s="708"/>
      <c r="F238" s="708"/>
      <c r="G238" s="711"/>
      <c r="H238" s="527"/>
      <c r="I238" s="711"/>
      <c r="J238" s="527"/>
      <c r="K238" s="527"/>
      <c r="L238" s="711"/>
      <c r="M238" s="538"/>
      <c r="N238" s="707"/>
      <c r="O238" s="707"/>
      <c r="P238" s="707"/>
      <c r="Q238" s="538"/>
      <c r="R238" s="538"/>
      <c r="S238" s="538"/>
      <c r="T238" s="538"/>
    </row>
    <row r="239" spans="2:20" ht="21" customHeight="1" x14ac:dyDescent="0.2">
      <c r="B239" s="681"/>
      <c r="C239" s="712"/>
      <c r="D239" s="708"/>
      <c r="E239" s="708"/>
      <c r="F239" s="527"/>
      <c r="G239" s="634"/>
      <c r="H239" s="634"/>
      <c r="I239" s="634"/>
      <c r="J239" s="634"/>
      <c r="K239" s="634"/>
      <c r="L239" s="634"/>
      <c r="M239" s="538"/>
      <c r="N239" s="707"/>
      <c r="O239" s="707"/>
      <c r="P239" s="707"/>
      <c r="Q239" s="538"/>
      <c r="R239" s="538"/>
      <c r="S239" s="538"/>
      <c r="T239" s="538"/>
    </row>
    <row r="240" spans="2:20" x14ac:dyDescent="0.2">
      <c r="B240" s="538"/>
      <c r="C240" s="538"/>
      <c r="D240" s="708"/>
      <c r="E240" s="708"/>
      <c r="F240" s="538"/>
      <c r="G240" s="538"/>
      <c r="H240" s="538"/>
      <c r="I240" s="538"/>
      <c r="J240" s="538"/>
      <c r="K240" s="538"/>
      <c r="L240" s="538"/>
      <c r="M240" s="538"/>
      <c r="N240" s="707"/>
      <c r="O240" s="707"/>
      <c r="P240" s="707"/>
      <c r="Q240" s="538"/>
      <c r="R240" s="538"/>
      <c r="S240" s="538"/>
      <c r="T240" s="538"/>
    </row>
    <row r="241" spans="1:20" x14ac:dyDescent="0.2">
      <c r="B241" s="538"/>
      <c r="C241" s="538"/>
      <c r="D241" s="538"/>
      <c r="E241" s="538"/>
      <c r="F241" s="538"/>
      <c r="G241" s="708"/>
      <c r="H241" s="527"/>
      <c r="I241" s="527"/>
      <c r="J241" s="527"/>
      <c r="K241" s="527"/>
      <c r="L241" s="696"/>
      <c r="M241" s="696"/>
      <c r="N241" s="696"/>
      <c r="O241" s="696"/>
      <c r="P241" s="696"/>
      <c r="Q241" s="538"/>
      <c r="R241" s="538"/>
      <c r="S241" s="538"/>
      <c r="T241" s="538"/>
    </row>
    <row r="242" spans="1:20" x14ac:dyDescent="0.2">
      <c r="B242" s="538"/>
      <c r="C242" s="538"/>
      <c r="D242" s="538"/>
      <c r="E242" s="538"/>
      <c r="F242" s="527"/>
      <c r="G242" s="634"/>
      <c r="H242" s="634"/>
      <c r="I242" s="634"/>
      <c r="J242" s="634"/>
      <c r="K242" s="634"/>
      <c r="L242" s="696"/>
      <c r="M242" s="696"/>
      <c r="N242" s="696"/>
      <c r="O242" s="696"/>
      <c r="P242" s="696"/>
      <c r="Q242" s="538"/>
      <c r="R242" s="538"/>
      <c r="S242" s="538"/>
      <c r="T242" s="538"/>
    </row>
    <row r="243" spans="1:20" x14ac:dyDescent="0.2">
      <c r="A243" s="713"/>
      <c r="B243" s="688"/>
      <c r="C243" s="688"/>
      <c r="D243" s="688"/>
      <c r="E243" s="688"/>
      <c r="F243" s="688"/>
      <c r="G243" s="688"/>
      <c r="H243" s="688"/>
      <c r="I243" s="688"/>
      <c r="J243" s="714"/>
      <c r="K243" s="714"/>
      <c r="L243" s="714"/>
      <c r="M243" s="714"/>
      <c r="N243" s="714"/>
      <c r="O243" s="714"/>
      <c r="P243" s="714"/>
      <c r="Q243" s="538"/>
      <c r="R243" s="538"/>
      <c r="S243" s="538"/>
      <c r="T243" s="538"/>
    </row>
    <row r="244" spans="1:20" s="538" customFormat="1" x14ac:dyDescent="0.2">
      <c r="E244" s="634"/>
      <c r="J244" s="696"/>
      <c r="K244" s="696"/>
      <c r="L244" s="696"/>
      <c r="M244" s="696"/>
      <c r="N244" s="696"/>
      <c r="O244" s="696"/>
      <c r="P244" s="696"/>
    </row>
    <row r="245" spans="1:20" s="505" customFormat="1" x14ac:dyDescent="0.2">
      <c r="B245" s="538"/>
      <c r="C245" s="538"/>
      <c r="D245" s="538"/>
      <c r="E245" s="538"/>
      <c r="F245" s="538"/>
      <c r="G245" s="538"/>
      <c r="H245" s="538"/>
      <c r="I245" s="538"/>
      <c r="J245" s="696"/>
      <c r="K245" s="696"/>
      <c r="L245" s="696"/>
      <c r="M245" s="696"/>
      <c r="N245" s="696"/>
      <c r="O245" s="696"/>
      <c r="P245" s="696"/>
      <c r="Q245" s="538"/>
      <c r="R245" s="538"/>
      <c r="S245" s="538"/>
      <c r="T245" s="538"/>
    </row>
    <row r="246" spans="1:20" s="505" customFormat="1" x14ac:dyDescent="0.2">
      <c r="B246" s="538"/>
      <c r="C246" s="538"/>
      <c r="D246" s="634"/>
      <c r="E246" s="538"/>
      <c r="F246" s="538"/>
      <c r="G246" s="538"/>
      <c r="H246" s="538"/>
      <c r="I246" s="705"/>
      <c r="J246" s="696"/>
      <c r="K246" s="696"/>
      <c r="L246" s="696"/>
      <c r="M246" s="696"/>
      <c r="N246" s="696"/>
      <c r="O246" s="696"/>
      <c r="P246" s="696"/>
      <c r="Q246" s="538"/>
      <c r="R246" s="538"/>
      <c r="S246" s="538"/>
      <c r="T246" s="538"/>
    </row>
    <row r="247" spans="1:20" s="505" customFormat="1" x14ac:dyDescent="0.2">
      <c r="B247" s="538"/>
      <c r="C247" s="538"/>
      <c r="D247" s="538"/>
      <c r="E247" s="538"/>
      <c r="F247" s="538"/>
      <c r="G247" s="538"/>
      <c r="H247" s="538"/>
      <c r="I247" s="538"/>
      <c r="J247" s="538"/>
      <c r="K247" s="538"/>
      <c r="L247" s="538"/>
      <c r="M247" s="538"/>
      <c r="N247" s="538"/>
      <c r="O247" s="538"/>
      <c r="P247" s="538"/>
      <c r="Q247" s="538"/>
      <c r="R247" s="538"/>
      <c r="S247" s="538"/>
      <c r="T247" s="538"/>
    </row>
    <row r="248" spans="1:20" s="505" customFormat="1" x14ac:dyDescent="0.2">
      <c r="B248" s="527"/>
      <c r="C248" s="707"/>
      <c r="D248" s="707"/>
      <c r="E248" s="707"/>
      <c r="F248" s="707"/>
      <c r="G248" s="707"/>
      <c r="H248" s="707"/>
      <c r="I248" s="707"/>
      <c r="J248" s="538"/>
      <c r="K248" s="538"/>
      <c r="L248" s="538"/>
      <c r="M248" s="538"/>
      <c r="N248" s="538"/>
      <c r="O248" s="538"/>
      <c r="P248" s="538"/>
      <c r="Q248" s="538"/>
      <c r="R248" s="538"/>
      <c r="S248" s="538"/>
      <c r="T248" s="538"/>
    </row>
    <row r="249" spans="1:20" s="505" customFormat="1" x14ac:dyDescent="0.2">
      <c r="B249" s="538"/>
      <c r="C249" s="539"/>
      <c r="D249" s="715"/>
      <c r="E249" s="715"/>
      <c r="F249" s="715"/>
      <c r="G249" s="715"/>
      <c r="H249" s="715"/>
      <c r="I249" s="715"/>
      <c r="J249" s="538"/>
      <c r="K249" s="538"/>
      <c r="L249" s="538"/>
      <c r="M249" s="538"/>
      <c r="N249" s="538"/>
      <c r="O249" s="538"/>
      <c r="P249" s="538"/>
      <c r="Q249" s="538"/>
      <c r="R249" s="538"/>
      <c r="S249" s="538"/>
      <c r="T249" s="538"/>
    </row>
    <row r="250" spans="1:20" s="505" customFormat="1" x14ac:dyDescent="0.2">
      <c r="B250" s="538"/>
      <c r="C250" s="539"/>
      <c r="D250" s="715"/>
      <c r="E250" s="715"/>
      <c r="F250" s="715"/>
      <c r="G250" s="715"/>
      <c r="H250" s="715"/>
      <c r="I250" s="715"/>
      <c r="J250" s="538"/>
      <c r="K250" s="538"/>
      <c r="L250" s="538"/>
      <c r="M250" s="538"/>
      <c r="N250" s="538"/>
      <c r="O250" s="538"/>
      <c r="P250" s="538"/>
      <c r="Q250" s="538"/>
      <c r="R250" s="538"/>
      <c r="S250" s="538"/>
      <c r="T250" s="538"/>
    </row>
    <row r="251" spans="1:20" s="505" customFormat="1" x14ac:dyDescent="0.2">
      <c r="B251" s="538"/>
      <c r="C251" s="539"/>
      <c r="D251" s="716"/>
      <c r="E251" s="715"/>
      <c r="F251" s="715"/>
      <c r="G251" s="715"/>
      <c r="H251" s="715"/>
      <c r="I251" s="715"/>
      <c r="J251" s="538"/>
      <c r="K251" s="538"/>
      <c r="L251" s="538"/>
      <c r="M251" s="538"/>
      <c r="N251" s="538"/>
      <c r="O251" s="538"/>
      <c r="P251" s="538"/>
      <c r="Q251" s="538"/>
      <c r="R251" s="538"/>
      <c r="S251" s="538"/>
      <c r="T251" s="538"/>
    </row>
    <row r="252" spans="1:20" s="505" customFormat="1" x14ac:dyDescent="0.2">
      <c r="B252" s="527"/>
      <c r="C252" s="539"/>
      <c r="D252" s="539"/>
      <c r="E252" s="538"/>
      <c r="F252" s="538"/>
      <c r="G252" s="538"/>
      <c r="H252" s="717"/>
      <c r="I252" s="538"/>
      <c r="J252" s="538"/>
      <c r="K252" s="538"/>
      <c r="L252" s="538"/>
      <c r="M252" s="538"/>
      <c r="N252" s="538"/>
      <c r="O252" s="538"/>
      <c r="P252" s="538"/>
      <c r="Q252" s="538"/>
      <c r="R252" s="538"/>
      <c r="S252" s="538"/>
      <c r="T252" s="538"/>
    </row>
    <row r="253" spans="1:20" s="505" customFormat="1" x14ac:dyDescent="0.2">
      <c r="B253" s="538"/>
      <c r="C253" s="539"/>
      <c r="D253" s="540"/>
      <c r="E253" s="540"/>
      <c r="F253" s="540"/>
      <c r="G253" s="540"/>
      <c r="H253" s="540"/>
      <c r="I253" s="540"/>
      <c r="J253" s="538"/>
      <c r="K253" s="538"/>
      <c r="L253" s="538"/>
      <c r="M253" s="538"/>
      <c r="N253" s="538"/>
      <c r="O253" s="538"/>
      <c r="P253" s="538"/>
      <c r="Q253" s="538"/>
      <c r="R253" s="538"/>
      <c r="S253" s="538"/>
      <c r="T253" s="538"/>
    </row>
    <row r="254" spans="1:20" s="505" customFormat="1" x14ac:dyDescent="0.2">
      <c r="B254" s="538"/>
      <c r="C254" s="539"/>
      <c r="D254" s="540"/>
      <c r="E254" s="540"/>
      <c r="F254" s="540"/>
      <c r="G254" s="540"/>
      <c r="H254" s="540"/>
      <c r="I254" s="540"/>
      <c r="J254" s="538"/>
      <c r="K254" s="538"/>
      <c r="L254" s="538"/>
      <c r="M254" s="538"/>
      <c r="N254" s="538"/>
      <c r="O254" s="538"/>
      <c r="P254" s="538"/>
      <c r="Q254" s="538"/>
      <c r="R254" s="538"/>
      <c r="S254" s="538"/>
      <c r="T254" s="538"/>
    </row>
    <row r="255" spans="1:20" s="505" customFormat="1" x14ac:dyDescent="0.2">
      <c r="B255" s="538"/>
      <c r="C255" s="539"/>
      <c r="D255" s="540"/>
      <c r="E255" s="540"/>
      <c r="F255" s="540"/>
      <c r="G255" s="540"/>
      <c r="H255" s="540"/>
      <c r="I255" s="540"/>
      <c r="J255" s="538"/>
      <c r="K255" s="538"/>
      <c r="L255" s="538"/>
      <c r="M255" s="538"/>
      <c r="N255" s="538"/>
      <c r="O255" s="538"/>
      <c r="P255" s="538"/>
      <c r="Q255" s="538"/>
      <c r="R255" s="538"/>
      <c r="S255" s="538"/>
      <c r="T255" s="538"/>
    </row>
    <row r="256" spans="1:20" s="505" customFormat="1" x14ac:dyDescent="0.2">
      <c r="B256" s="538"/>
      <c r="C256" s="539"/>
      <c r="D256" s="540"/>
      <c r="E256" s="540"/>
      <c r="F256" s="540"/>
      <c r="G256" s="540"/>
      <c r="H256" s="540"/>
      <c r="I256" s="540"/>
      <c r="J256" s="538"/>
      <c r="K256" s="538"/>
      <c r="L256" s="538"/>
      <c r="M256" s="538"/>
      <c r="N256" s="538"/>
      <c r="O256" s="538"/>
      <c r="P256" s="538"/>
      <c r="Q256" s="538"/>
      <c r="R256" s="538"/>
      <c r="S256" s="538"/>
      <c r="T256" s="538"/>
    </row>
    <row r="257" spans="2:20" s="505" customFormat="1" x14ac:dyDescent="0.2">
      <c r="B257" s="538"/>
      <c r="C257" s="539"/>
      <c r="D257" s="540"/>
      <c r="E257" s="540"/>
      <c r="F257" s="540"/>
      <c r="G257" s="540"/>
      <c r="H257" s="540"/>
      <c r="I257" s="540"/>
      <c r="J257" s="538"/>
      <c r="K257" s="538"/>
      <c r="L257" s="538"/>
      <c r="M257" s="538"/>
      <c r="N257" s="538"/>
      <c r="O257" s="538"/>
      <c r="P257" s="538"/>
      <c r="Q257" s="538"/>
      <c r="R257" s="538"/>
      <c r="S257" s="538"/>
      <c r="T257" s="538"/>
    </row>
    <row r="258" spans="2:20" s="505" customFormat="1" x14ac:dyDescent="0.2">
      <c r="B258" s="538"/>
      <c r="C258" s="539"/>
      <c r="D258" s="540"/>
      <c r="E258" s="540"/>
      <c r="F258" s="540"/>
      <c r="G258" s="540"/>
      <c r="H258" s="540"/>
      <c r="I258" s="540"/>
      <c r="J258" s="538"/>
      <c r="K258" s="538"/>
      <c r="L258" s="538"/>
      <c r="M258" s="538"/>
      <c r="N258" s="538"/>
      <c r="O258" s="538"/>
      <c r="P258" s="538"/>
      <c r="Q258" s="538"/>
      <c r="R258" s="538"/>
      <c r="S258" s="538"/>
      <c r="T258" s="538"/>
    </row>
    <row r="259" spans="2:20" s="505" customFormat="1" x14ac:dyDescent="0.2">
      <c r="B259" s="527"/>
      <c r="C259" s="539"/>
      <c r="D259" s="539"/>
      <c r="E259" s="538"/>
      <c r="F259" s="538"/>
      <c r="G259" s="538"/>
      <c r="H259" s="538"/>
      <c r="I259" s="538"/>
      <c r="J259" s="538"/>
      <c r="K259" s="538"/>
      <c r="L259" s="538"/>
      <c r="M259" s="538"/>
      <c r="N259" s="538"/>
      <c r="O259" s="538"/>
      <c r="P259" s="538"/>
      <c r="Q259" s="538"/>
      <c r="R259" s="538"/>
      <c r="S259" s="538"/>
      <c r="T259" s="538"/>
    </row>
    <row r="260" spans="2:20" s="505" customFormat="1" x14ac:dyDescent="0.2">
      <c r="B260" s="538"/>
      <c r="C260" s="539"/>
      <c r="D260" s="540"/>
      <c r="E260" s="540"/>
      <c r="F260" s="540"/>
      <c r="G260" s="540"/>
      <c r="H260" s="540"/>
      <c r="I260" s="540"/>
      <c r="J260" s="538"/>
      <c r="K260" s="538"/>
      <c r="L260" s="538"/>
      <c r="M260" s="538"/>
      <c r="N260" s="538"/>
      <c r="O260" s="538"/>
      <c r="P260" s="538"/>
      <c r="Q260" s="538"/>
      <c r="R260" s="538"/>
      <c r="S260" s="538"/>
      <c r="T260" s="538"/>
    </row>
    <row r="261" spans="2:20" s="505" customFormat="1" x14ac:dyDescent="0.2">
      <c r="B261" s="538"/>
      <c r="C261" s="539"/>
      <c r="D261" s="540"/>
      <c r="E261" s="540"/>
      <c r="F261" s="540"/>
      <c r="G261" s="540"/>
      <c r="H261" s="540"/>
      <c r="I261" s="540"/>
      <c r="J261" s="538"/>
      <c r="K261" s="538"/>
      <c r="L261" s="538"/>
      <c r="M261" s="538"/>
      <c r="N261" s="538"/>
      <c r="O261" s="538"/>
      <c r="P261" s="538"/>
      <c r="Q261" s="538"/>
      <c r="R261" s="538"/>
      <c r="S261" s="538"/>
      <c r="T261" s="538"/>
    </row>
    <row r="262" spans="2:20" s="505" customFormat="1" x14ac:dyDescent="0.2">
      <c r="B262" s="527"/>
      <c r="C262" s="539"/>
      <c r="D262" s="539"/>
      <c r="E262" s="538"/>
      <c r="F262" s="538"/>
      <c r="G262" s="538"/>
      <c r="H262" s="538"/>
      <c r="I262" s="538"/>
      <c r="J262" s="538"/>
      <c r="K262" s="538"/>
      <c r="L262" s="538"/>
      <c r="M262" s="538"/>
      <c r="N262" s="538"/>
      <c r="O262" s="538"/>
      <c r="P262" s="538"/>
      <c r="Q262" s="538"/>
      <c r="R262" s="538"/>
      <c r="S262" s="538"/>
      <c r="T262" s="538"/>
    </row>
    <row r="263" spans="2:20" s="505" customFormat="1" x14ac:dyDescent="0.2">
      <c r="B263" s="538"/>
      <c r="C263" s="539"/>
      <c r="D263" s="718"/>
      <c r="E263" s="540"/>
      <c r="F263" s="540"/>
      <c r="G263" s="540"/>
      <c r="H263" s="540"/>
      <c r="I263" s="540"/>
      <c r="J263" s="538"/>
      <c r="K263" s="538"/>
      <c r="L263" s="538"/>
      <c r="M263" s="538"/>
      <c r="N263" s="538"/>
      <c r="O263" s="538"/>
      <c r="P263" s="538"/>
      <c r="Q263" s="538"/>
      <c r="R263" s="538"/>
      <c r="S263" s="538"/>
      <c r="T263" s="538"/>
    </row>
    <row r="264" spans="2:20" s="505" customFormat="1" x14ac:dyDescent="0.2">
      <c r="B264" s="538"/>
      <c r="C264" s="539"/>
      <c r="D264" s="718"/>
      <c r="E264" s="719"/>
      <c r="F264" s="719"/>
      <c r="G264" s="719"/>
      <c r="H264" s="719"/>
      <c r="I264" s="719"/>
      <c r="J264" s="538"/>
      <c r="K264" s="538"/>
      <c r="L264" s="538"/>
      <c r="M264" s="538"/>
      <c r="N264" s="538"/>
      <c r="O264" s="538"/>
      <c r="P264" s="538"/>
      <c r="Q264" s="538"/>
      <c r="R264" s="538"/>
      <c r="S264" s="538"/>
      <c r="T264" s="538"/>
    </row>
    <row r="265" spans="2:20" s="505" customFormat="1" x14ac:dyDescent="0.2">
      <c r="B265" s="538"/>
      <c r="C265" s="538"/>
      <c r="D265" s="538"/>
      <c r="E265" s="538"/>
      <c r="F265" s="538"/>
      <c r="G265" s="538"/>
      <c r="H265" s="538"/>
      <c r="I265" s="538"/>
      <c r="J265" s="538"/>
      <c r="K265" s="538"/>
      <c r="L265" s="538"/>
      <c r="M265" s="538"/>
      <c r="N265" s="538"/>
      <c r="O265" s="538"/>
      <c r="P265" s="538"/>
      <c r="Q265" s="538"/>
      <c r="R265" s="538"/>
      <c r="S265" s="538"/>
      <c r="T265" s="538"/>
    </row>
    <row r="266" spans="2:20" s="505" customFormat="1" x14ac:dyDescent="0.2">
      <c r="B266" s="527"/>
      <c r="C266" s="539"/>
      <c r="D266" s="707"/>
      <c r="E266" s="707"/>
      <c r="F266" s="707"/>
      <c r="G266" s="707"/>
      <c r="H266" s="707"/>
      <c r="I266" s="707"/>
      <c r="J266" s="696"/>
      <c r="K266" s="696"/>
      <c r="L266" s="696"/>
      <c r="M266" s="696"/>
      <c r="N266" s="696"/>
      <c r="O266" s="696"/>
      <c r="P266" s="696"/>
      <c r="Q266" s="538"/>
      <c r="R266" s="538"/>
      <c r="S266" s="538"/>
      <c r="T266" s="538"/>
    </row>
    <row r="267" spans="2:20" s="505" customFormat="1" x14ac:dyDescent="0.2">
      <c r="B267" s="527"/>
      <c r="C267" s="539"/>
      <c r="D267" s="539"/>
      <c r="E267" s="720"/>
      <c r="F267" s="527"/>
      <c r="G267" s="527"/>
      <c r="H267" s="527"/>
      <c r="I267" s="527"/>
      <c r="J267" s="538"/>
      <c r="K267" s="538"/>
      <c r="L267" s="527"/>
      <c r="M267" s="538"/>
      <c r="N267" s="703"/>
      <c r="O267" s="703"/>
      <c r="P267" s="703"/>
      <c r="Q267" s="538"/>
      <c r="R267" s="538"/>
      <c r="S267" s="538"/>
      <c r="T267" s="538"/>
    </row>
    <row r="268" spans="2:20" s="505" customFormat="1" x14ac:dyDescent="0.2">
      <c r="B268" s="527"/>
      <c r="C268" s="539"/>
      <c r="D268" s="539"/>
      <c r="E268" s="676"/>
      <c r="F268" s="676"/>
      <c r="G268" s="676"/>
      <c r="H268" s="676"/>
      <c r="I268" s="676"/>
      <c r="J268" s="538"/>
      <c r="K268" s="538"/>
      <c r="L268" s="538"/>
      <c r="M268" s="538"/>
      <c r="N268" s="538"/>
      <c r="O268" s="538"/>
      <c r="P268" s="538"/>
      <c r="Q268" s="538"/>
      <c r="R268" s="538"/>
      <c r="S268" s="538"/>
      <c r="T268" s="538"/>
    </row>
    <row r="269" spans="2:20" s="505" customFormat="1" x14ac:dyDescent="0.2">
      <c r="B269" s="538"/>
      <c r="C269" s="539"/>
      <c r="D269" s="539"/>
      <c r="E269" s="540"/>
      <c r="F269" s="540"/>
      <c r="G269" s="540"/>
      <c r="H269" s="540"/>
      <c r="I269" s="540"/>
      <c r="J269" s="538"/>
      <c r="K269" s="538"/>
      <c r="L269" s="538"/>
      <c r="M269" s="538"/>
      <c r="N269" s="705"/>
      <c r="O269" s="705"/>
      <c r="P269" s="705"/>
      <c r="Q269" s="538"/>
      <c r="R269" s="538"/>
      <c r="S269" s="538"/>
      <c r="T269" s="538"/>
    </row>
    <row r="270" spans="2:20" s="505" customFormat="1" x14ac:dyDescent="0.2">
      <c r="B270" s="538"/>
      <c r="C270" s="539"/>
      <c r="D270" s="539"/>
      <c r="E270" s="540"/>
      <c r="F270" s="540"/>
      <c r="G270" s="540"/>
      <c r="H270" s="540"/>
      <c r="I270" s="540"/>
      <c r="J270" s="538"/>
      <c r="K270" s="538"/>
      <c r="L270" s="527"/>
      <c r="M270" s="538"/>
      <c r="N270" s="538"/>
      <c r="O270" s="538"/>
      <c r="P270" s="538"/>
      <c r="Q270" s="538"/>
      <c r="R270" s="538"/>
      <c r="S270" s="538"/>
      <c r="T270" s="538"/>
    </row>
    <row r="271" spans="2:20" s="505" customFormat="1" x14ac:dyDescent="0.2">
      <c r="B271" s="538"/>
      <c r="C271" s="539"/>
      <c r="D271" s="539"/>
      <c r="E271" s="540"/>
      <c r="F271" s="540"/>
      <c r="G271" s="540"/>
      <c r="H271" s="540"/>
      <c r="I271" s="540"/>
      <c r="J271" s="538"/>
      <c r="K271" s="538"/>
      <c r="L271" s="707"/>
      <c r="M271" s="538"/>
      <c r="N271" s="538"/>
      <c r="O271" s="538"/>
      <c r="P271" s="538"/>
      <c r="Q271" s="538"/>
      <c r="R271" s="538"/>
      <c r="S271" s="538"/>
      <c r="T271" s="538"/>
    </row>
    <row r="272" spans="2:20" s="505" customFormat="1" x14ac:dyDescent="0.2">
      <c r="B272" s="538"/>
      <c r="C272" s="539"/>
      <c r="D272" s="539"/>
      <c r="E272" s="540"/>
      <c r="F272" s="540"/>
      <c r="G272" s="540"/>
      <c r="H272" s="540"/>
      <c r="I272" s="540"/>
      <c r="J272" s="538"/>
      <c r="K272" s="538"/>
      <c r="L272" s="707"/>
      <c r="M272" s="538"/>
      <c r="N272" s="538"/>
      <c r="O272" s="538"/>
      <c r="P272" s="538"/>
      <c r="Q272" s="538"/>
      <c r="R272" s="538"/>
      <c r="S272" s="538"/>
      <c r="T272" s="538"/>
    </row>
    <row r="273" spans="2:20" s="505" customFormat="1" x14ac:dyDescent="0.2">
      <c r="B273" s="538"/>
      <c r="C273" s="539"/>
      <c r="D273" s="539"/>
      <c r="E273" s="721"/>
      <c r="F273" s="721"/>
      <c r="G273" s="721"/>
      <c r="H273" s="721"/>
      <c r="I273" s="721"/>
      <c r="J273" s="538"/>
      <c r="K273" s="538"/>
      <c r="L273" s="707"/>
      <c r="M273" s="538"/>
      <c r="N273" s="538"/>
      <c r="O273" s="538"/>
      <c r="P273" s="538"/>
      <c r="Q273" s="538"/>
      <c r="R273" s="538"/>
      <c r="S273" s="538"/>
      <c r="T273" s="538"/>
    </row>
    <row r="274" spans="2:20" s="505" customFormat="1" x14ac:dyDescent="0.2">
      <c r="B274" s="527"/>
      <c r="C274" s="539"/>
      <c r="D274" s="539"/>
      <c r="E274" s="676"/>
      <c r="F274" s="676"/>
      <c r="G274" s="676"/>
      <c r="H274" s="676"/>
      <c r="I274" s="676"/>
      <c r="J274" s="538"/>
      <c r="K274" s="538"/>
      <c r="L274" s="707"/>
      <c r="M274" s="538"/>
      <c r="N274" s="538"/>
      <c r="O274" s="538"/>
      <c r="P274" s="538"/>
      <c r="Q274" s="538"/>
      <c r="R274" s="538"/>
      <c r="S274" s="538"/>
      <c r="T274" s="538"/>
    </row>
    <row r="275" spans="2:20" s="505" customFormat="1" x14ac:dyDescent="0.2">
      <c r="B275" s="538"/>
      <c r="C275" s="539"/>
      <c r="D275" s="539"/>
      <c r="E275" s="540"/>
      <c r="F275" s="540"/>
      <c r="G275" s="540"/>
      <c r="H275" s="540"/>
      <c r="I275" s="540"/>
      <c r="J275" s="538"/>
      <c r="K275" s="538"/>
      <c r="L275" s="538"/>
      <c r="M275" s="538"/>
      <c r="N275" s="538"/>
      <c r="O275" s="538"/>
      <c r="P275" s="538"/>
      <c r="Q275" s="538"/>
      <c r="R275" s="538"/>
      <c r="S275" s="538"/>
      <c r="T275" s="538"/>
    </row>
    <row r="276" spans="2:20" s="505" customFormat="1" x14ac:dyDescent="0.2">
      <c r="B276" s="538"/>
      <c r="C276" s="539"/>
      <c r="D276" s="539"/>
      <c r="E276" s="540"/>
      <c r="F276" s="540"/>
      <c r="G276" s="540"/>
      <c r="H276" s="540"/>
      <c r="I276" s="540"/>
      <c r="J276" s="538"/>
      <c r="K276" s="538"/>
      <c r="L276" s="538"/>
      <c r="M276" s="538"/>
      <c r="N276" s="538"/>
      <c r="O276" s="538"/>
      <c r="P276" s="538"/>
      <c r="Q276" s="538"/>
      <c r="R276" s="538"/>
      <c r="S276" s="538"/>
      <c r="T276" s="538"/>
    </row>
    <row r="277" spans="2:20" s="505" customFormat="1" x14ac:dyDescent="0.2">
      <c r="B277" s="538"/>
      <c r="C277" s="539"/>
      <c r="D277" s="539"/>
      <c r="E277" s="540"/>
      <c r="F277" s="540"/>
      <c r="G277" s="540"/>
      <c r="H277" s="540"/>
      <c r="I277" s="540"/>
      <c r="J277" s="538"/>
      <c r="K277" s="538"/>
      <c r="L277" s="538"/>
      <c r="M277" s="538"/>
      <c r="N277" s="538"/>
      <c r="O277" s="538"/>
      <c r="P277" s="538"/>
      <c r="Q277" s="538"/>
      <c r="R277" s="538"/>
      <c r="S277" s="538"/>
      <c r="T277" s="538"/>
    </row>
    <row r="278" spans="2:20" s="505" customFormat="1" x14ac:dyDescent="0.2">
      <c r="B278" s="538"/>
      <c r="C278" s="539"/>
      <c r="D278" s="539"/>
      <c r="E278" s="540"/>
      <c r="F278" s="540"/>
      <c r="G278" s="540"/>
      <c r="H278" s="540"/>
      <c r="I278" s="540"/>
      <c r="J278" s="538"/>
      <c r="K278" s="538"/>
      <c r="L278" s="538"/>
      <c r="M278" s="538"/>
      <c r="N278" s="538"/>
      <c r="O278" s="538"/>
      <c r="P278" s="538"/>
      <c r="Q278" s="538"/>
      <c r="R278" s="538"/>
      <c r="S278" s="538"/>
      <c r="T278" s="538"/>
    </row>
    <row r="279" spans="2:20" s="505" customFormat="1" x14ac:dyDescent="0.2">
      <c r="B279" s="538"/>
      <c r="C279" s="539"/>
      <c r="D279" s="539"/>
      <c r="E279" s="540"/>
      <c r="F279" s="540"/>
      <c r="G279" s="540"/>
      <c r="H279" s="540"/>
      <c r="I279" s="540"/>
      <c r="J279" s="538"/>
      <c r="K279" s="538"/>
      <c r="L279" s="538"/>
      <c r="M279" s="538"/>
      <c r="N279" s="538"/>
      <c r="O279" s="538"/>
      <c r="P279" s="538"/>
      <c r="Q279" s="538"/>
      <c r="R279" s="538"/>
      <c r="S279" s="538"/>
      <c r="T279" s="538"/>
    </row>
    <row r="280" spans="2:20" s="505" customFormat="1" x14ac:dyDescent="0.2">
      <c r="B280" s="527"/>
      <c r="C280" s="539"/>
      <c r="D280" s="539"/>
      <c r="E280" s="676"/>
      <c r="F280" s="676"/>
      <c r="G280" s="676"/>
      <c r="H280" s="676"/>
      <c r="I280" s="676"/>
      <c r="J280" s="538"/>
      <c r="K280" s="538"/>
      <c r="L280" s="538"/>
      <c r="M280" s="538"/>
      <c r="N280" s="538"/>
      <c r="O280" s="538"/>
      <c r="P280" s="538"/>
      <c r="Q280" s="538"/>
      <c r="R280" s="538"/>
      <c r="S280" s="538"/>
      <c r="T280" s="538"/>
    </row>
    <row r="281" spans="2:20" s="505" customFormat="1" x14ac:dyDescent="0.2">
      <c r="B281" s="538"/>
      <c r="C281" s="539"/>
      <c r="D281" s="718"/>
      <c r="E281" s="718"/>
      <c r="F281" s="718"/>
      <c r="G281" s="718"/>
      <c r="H281" s="718"/>
      <c r="I281" s="718"/>
      <c r="J281" s="538"/>
      <c r="K281" s="538"/>
      <c r="L281" s="538"/>
      <c r="M281" s="538"/>
      <c r="N281" s="538"/>
      <c r="O281" s="538"/>
      <c r="P281" s="538"/>
      <c r="Q281" s="538"/>
      <c r="R281" s="538"/>
      <c r="S281" s="538"/>
      <c r="T281" s="538"/>
    </row>
    <row r="282" spans="2:20" s="505" customFormat="1" x14ac:dyDescent="0.2">
      <c r="B282" s="538"/>
      <c r="C282" s="539"/>
      <c r="D282" s="718"/>
      <c r="E282" s="718"/>
      <c r="F282" s="718"/>
      <c r="G282" s="718"/>
      <c r="H282" s="718"/>
      <c r="I282" s="718"/>
      <c r="J282" s="538"/>
      <c r="K282" s="538"/>
      <c r="L282" s="538"/>
      <c r="M282" s="538"/>
      <c r="N282" s="538"/>
      <c r="O282" s="538"/>
      <c r="P282" s="538"/>
      <c r="Q282" s="538"/>
      <c r="R282" s="538"/>
      <c r="S282" s="538"/>
      <c r="T282" s="538"/>
    </row>
    <row r="283" spans="2:20" s="505" customFormat="1" x14ac:dyDescent="0.2">
      <c r="B283" s="524"/>
      <c r="C283" s="555"/>
      <c r="D283" s="555"/>
      <c r="E283" s="722"/>
      <c r="F283" s="722"/>
      <c r="G283" s="722"/>
      <c r="H283" s="722"/>
      <c r="I283" s="722"/>
    </row>
    <row r="284" spans="2:20" s="505" customFormat="1" x14ac:dyDescent="0.2">
      <c r="B284" s="723"/>
      <c r="C284" s="524"/>
      <c r="D284" s="524"/>
      <c r="E284" s="724"/>
      <c r="F284" s="724"/>
      <c r="G284" s="724"/>
      <c r="H284" s="724"/>
      <c r="I284" s="724"/>
    </row>
  </sheetData>
  <sheetProtection algorithmName="SHA-512" hashValue="PeFca/Z1buUksbHT6mFxcaX66NUQt7Z14z7Vr2Y6E6gdh+u6D99FQaiuUuZ8th4/43xZWZI1/eXp27BQjY6MLQ==" saltValue="/RtMfmSWa5VAVbjQxWvLfg==" spinCount="100000" sheet="1" objects="1" scenarios="1"/>
  <mergeCells count="8">
    <mergeCell ref="B236:C236"/>
    <mergeCell ref="N236:P236"/>
    <mergeCell ref="B2:I2"/>
    <mergeCell ref="B3:I3"/>
    <mergeCell ref="B4:I4"/>
    <mergeCell ref="B196:I196"/>
    <mergeCell ref="B197:I197"/>
    <mergeCell ref="B198:I198"/>
  </mergeCells>
  <dataValidations disablePrompts="1" count="1">
    <dataValidation type="list" allowBlank="1" showInputMessage="1" showErrorMessage="1" sqref="K29:K32 K35:K38 K49:K51 K63:K68">
      <formula1>$M$29:$M$30</formula1>
    </dataValidation>
  </dataValidations>
  <pageMargins left="0.70866141732283472" right="0.70866141732283472" top="0.74803149606299213" bottom="0.74803149606299213" header="0.31496062992125984" footer="0.31496062992125984"/>
  <pageSetup paperSize="5" fitToHeight="0" orientation="landscape" r:id="rId1"/>
  <rowBreaks count="3" manualBreakCount="3">
    <brk id="57" max="16383" man="1"/>
    <brk id="194" max="16383" man="1"/>
    <brk id="2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97"/>
  <sheetViews>
    <sheetView showGridLines="0" topLeftCell="A6" zoomScale="70" zoomScaleNormal="70" workbookViewId="0">
      <selection activeCell="K76" sqref="K76"/>
    </sheetView>
  </sheetViews>
  <sheetFormatPr baseColWidth="10" defaultRowHeight="15" x14ac:dyDescent="0.25"/>
  <cols>
    <col min="1" max="1" width="3.7109375" style="375" customWidth="1" collapsed="1"/>
    <col min="2" max="2" width="28.7109375" style="375" customWidth="1" collapsed="1"/>
    <col min="3" max="8" width="24.85546875" style="375" customWidth="1" collapsed="1"/>
    <col min="9" max="9" width="24.85546875" style="375" customWidth="1"/>
    <col min="10" max="10" width="11.42578125" style="375"/>
    <col min="11" max="11" width="37.42578125" style="375" bestFit="1" customWidth="1" collapsed="1"/>
    <col min="12" max="12" width="14" style="375" customWidth="1" collapsed="1"/>
    <col min="13" max="13" width="29.28515625" style="375" bestFit="1" customWidth="1" collapsed="1"/>
    <col min="14" max="16" width="14" style="375" customWidth="1" collapsed="1"/>
    <col min="17" max="17" width="22.28515625" style="375" customWidth="1" collapsed="1"/>
    <col min="18" max="18" width="16.42578125" style="375" customWidth="1" collapsed="1"/>
    <col min="19" max="19" width="14" style="375" customWidth="1" collapsed="1"/>
    <col min="20" max="21" width="11.42578125" style="375"/>
    <col min="22" max="22" width="20" style="375" customWidth="1"/>
    <col min="23" max="16384" width="11.42578125" style="375"/>
  </cols>
  <sheetData>
    <row r="1" spans="2:19" s="372" customFormat="1" ht="12.75" hidden="1" x14ac:dyDescent="0.2"/>
    <row r="2" spans="2:19" s="372" customFormat="1" ht="12.75" hidden="1" x14ac:dyDescent="0.2"/>
    <row r="3" spans="2:19" s="372" customFormat="1" ht="12.75" hidden="1" x14ac:dyDescent="0.2"/>
    <row r="4" spans="2:19" s="372" customFormat="1" ht="12.75" hidden="1" x14ac:dyDescent="0.2"/>
    <row r="5" spans="2:19" s="372" customFormat="1" ht="12.75" hidden="1" x14ac:dyDescent="0.2"/>
    <row r="6" spans="2:19" s="374" customFormat="1" ht="12.75" x14ac:dyDescent="0.2">
      <c r="B6" s="373" t="s">
        <v>192</v>
      </c>
    </row>
    <row r="7" spans="2:19" x14ac:dyDescent="0.25">
      <c r="K7" s="376"/>
      <c r="L7" s="376"/>
      <c r="M7" s="376"/>
      <c r="N7" s="376"/>
      <c r="O7" s="376"/>
      <c r="P7" s="376"/>
      <c r="Q7" s="377"/>
      <c r="R7" s="377"/>
      <c r="S7" s="377"/>
    </row>
    <row r="8" spans="2:19" x14ac:dyDescent="0.25">
      <c r="B8" s="378" t="s">
        <v>193</v>
      </c>
      <c r="K8" s="376"/>
      <c r="L8" s="376"/>
      <c r="M8" s="376"/>
      <c r="N8" s="376"/>
      <c r="O8" s="376"/>
      <c r="P8" s="376"/>
      <c r="Q8" s="377"/>
      <c r="R8" s="377"/>
      <c r="S8" s="377"/>
    </row>
    <row r="9" spans="2:19" x14ac:dyDescent="0.25">
      <c r="B9" s="375" t="s">
        <v>194</v>
      </c>
      <c r="K9" s="376"/>
      <c r="L9" s="376"/>
      <c r="M9" s="376"/>
      <c r="N9" s="376"/>
      <c r="O9" s="376"/>
      <c r="P9" s="376"/>
      <c r="Q9" s="377"/>
      <c r="R9" s="377"/>
      <c r="S9" s="377"/>
    </row>
    <row r="10" spans="2:19" x14ac:dyDescent="0.25">
      <c r="B10" s="375" t="s">
        <v>195</v>
      </c>
      <c r="K10" s="376"/>
      <c r="L10" s="376"/>
      <c r="M10" s="376"/>
      <c r="N10" s="376"/>
      <c r="O10" s="376"/>
      <c r="P10" s="376"/>
      <c r="Q10" s="377"/>
      <c r="R10" s="377"/>
      <c r="S10" s="377"/>
    </row>
    <row r="11" spans="2:19" x14ac:dyDescent="0.25">
      <c r="B11" s="375" t="s">
        <v>196</v>
      </c>
      <c r="K11" s="376"/>
      <c r="L11" s="376"/>
      <c r="M11" s="376"/>
      <c r="N11" s="376"/>
      <c r="O11" s="376"/>
      <c r="P11" s="376"/>
      <c r="Q11" s="377"/>
      <c r="R11" s="377"/>
      <c r="S11" s="377"/>
    </row>
    <row r="12" spans="2:19" x14ac:dyDescent="0.25">
      <c r="K12" s="376"/>
      <c r="L12" s="376"/>
      <c r="M12" s="376"/>
      <c r="N12" s="376"/>
      <c r="O12" s="376"/>
      <c r="P12" s="376"/>
      <c r="Q12" s="1034" t="s">
        <v>44</v>
      </c>
      <c r="R12" s="1034"/>
      <c r="S12" s="377"/>
    </row>
    <row r="13" spans="2:19" ht="41.25" customHeight="1" thickBot="1" x14ac:dyDescent="0.3">
      <c r="B13" s="379" t="s">
        <v>197</v>
      </c>
      <c r="C13" s="380" t="s">
        <v>198</v>
      </c>
      <c r="D13" s="380" t="s">
        <v>199</v>
      </c>
      <c r="E13" s="379" t="s">
        <v>200</v>
      </c>
      <c r="F13" s="379" t="s">
        <v>201</v>
      </c>
      <c r="G13" s="380" t="s">
        <v>202</v>
      </c>
      <c r="K13" s="381"/>
      <c r="L13" s="381"/>
      <c r="M13" s="381"/>
      <c r="N13" s="382" t="s">
        <v>203</v>
      </c>
      <c r="O13" s="382" t="s">
        <v>204</v>
      </c>
      <c r="P13" s="382" t="s">
        <v>205</v>
      </c>
      <c r="Q13" s="382" t="s">
        <v>206</v>
      </c>
      <c r="R13" s="382" t="s">
        <v>207</v>
      </c>
      <c r="S13" s="382" t="s">
        <v>208</v>
      </c>
    </row>
    <row r="14" spans="2:19" ht="18.75" x14ac:dyDescent="0.3">
      <c r="B14" s="383" t="s">
        <v>209</v>
      </c>
      <c r="C14" s="384">
        <v>37405464.083826393</v>
      </c>
      <c r="D14" s="384">
        <v>13588617.723184085</v>
      </c>
      <c r="E14" s="384">
        <v>68616925.537850052</v>
      </c>
      <c r="F14" s="397">
        <v>50994081.807010479</v>
      </c>
      <c r="G14" s="448">
        <f>(-E14+F14)/E14</f>
        <v>-0.25682939876282518</v>
      </c>
      <c r="H14" s="445"/>
      <c r="I14" s="445"/>
      <c r="K14" s="354"/>
      <c r="L14" s="355" t="s">
        <v>210</v>
      </c>
      <c r="M14" s="356" t="s">
        <v>211</v>
      </c>
      <c r="N14" s="355">
        <v>1976</v>
      </c>
      <c r="O14" s="357">
        <v>68.14</v>
      </c>
      <c r="P14" s="357">
        <v>69.14</v>
      </c>
      <c r="Q14" s="1035">
        <v>20178991.507402539</v>
      </c>
      <c r="R14" s="1035">
        <v>19615932.974096179</v>
      </c>
      <c r="S14" s="1036">
        <v>-2.7903204830618256E-2</v>
      </c>
    </row>
    <row r="15" spans="2:19" ht="18.75" x14ac:dyDescent="0.3">
      <c r="B15" s="383" t="s">
        <v>212</v>
      </c>
      <c r="C15" s="384">
        <v>41362073.788588807</v>
      </c>
      <c r="D15" s="384">
        <v>20315255.794709723</v>
      </c>
      <c r="E15" s="384">
        <v>74612244.638079613</v>
      </c>
      <c r="F15" s="398">
        <v>61677329.583298534</v>
      </c>
      <c r="G15" s="448">
        <f>(-E15+F15)/E15</f>
        <v>-0.1733618271039058</v>
      </c>
      <c r="H15" s="445"/>
      <c r="I15" s="445"/>
      <c r="K15" s="354"/>
      <c r="L15" s="355" t="s">
        <v>213</v>
      </c>
      <c r="M15" s="356" t="s">
        <v>214</v>
      </c>
      <c r="N15" s="355">
        <v>1976</v>
      </c>
      <c r="O15" s="357">
        <v>19</v>
      </c>
      <c r="P15" s="357">
        <v>19</v>
      </c>
      <c r="Q15" s="1035"/>
      <c r="R15" s="1035"/>
      <c r="S15" s="1036"/>
    </row>
    <row r="16" spans="2:19" ht="18.75" x14ac:dyDescent="0.3">
      <c r="B16" s="383" t="s">
        <v>33</v>
      </c>
      <c r="C16" s="384">
        <v>22532435.594892804</v>
      </c>
      <c r="D16" s="385"/>
      <c r="E16" s="384">
        <v>33232565.1076928</v>
      </c>
      <c r="F16" s="398">
        <v>22532435.594892804</v>
      </c>
      <c r="G16" s="448">
        <f t="shared" ref="G16:G30" si="0">(-E16+F16)/E16</f>
        <v>-0.32197723763198438</v>
      </c>
      <c r="H16" s="445"/>
      <c r="I16" s="445"/>
      <c r="K16" s="354"/>
      <c r="L16" s="355" t="s">
        <v>215</v>
      </c>
      <c r="M16" s="356" t="s">
        <v>216</v>
      </c>
      <c r="N16" s="355">
        <v>1976</v>
      </c>
      <c r="O16" s="357">
        <v>59.04</v>
      </c>
      <c r="P16" s="357">
        <v>59.04</v>
      </c>
      <c r="Q16" s="1035"/>
      <c r="R16" s="1035"/>
      <c r="S16" s="1036"/>
    </row>
    <row r="17" spans="2:22" ht="18.75" x14ac:dyDescent="0.3">
      <c r="B17" s="383" t="s">
        <v>217</v>
      </c>
      <c r="C17" s="384">
        <v>13108354.8064976</v>
      </c>
      <c r="D17" s="385"/>
      <c r="E17" s="384">
        <v>16497052.810097599</v>
      </c>
      <c r="F17" s="398">
        <v>13108354.8064976</v>
      </c>
      <c r="G17" s="448">
        <f t="shared" si="0"/>
        <v>-0.20541232683245264</v>
      </c>
      <c r="H17" s="445"/>
      <c r="I17" s="445"/>
      <c r="K17" s="358"/>
      <c r="L17" s="359" t="s">
        <v>218</v>
      </c>
      <c r="M17" s="360" t="s">
        <v>219</v>
      </c>
      <c r="N17" s="359">
        <v>1976</v>
      </c>
      <c r="O17" s="359">
        <v>12.94</v>
      </c>
      <c r="P17" s="359">
        <v>25.88</v>
      </c>
      <c r="Q17" s="386">
        <v>4078818.6468673046</v>
      </c>
      <c r="R17" s="386">
        <v>4485637.8776653893</v>
      </c>
      <c r="S17" s="387">
        <v>9.973947508319303E-2</v>
      </c>
    </row>
    <row r="18" spans="2:22" ht="18.75" x14ac:dyDescent="0.3">
      <c r="B18" s="383" t="s">
        <v>34</v>
      </c>
      <c r="C18" s="384">
        <v>44731071.6358376</v>
      </c>
      <c r="D18" s="385"/>
      <c r="E18" s="384">
        <v>61592028.894437604</v>
      </c>
      <c r="F18" s="398">
        <v>44731071.6358376</v>
      </c>
      <c r="G18" s="448">
        <f t="shared" si="0"/>
        <v>-0.27375226244775847</v>
      </c>
      <c r="H18" s="445"/>
      <c r="I18" s="445"/>
      <c r="K18" s="361"/>
      <c r="L18" s="359" t="s">
        <v>220</v>
      </c>
      <c r="M18" s="360" t="s">
        <v>221</v>
      </c>
      <c r="N18" s="359">
        <v>1978</v>
      </c>
      <c r="O18" s="359">
        <v>40.299999999999997</v>
      </c>
      <c r="P18" s="359">
        <v>80.599999999999994</v>
      </c>
      <c r="Q18" s="386">
        <v>10632028.461915571</v>
      </c>
      <c r="R18" s="386">
        <v>11501137.176232608</v>
      </c>
      <c r="S18" s="387">
        <v>8.1744393125942505E-2</v>
      </c>
    </row>
    <row r="19" spans="2:22" ht="18.75" x14ac:dyDescent="0.3">
      <c r="B19" s="383" t="s">
        <v>222</v>
      </c>
      <c r="C19" s="384">
        <v>31203756.334541604</v>
      </c>
      <c r="D19" s="385"/>
      <c r="E19" s="384">
        <v>43112748.029141612</v>
      </c>
      <c r="F19" s="398">
        <v>31203756.334541604</v>
      </c>
      <c r="G19" s="448">
        <f t="shared" si="0"/>
        <v>-0.27622900972469328</v>
      </c>
      <c r="H19" s="445"/>
      <c r="I19" s="445"/>
      <c r="K19" s="361"/>
      <c r="L19" s="359" t="s">
        <v>223</v>
      </c>
      <c r="M19" s="360" t="s">
        <v>224</v>
      </c>
      <c r="N19" s="359">
        <v>1978</v>
      </c>
      <c r="O19" s="362">
        <v>142.05000000000001</v>
      </c>
      <c r="P19" s="362">
        <v>284.10000000000002</v>
      </c>
      <c r="Q19" s="386">
        <v>38763285.30768653</v>
      </c>
      <c r="R19" s="386">
        <v>40539368.136075482</v>
      </c>
      <c r="S19" s="387">
        <v>4.581868678805634E-2</v>
      </c>
    </row>
    <row r="20" spans="2:22" ht="18.75" x14ac:dyDescent="0.3">
      <c r="B20" s="383" t="s">
        <v>225</v>
      </c>
      <c r="C20" s="384">
        <v>10007215.353196798</v>
      </c>
      <c r="D20" s="385"/>
      <c r="E20" s="384">
        <v>14590210.933996798</v>
      </c>
      <c r="F20" s="398">
        <v>10007215.353196798</v>
      </c>
      <c r="G20" s="448">
        <f t="shared" si="0"/>
        <v>-0.31411441558539199</v>
      </c>
      <c r="H20" s="445"/>
      <c r="I20" s="445"/>
      <c r="K20" s="361" t="s">
        <v>226</v>
      </c>
      <c r="L20" s="359" t="s">
        <v>227</v>
      </c>
      <c r="M20" s="360" t="s">
        <v>228</v>
      </c>
      <c r="N20" s="359">
        <v>1978</v>
      </c>
      <c r="O20" s="363">
        <v>110.21</v>
      </c>
      <c r="P20" s="359">
        <v>220.42</v>
      </c>
      <c r="Q20" s="386">
        <v>28995449.928444628</v>
      </c>
      <c r="R20" s="386">
        <v>31452613.602793947</v>
      </c>
      <c r="S20" s="387">
        <v>8.4743077979929415E-2</v>
      </c>
    </row>
    <row r="21" spans="2:22" ht="18.75" x14ac:dyDescent="0.3">
      <c r="B21" s="383" t="s">
        <v>229</v>
      </c>
      <c r="C21" s="384">
        <v>27734857.365010396</v>
      </c>
      <c r="D21" s="384">
        <v>4656542.4821562013</v>
      </c>
      <c r="E21" s="384">
        <v>40191969.881577902</v>
      </c>
      <c r="F21" s="398">
        <v>32391399.847166598</v>
      </c>
      <c r="G21" s="448">
        <f t="shared" si="0"/>
        <v>-0.19408279955909094</v>
      </c>
      <c r="H21" s="445"/>
      <c r="I21" s="445"/>
      <c r="K21" s="361" t="s">
        <v>230</v>
      </c>
      <c r="L21" s="359" t="s">
        <v>231</v>
      </c>
      <c r="M21" s="360" t="s">
        <v>232</v>
      </c>
      <c r="N21" s="359">
        <v>1979</v>
      </c>
      <c r="O21" s="359">
        <v>84.49</v>
      </c>
      <c r="P21" s="359">
        <v>168.98</v>
      </c>
      <c r="Q21" s="386">
        <v>23033335.506339651</v>
      </c>
      <c r="R21" s="386">
        <v>24112433.747391887</v>
      </c>
      <c r="S21" s="387">
        <v>4.6849412702525406E-2</v>
      </c>
    </row>
    <row r="22" spans="2:22" ht="18.75" x14ac:dyDescent="0.3">
      <c r="B22" s="383" t="s">
        <v>36</v>
      </c>
      <c r="C22" s="384">
        <v>13113560.5782624</v>
      </c>
      <c r="D22" s="385"/>
      <c r="E22" s="384">
        <v>15890545.188662399</v>
      </c>
      <c r="F22" s="398">
        <v>13113560.5782624</v>
      </c>
      <c r="G22" s="448">
        <f t="shared" si="0"/>
        <v>-0.17475703806445383</v>
      </c>
      <c r="H22" s="445"/>
      <c r="I22" s="445"/>
      <c r="K22" s="364"/>
      <c r="L22" s="359" t="s">
        <v>233</v>
      </c>
      <c r="M22" s="360" t="s">
        <v>234</v>
      </c>
      <c r="N22" s="359">
        <v>1984</v>
      </c>
      <c r="O22" s="365">
        <v>37.5</v>
      </c>
      <c r="P22" s="365">
        <v>75</v>
      </c>
      <c r="Q22" s="386">
        <v>10223104.290303431</v>
      </c>
      <c r="R22" s="386">
        <v>10702050.722300813</v>
      </c>
      <c r="S22" s="387">
        <v>4.6849412702525184E-2</v>
      </c>
    </row>
    <row r="23" spans="2:22" ht="18.75" x14ac:dyDescent="0.3">
      <c r="B23" s="383" t="s">
        <v>235</v>
      </c>
      <c r="C23" s="384">
        <v>3790117.9258488007</v>
      </c>
      <c r="D23" s="385"/>
      <c r="E23" s="384">
        <v>5435918.2456487995</v>
      </c>
      <c r="F23" s="398">
        <v>3790117.9258488007</v>
      </c>
      <c r="G23" s="448">
        <f t="shared" si="0"/>
        <v>-0.30276399412691418</v>
      </c>
      <c r="H23" s="445"/>
      <c r="I23" s="445"/>
      <c r="K23" s="364"/>
      <c r="L23" s="359" t="s">
        <v>236</v>
      </c>
      <c r="M23" s="360" t="s">
        <v>237</v>
      </c>
      <c r="N23" s="359">
        <v>2006</v>
      </c>
      <c r="O23" s="365">
        <v>194.5</v>
      </c>
      <c r="P23" s="365">
        <v>389</v>
      </c>
      <c r="Q23" s="386">
        <v>64592068.150675535</v>
      </c>
      <c r="R23" s="386">
        <v>66942636.108853683</v>
      </c>
      <c r="S23" s="387">
        <v>3.6390969130991824E-2</v>
      </c>
    </row>
    <row r="24" spans="2:22" ht="18.75" x14ac:dyDescent="0.3">
      <c r="B24" s="383" t="s">
        <v>238</v>
      </c>
      <c r="C24" s="384">
        <v>3790117.9258488007</v>
      </c>
      <c r="D24" s="385"/>
      <c r="E24" s="384">
        <v>5435918.2456487995</v>
      </c>
      <c r="F24" s="398">
        <v>3790117.9258488007</v>
      </c>
      <c r="G24" s="448">
        <f t="shared" si="0"/>
        <v>-0.30276399412691418</v>
      </c>
      <c r="H24" s="445"/>
      <c r="I24" s="445"/>
      <c r="K24" s="364"/>
      <c r="L24" s="359" t="s">
        <v>239</v>
      </c>
      <c r="M24" s="360" t="s">
        <v>240</v>
      </c>
      <c r="N24" s="359">
        <v>2004</v>
      </c>
      <c r="O24" s="366">
        <v>110.21</v>
      </c>
      <c r="P24" s="365">
        <v>220.14</v>
      </c>
      <c r="Q24" s="386">
        <v>36459738.160742849</v>
      </c>
      <c r="R24" s="386">
        <v>37786543.366674483</v>
      </c>
      <c r="S24" s="387">
        <v>3.6390969130991824E-2</v>
      </c>
    </row>
    <row r="25" spans="2:22" ht="18.75" x14ac:dyDescent="0.3">
      <c r="B25" s="383" t="s">
        <v>241</v>
      </c>
      <c r="C25" s="384">
        <v>4162777.6088807988</v>
      </c>
      <c r="D25" s="385"/>
      <c r="E25" s="384">
        <v>6196967.3846807992</v>
      </c>
      <c r="F25" s="398">
        <v>4162777.6088807988</v>
      </c>
      <c r="G25" s="448">
        <f t="shared" si="0"/>
        <v>-0.32825568532579585</v>
      </c>
      <c r="H25" s="445"/>
      <c r="I25" s="445"/>
      <c r="K25" s="364"/>
      <c r="L25" s="359" t="s">
        <v>242</v>
      </c>
      <c r="M25" s="360" t="s">
        <v>243</v>
      </c>
      <c r="N25" s="359">
        <v>2004</v>
      </c>
      <c r="O25" s="365">
        <v>84.3</v>
      </c>
      <c r="P25" s="365">
        <v>168.6</v>
      </c>
      <c r="Q25" s="386">
        <v>27923647.923599739</v>
      </c>
      <c r="R25" s="386">
        <v>28939816.533212133</v>
      </c>
      <c r="S25" s="387">
        <v>3.6390969130991602E-2</v>
      </c>
    </row>
    <row r="26" spans="2:22" ht="18.75" x14ac:dyDescent="0.3">
      <c r="B26" s="383" t="s">
        <v>244</v>
      </c>
      <c r="C26" s="384">
        <v>16404172.282217599</v>
      </c>
      <c r="D26" s="385"/>
      <c r="E26" s="384">
        <v>19938516.331817597</v>
      </c>
      <c r="F26" s="398">
        <v>16404172.282217599</v>
      </c>
      <c r="G26" s="448">
        <f t="shared" si="0"/>
        <v>-0.177262138806183</v>
      </c>
      <c r="H26" s="445"/>
      <c r="I26" s="445"/>
      <c r="K26" s="364"/>
      <c r="L26" s="359" t="s">
        <v>245</v>
      </c>
      <c r="M26" s="360" t="s">
        <v>246</v>
      </c>
      <c r="N26" s="359">
        <v>2003</v>
      </c>
      <c r="O26" s="365">
        <v>16</v>
      </c>
      <c r="P26" s="365">
        <v>16</v>
      </c>
      <c r="Q26" s="386">
        <v>5299862.0021067131</v>
      </c>
      <c r="R26" s="386">
        <v>5752657.6915120855</v>
      </c>
      <c r="S26" s="387">
        <v>8.5435373454135988E-2</v>
      </c>
    </row>
    <row r="27" spans="2:22" ht="18.75" x14ac:dyDescent="0.3">
      <c r="B27" s="383" t="s">
        <v>247</v>
      </c>
      <c r="C27" s="388"/>
      <c r="D27" s="384">
        <v>7245345.3380341688</v>
      </c>
      <c r="E27" s="384">
        <v>10181907.355355907</v>
      </c>
      <c r="F27" s="398">
        <v>7245345.3380341688</v>
      </c>
      <c r="G27" s="448">
        <f t="shared" si="0"/>
        <v>-0.28840981506053892</v>
      </c>
      <c r="H27" s="445"/>
      <c r="I27" s="445"/>
      <c r="K27" s="364"/>
      <c r="L27" s="355" t="s">
        <v>248</v>
      </c>
      <c r="M27" s="356" t="s">
        <v>249</v>
      </c>
      <c r="N27" s="355">
        <v>2009</v>
      </c>
      <c r="O27" s="367">
        <v>96.87</v>
      </c>
      <c r="P27" s="367">
        <v>96.87</v>
      </c>
      <c r="Q27" s="1035">
        <v>28532002.533950865</v>
      </c>
      <c r="R27" s="1035">
        <v>32605126.716392029</v>
      </c>
      <c r="S27" s="1036">
        <v>0.14275633747033578</v>
      </c>
    </row>
    <row r="28" spans="2:22" ht="18.75" x14ac:dyDescent="0.3">
      <c r="B28" s="383" t="s">
        <v>250</v>
      </c>
      <c r="C28" s="388"/>
      <c r="D28" s="384">
        <v>7599449.3387019495</v>
      </c>
      <c r="E28" s="384">
        <v>11419481.27374934</v>
      </c>
      <c r="F28" s="398">
        <v>7599449.3387019495</v>
      </c>
      <c r="G28" s="448">
        <f t="shared" si="0"/>
        <v>-0.33451886679202597</v>
      </c>
      <c r="H28" s="445"/>
      <c r="I28" s="445"/>
      <c r="K28" s="364"/>
      <c r="L28" s="355" t="s">
        <v>251</v>
      </c>
      <c r="M28" s="356" t="s">
        <v>252</v>
      </c>
      <c r="N28" s="355">
        <v>2009</v>
      </c>
      <c r="O28" s="367">
        <v>24.88</v>
      </c>
      <c r="P28" s="367">
        <v>24.88</v>
      </c>
      <c r="Q28" s="1035"/>
      <c r="R28" s="1035"/>
      <c r="S28" s="1036"/>
    </row>
    <row r="29" spans="2:22" ht="18.75" x14ac:dyDescent="0.3">
      <c r="B29" s="383" t="s">
        <v>253</v>
      </c>
      <c r="C29" s="388"/>
      <c r="D29" s="384">
        <v>4499316.532399972</v>
      </c>
      <c r="E29" s="384">
        <v>6578909.8799312757</v>
      </c>
      <c r="F29" s="398">
        <v>4499316.532399972</v>
      </c>
      <c r="G29" s="448">
        <f t="shared" si="0"/>
        <v>-0.31609999004166744</v>
      </c>
      <c r="H29" s="445"/>
      <c r="I29" s="445"/>
      <c r="K29" s="364"/>
      <c r="L29" s="355" t="s">
        <v>254</v>
      </c>
      <c r="M29" s="356" t="s">
        <v>255</v>
      </c>
      <c r="N29" s="355">
        <v>2012</v>
      </c>
      <c r="O29" s="367">
        <v>44</v>
      </c>
      <c r="P29" s="367">
        <v>44</v>
      </c>
      <c r="Q29" s="1035"/>
      <c r="R29" s="1035"/>
      <c r="S29" s="1036"/>
    </row>
    <row r="30" spans="2:22" ht="19.5" thickBot="1" x14ac:dyDescent="0.35">
      <c r="B30" s="389" t="s">
        <v>12</v>
      </c>
      <c r="C30" s="390">
        <v>269345975.28345037</v>
      </c>
      <c r="D30" s="390">
        <v>57904527.209186099</v>
      </c>
      <c r="E30" s="390">
        <v>433523909.73836899</v>
      </c>
      <c r="F30" s="400">
        <v>327250502.4926365</v>
      </c>
      <c r="G30" s="448">
        <f t="shared" si="0"/>
        <v>-0.24513851452822596</v>
      </c>
      <c r="H30" s="445"/>
      <c r="I30" s="445"/>
      <c r="K30" s="364"/>
      <c r="L30" s="355" t="s">
        <v>256</v>
      </c>
      <c r="M30" s="356" t="s">
        <v>257</v>
      </c>
      <c r="N30" s="355">
        <v>2012</v>
      </c>
      <c r="O30" s="367">
        <v>76.650000000000006</v>
      </c>
      <c r="P30" s="367">
        <v>76.650000000000006</v>
      </c>
      <c r="Q30" s="1035"/>
      <c r="R30" s="1035"/>
      <c r="S30" s="1036"/>
    </row>
    <row r="31" spans="2:22" ht="15.75" thickBot="1" x14ac:dyDescent="0.3">
      <c r="K31" s="391"/>
      <c r="L31" s="391"/>
      <c r="M31" s="361" t="s">
        <v>12</v>
      </c>
      <c r="N31" s="361"/>
      <c r="O31" s="368">
        <v>1221.0800000000002</v>
      </c>
      <c r="P31" s="368">
        <v>2038.2999999999997</v>
      </c>
      <c r="Q31" s="368">
        <v>298712332.42003536</v>
      </c>
      <c r="R31" s="428">
        <v>314435954.65320075</v>
      </c>
      <c r="S31" s="393">
        <v>5.26380082997564E-2</v>
      </c>
      <c r="V31" s="426">
        <f>+Q31+Q41+Q49+Q59</f>
        <v>354650960.4642846</v>
      </c>
    </row>
    <row r="32" spans="2:22" ht="48" customHeight="1" thickBot="1" x14ac:dyDescent="0.3">
      <c r="B32" s="379" t="s">
        <v>258</v>
      </c>
      <c r="C32" s="380" t="s">
        <v>198</v>
      </c>
      <c r="D32" s="380" t="s">
        <v>199</v>
      </c>
      <c r="E32" s="379" t="s">
        <v>259</v>
      </c>
      <c r="F32" s="379" t="s">
        <v>260</v>
      </c>
      <c r="G32" s="380" t="s">
        <v>202</v>
      </c>
      <c r="K32" s="369" t="s">
        <v>261</v>
      </c>
      <c r="L32" s="376"/>
      <c r="M32" s="376"/>
      <c r="N32" s="376"/>
      <c r="O32" s="376"/>
      <c r="P32" s="376"/>
      <c r="Q32" s="376"/>
      <c r="R32" s="376"/>
      <c r="S32" s="376"/>
    </row>
    <row r="33" spans="2:19" ht="18.75" x14ac:dyDescent="0.3">
      <c r="B33" s="383" t="s">
        <v>253</v>
      </c>
      <c r="C33" s="385"/>
      <c r="D33" s="384">
        <v>2272541.9264572496</v>
      </c>
      <c r="E33" s="384">
        <v>2272541.9264572496</v>
      </c>
      <c r="F33" s="397">
        <v>2272541.9264572496</v>
      </c>
      <c r="G33" s="448">
        <f t="shared" ref="G33:G36" si="1">(-E33+F33)/E33</f>
        <v>0</v>
      </c>
      <c r="H33" s="445"/>
      <c r="I33" s="445"/>
      <c r="K33" s="394" t="s">
        <v>262</v>
      </c>
      <c r="L33" s="376"/>
      <c r="M33" s="376"/>
      <c r="N33" s="376"/>
      <c r="O33" s="376"/>
      <c r="P33" s="376"/>
      <c r="Q33" s="376"/>
      <c r="R33" s="376"/>
      <c r="S33" s="376"/>
    </row>
    <row r="34" spans="2:19" ht="18.75" x14ac:dyDescent="0.3">
      <c r="B34" s="383" t="s">
        <v>263</v>
      </c>
      <c r="C34" s="384">
        <v>17641747.575236522</v>
      </c>
      <c r="D34" s="385"/>
      <c r="E34" s="384">
        <v>22064532.505436514</v>
      </c>
      <c r="F34" s="398">
        <v>17641747.575236522</v>
      </c>
      <c r="G34" s="448">
        <f t="shared" si="1"/>
        <v>-0.20044770625030262</v>
      </c>
      <c r="H34" s="445"/>
      <c r="I34" s="445"/>
      <c r="K34" s="376"/>
      <c r="L34" s="376"/>
      <c r="M34" s="376"/>
      <c r="N34" s="376"/>
      <c r="O34" s="376"/>
      <c r="P34" s="376"/>
      <c r="Q34" s="1034" t="s">
        <v>44</v>
      </c>
      <c r="R34" s="1034"/>
      <c r="S34" s="376"/>
    </row>
    <row r="35" spans="2:19" ht="30" x14ac:dyDescent="0.3">
      <c r="B35" s="383" t="s">
        <v>264</v>
      </c>
      <c r="C35" s="384">
        <v>16758019.313894842</v>
      </c>
      <c r="D35" s="385"/>
      <c r="E35" s="384">
        <v>21486660.940694839</v>
      </c>
      <c r="F35" s="398">
        <v>16758019.313894842</v>
      </c>
      <c r="G35" s="448">
        <f t="shared" si="1"/>
        <v>-0.22007335806393943</v>
      </c>
      <c r="H35" s="445"/>
      <c r="I35" s="445"/>
      <c r="K35" s="381"/>
      <c r="L35" s="381"/>
      <c r="M35" s="381"/>
      <c r="N35" s="382" t="s">
        <v>203</v>
      </c>
      <c r="O35" s="382" t="s">
        <v>204</v>
      </c>
      <c r="P35" s="382" t="s">
        <v>205</v>
      </c>
      <c r="Q35" s="382" t="s">
        <v>206</v>
      </c>
      <c r="R35" s="382" t="s">
        <v>207</v>
      </c>
      <c r="S35" s="382" t="s">
        <v>208</v>
      </c>
    </row>
    <row r="36" spans="2:19" ht="19.5" thickBot="1" x14ac:dyDescent="0.35">
      <c r="B36" s="389" t="s">
        <v>12</v>
      </c>
      <c r="C36" s="390">
        <v>34399766.889131367</v>
      </c>
      <c r="D36" s="390">
        <v>2272541.9264572496</v>
      </c>
      <c r="E36" s="390">
        <v>45823735.372588605</v>
      </c>
      <c r="F36" s="400">
        <v>36672308.815588608</v>
      </c>
      <c r="G36" s="448">
        <f t="shared" si="1"/>
        <v>-0.19970930965340522</v>
      </c>
      <c r="H36" s="445"/>
      <c r="I36" s="445"/>
      <c r="K36" s="370"/>
      <c r="L36" s="359" t="s">
        <v>265</v>
      </c>
      <c r="M36" s="360" t="s">
        <v>266</v>
      </c>
      <c r="N36" s="395">
        <v>1986</v>
      </c>
      <c r="O36" s="395">
        <v>24.33</v>
      </c>
      <c r="P36" s="396">
        <v>24</v>
      </c>
      <c r="Q36" s="386">
        <v>4948369.6454140339</v>
      </c>
      <c r="R36" s="386">
        <v>5128803.6307843197</v>
      </c>
      <c r="S36" s="387">
        <v>3.6463319901233637E-2</v>
      </c>
    </row>
    <row r="37" spans="2:19" x14ac:dyDescent="0.25">
      <c r="K37" s="361" t="s">
        <v>226</v>
      </c>
      <c r="L37" s="359" t="s">
        <v>267</v>
      </c>
      <c r="M37" s="360" t="s">
        <v>268</v>
      </c>
      <c r="N37" s="395">
        <v>1986</v>
      </c>
      <c r="O37" s="395">
        <v>29.75</v>
      </c>
      <c r="P37" s="396">
        <v>29.7</v>
      </c>
      <c r="Q37" s="386">
        <v>4948369.6454140339</v>
      </c>
      <c r="R37" s="386">
        <v>5128803.6307843197</v>
      </c>
      <c r="S37" s="387">
        <v>3.6463319901233637E-2</v>
      </c>
    </row>
    <row r="38" spans="2:19" ht="30.75" thickBot="1" x14ac:dyDescent="0.3">
      <c r="B38" s="379" t="s">
        <v>269</v>
      </c>
      <c r="C38" s="379" t="s">
        <v>270</v>
      </c>
      <c r="D38" s="379" t="s">
        <v>271</v>
      </c>
      <c r="E38" s="379" t="s">
        <v>272</v>
      </c>
      <c r="F38" s="379" t="s">
        <v>273</v>
      </c>
      <c r="G38" s="379" t="s">
        <v>274</v>
      </c>
      <c r="H38" s="380" t="s">
        <v>202</v>
      </c>
      <c r="I38" s="380"/>
      <c r="K38" s="361" t="s">
        <v>275</v>
      </c>
      <c r="L38" s="359" t="s">
        <v>276</v>
      </c>
      <c r="M38" s="360" t="s">
        <v>277</v>
      </c>
      <c r="N38" s="395">
        <v>1986</v>
      </c>
      <c r="O38" s="396">
        <v>9.5</v>
      </c>
      <c r="P38" s="396">
        <v>9.6999999999999993</v>
      </c>
      <c r="Q38" s="386">
        <v>1777747.6133524487</v>
      </c>
      <c r="R38" s="386">
        <v>1842570.1932817737</v>
      </c>
      <c r="S38" s="387">
        <v>3.6463319901233637E-2</v>
      </c>
    </row>
    <row r="39" spans="2:19" ht="18.75" x14ac:dyDescent="0.3">
      <c r="B39" s="383" t="s">
        <v>33</v>
      </c>
      <c r="C39" s="384">
        <v>22553196.009444006</v>
      </c>
      <c r="D39" s="385"/>
      <c r="E39" s="384">
        <v>7823279.1405278025</v>
      </c>
      <c r="F39" s="384">
        <f t="shared" ref="F39:F45" si="2">SUM(C39:E39)</f>
        <v>30376475.149971809</v>
      </c>
      <c r="G39" s="397">
        <v>27047086.114971805</v>
      </c>
      <c r="H39" s="448">
        <f t="shared" ref="H39:H46" si="3">(-F39+G39)/F39</f>
        <v>-0.10960419267088972</v>
      </c>
      <c r="I39" s="448"/>
      <c r="J39" s="445"/>
      <c r="K39" s="358"/>
      <c r="L39" s="359" t="s">
        <v>278</v>
      </c>
      <c r="M39" s="360" t="s">
        <v>279</v>
      </c>
      <c r="N39" s="395">
        <v>2011</v>
      </c>
      <c r="O39" s="396">
        <v>15</v>
      </c>
      <c r="P39" s="396">
        <v>15</v>
      </c>
      <c r="Q39" s="386">
        <v>2749094.2474522404</v>
      </c>
      <c r="R39" s="386">
        <v>2849335.3504357324</v>
      </c>
      <c r="S39" s="387">
        <v>3.6463319901233637E-2</v>
      </c>
    </row>
    <row r="40" spans="2:19" ht="19.5" thickBot="1" x14ac:dyDescent="0.35">
      <c r="B40" s="383" t="s">
        <v>280</v>
      </c>
      <c r="C40" s="384">
        <v>3497718.9238991998</v>
      </c>
      <c r="D40" s="385"/>
      <c r="E40" s="385"/>
      <c r="F40" s="384">
        <f t="shared" si="2"/>
        <v>3497718.9238991998</v>
      </c>
      <c r="G40" s="398">
        <v>2303421.3466992001</v>
      </c>
      <c r="H40" s="448">
        <f t="shared" si="3"/>
        <v>-0.34145041473733295</v>
      </c>
      <c r="I40" s="448"/>
      <c r="J40" s="445"/>
      <c r="K40" s="371"/>
      <c r="L40" s="359" t="s">
        <v>281</v>
      </c>
      <c r="M40" s="360" t="s">
        <v>282</v>
      </c>
      <c r="N40" s="395"/>
      <c r="O40" s="395"/>
      <c r="P40" s="396"/>
      <c r="Q40" s="386"/>
      <c r="R40" s="386"/>
      <c r="S40" s="399"/>
    </row>
    <row r="41" spans="2:19" ht="19.5" thickBot="1" x14ac:dyDescent="0.35">
      <c r="B41" s="383" t="s">
        <v>34</v>
      </c>
      <c r="C41" s="384">
        <v>15545375.418864001</v>
      </c>
      <c r="D41" s="384">
        <v>6533160.7292674826</v>
      </c>
      <c r="E41" s="384">
        <v>1966098.9783451543</v>
      </c>
      <c r="F41" s="384">
        <f t="shared" si="2"/>
        <v>24044635.126476638</v>
      </c>
      <c r="G41" s="398">
        <v>21965041.778945301</v>
      </c>
      <c r="H41" s="448">
        <f t="shared" si="3"/>
        <v>-8.6488871076334309E-2</v>
      </c>
      <c r="I41" s="448"/>
      <c r="J41" s="445"/>
      <c r="K41" s="391"/>
      <c r="L41" s="391"/>
      <c r="M41" s="361"/>
      <c r="N41" s="361"/>
      <c r="O41" s="368">
        <v>78.58</v>
      </c>
      <c r="P41" s="368">
        <v>78.400000000000006</v>
      </c>
      <c r="Q41" s="368">
        <v>14423581.151632756</v>
      </c>
      <c r="R41" s="428">
        <v>14949512.805286145</v>
      </c>
      <c r="S41" s="393">
        <v>3.6463319901233637E-2</v>
      </c>
    </row>
    <row r="42" spans="2:19" ht="18.75" x14ac:dyDescent="0.3">
      <c r="B42" s="383" t="s">
        <v>229</v>
      </c>
      <c r="C42" s="385"/>
      <c r="D42" s="385"/>
      <c r="E42" s="384">
        <v>5651072.8711218843</v>
      </c>
      <c r="F42" s="384">
        <f t="shared" si="2"/>
        <v>5651072.8711218843</v>
      </c>
      <c r="G42" s="398">
        <v>5651072.8711218843</v>
      </c>
      <c r="H42" s="448">
        <f t="shared" si="3"/>
        <v>0</v>
      </c>
      <c r="I42" s="448"/>
      <c r="J42" s="445"/>
      <c r="K42" s="394" t="s">
        <v>262</v>
      </c>
      <c r="L42" s="376"/>
      <c r="M42" s="376"/>
      <c r="N42" s="376"/>
      <c r="O42" s="376"/>
      <c r="P42" s="376"/>
      <c r="Q42" s="376"/>
      <c r="R42" s="376"/>
      <c r="S42" s="376"/>
    </row>
    <row r="43" spans="2:19" ht="18.75" x14ac:dyDescent="0.3">
      <c r="B43" s="383" t="s">
        <v>36</v>
      </c>
      <c r="C43" s="385"/>
      <c r="D43" s="384">
        <v>1201862.5652256412</v>
      </c>
      <c r="E43" s="384">
        <v>4124071.523175756</v>
      </c>
      <c r="F43" s="384">
        <f t="shared" si="2"/>
        <v>5325934.0884013977</v>
      </c>
      <c r="G43" s="398">
        <v>4964446.9346661791</v>
      </c>
      <c r="H43" s="448">
        <f t="shared" si="3"/>
        <v>-6.7873005511361953E-2</v>
      </c>
      <c r="I43" s="448"/>
      <c r="J43" s="445"/>
      <c r="K43" s="376"/>
      <c r="L43" s="376"/>
      <c r="M43" s="376"/>
      <c r="N43" s="376"/>
      <c r="O43" s="376"/>
      <c r="P43" s="376"/>
      <c r="Q43" s="1034" t="s">
        <v>44</v>
      </c>
      <c r="R43" s="1034"/>
      <c r="S43" s="376"/>
    </row>
    <row r="44" spans="2:19" ht="30" x14ac:dyDescent="0.3">
      <c r="B44" s="383" t="s">
        <v>244</v>
      </c>
      <c r="C44" s="385"/>
      <c r="D44" s="384">
        <v>149234.44478002368</v>
      </c>
      <c r="E44" s="384">
        <v>1784882.6666695022</v>
      </c>
      <c r="F44" s="384">
        <f t="shared" si="2"/>
        <v>1934117.1114495259</v>
      </c>
      <c r="G44" s="398">
        <v>1934117.1114495259</v>
      </c>
      <c r="H44" s="448">
        <f t="shared" si="3"/>
        <v>0</v>
      </c>
      <c r="I44" s="448"/>
      <c r="J44" s="445"/>
      <c r="K44" s="381"/>
      <c r="L44" s="381"/>
      <c r="M44" s="381"/>
      <c r="N44" s="382" t="s">
        <v>203</v>
      </c>
      <c r="O44" s="382" t="s">
        <v>204</v>
      </c>
      <c r="P44" s="382" t="s">
        <v>205</v>
      </c>
      <c r="Q44" s="382" t="s">
        <v>206</v>
      </c>
      <c r="R44" s="382" t="s">
        <v>207</v>
      </c>
      <c r="S44" s="382" t="s">
        <v>208</v>
      </c>
    </row>
    <row r="45" spans="2:19" ht="18.75" x14ac:dyDescent="0.3">
      <c r="B45" s="383" t="s">
        <v>283</v>
      </c>
      <c r="C45" s="388"/>
      <c r="D45" s="384">
        <v>1736434.7500500004</v>
      </c>
      <c r="E45" s="385"/>
      <c r="F45" s="384">
        <f t="shared" si="2"/>
        <v>1736434.7500500004</v>
      </c>
      <c r="G45" s="398">
        <v>1736434.7500500004</v>
      </c>
      <c r="H45" s="448">
        <f t="shared" si="3"/>
        <v>0</v>
      </c>
      <c r="I45" s="448"/>
      <c r="J45" s="445"/>
      <c r="K45" s="370"/>
      <c r="L45" s="359" t="s">
        <v>284</v>
      </c>
      <c r="M45" s="376" t="s">
        <v>285</v>
      </c>
      <c r="N45" s="395">
        <v>2016</v>
      </c>
      <c r="O45" s="395">
        <v>46.6</v>
      </c>
      <c r="P45" s="396">
        <v>93.2</v>
      </c>
      <c r="Q45" s="386">
        <v>13311816.925017213</v>
      </c>
      <c r="R45" s="386">
        <v>12186808.929822883</v>
      </c>
      <c r="S45" s="387">
        <v>-8.4511979208493848E-2</v>
      </c>
    </row>
    <row r="46" spans="2:19" ht="19.5" thickBot="1" x14ac:dyDescent="0.35">
      <c r="B46" s="389" t="s">
        <v>12</v>
      </c>
      <c r="C46" s="390">
        <f>SUM(C39:C45)</f>
        <v>41596290.352207206</v>
      </c>
      <c r="D46" s="390">
        <f>SUM(D39:D45)</f>
        <v>9620692.4893231485</v>
      </c>
      <c r="E46" s="390">
        <f>SUM(E39:E45)</f>
        <v>21349405.179840103</v>
      </c>
      <c r="F46" s="390">
        <f>SUM(F39:F45)</f>
        <v>72566388.021370441</v>
      </c>
      <c r="G46" s="400">
        <v>65601620.907903925</v>
      </c>
      <c r="H46" s="448">
        <f t="shared" si="3"/>
        <v>-9.5977866659360617E-2</v>
      </c>
      <c r="I46" s="448"/>
      <c r="J46" s="445"/>
      <c r="K46" s="361" t="s">
        <v>286</v>
      </c>
      <c r="L46" s="359" t="s">
        <v>287</v>
      </c>
      <c r="M46" s="376" t="s">
        <v>288</v>
      </c>
      <c r="N46" s="395">
        <v>2004</v>
      </c>
      <c r="O46" s="395">
        <v>6.2</v>
      </c>
      <c r="P46" s="396">
        <v>12.4</v>
      </c>
      <c r="Q46" s="386">
        <v>1499495.5614880177</v>
      </c>
      <c r="R46" s="386">
        <v>1957816.7178985234</v>
      </c>
      <c r="S46" s="387">
        <v>0.30565022543694154</v>
      </c>
    </row>
    <row r="47" spans="2:19" x14ac:dyDescent="0.25">
      <c r="K47" s="361" t="s">
        <v>230</v>
      </c>
      <c r="L47" s="359" t="s">
        <v>289</v>
      </c>
      <c r="M47" s="376" t="s">
        <v>290</v>
      </c>
      <c r="N47" s="395">
        <v>1979</v>
      </c>
      <c r="O47" s="396">
        <v>25</v>
      </c>
      <c r="P47" s="396">
        <v>50</v>
      </c>
      <c r="Q47" s="386">
        <v>6046353.0705161979</v>
      </c>
      <c r="R47" s="386">
        <v>6537987.6232955391</v>
      </c>
      <c r="S47" s="387">
        <v>8.1310923633734822E-2</v>
      </c>
    </row>
    <row r="48" spans="2:19" ht="15.75" thickBot="1" x14ac:dyDescent="0.3">
      <c r="K48" s="358"/>
      <c r="L48" s="359" t="s">
        <v>291</v>
      </c>
      <c r="M48" s="376" t="s">
        <v>292</v>
      </c>
      <c r="N48" s="395">
        <v>1972</v>
      </c>
      <c r="O48" s="396">
        <v>111.4</v>
      </c>
      <c r="P48" s="396">
        <v>111.4</v>
      </c>
      <c r="Q48" s="386">
        <v>13060122.632314991</v>
      </c>
      <c r="R48" s="386">
        <v>17051952.05911617</v>
      </c>
      <c r="S48" s="387">
        <v>0.30565022543694154</v>
      </c>
    </row>
    <row r="49" spans="2:19" ht="30.75" thickBot="1" x14ac:dyDescent="0.3">
      <c r="B49" s="379" t="s">
        <v>269</v>
      </c>
      <c r="C49" s="379" t="s">
        <v>270</v>
      </c>
      <c r="D49" s="379" t="s">
        <v>271</v>
      </c>
      <c r="E49" s="379" t="s">
        <v>272</v>
      </c>
      <c r="F49" s="379" t="s">
        <v>273</v>
      </c>
      <c r="G49" s="379" t="s">
        <v>274</v>
      </c>
      <c r="H49" s="380" t="s">
        <v>202</v>
      </c>
      <c r="I49" s="380" t="s">
        <v>344</v>
      </c>
      <c r="K49" s="391"/>
      <c r="L49" s="391"/>
      <c r="M49" s="361"/>
      <c r="N49" s="361"/>
      <c r="O49" s="368">
        <v>189.20000000000002</v>
      </c>
      <c r="P49" s="368">
        <v>267</v>
      </c>
      <c r="Q49" s="368">
        <v>33917788.189336419</v>
      </c>
      <c r="R49" s="428">
        <v>37734565.33013311</v>
      </c>
      <c r="S49" s="393">
        <v>0.11253024871464534</v>
      </c>
    </row>
    <row r="50" spans="2:19" ht="18.75" x14ac:dyDescent="0.3">
      <c r="B50" s="383" t="s">
        <v>33</v>
      </c>
      <c r="C50" s="384">
        <v>22553196.009444006</v>
      </c>
      <c r="D50" s="385"/>
      <c r="E50" s="384">
        <v>7823279.1405278025</v>
      </c>
      <c r="F50" s="384">
        <f t="shared" ref="F50:F56" si="4">SUM(C50:E50)</f>
        <v>30376475.149971809</v>
      </c>
      <c r="G50" s="458">
        <v>27047086.114971802</v>
      </c>
      <c r="H50" s="461">
        <f t="shared" ref="H50:H57" si="5">(-F50+G50)/F50</f>
        <v>-0.10960419267088985</v>
      </c>
      <c r="I50" s="456">
        <f t="shared" ref="I50:I57" si="6">+F50-G50</f>
        <v>3329389.0350000076</v>
      </c>
      <c r="K50" s="394" t="s">
        <v>262</v>
      </c>
      <c r="L50" s="376"/>
      <c r="M50" s="376"/>
      <c r="N50" s="376"/>
      <c r="O50" s="376"/>
      <c r="P50" s="376"/>
      <c r="Q50" s="376"/>
      <c r="R50" s="376"/>
      <c r="S50" s="376"/>
    </row>
    <row r="51" spans="2:19" ht="18.75" x14ac:dyDescent="0.3">
      <c r="B51" s="383" t="s">
        <v>280</v>
      </c>
      <c r="C51" s="384">
        <v>3497718.9238991998</v>
      </c>
      <c r="D51" s="385"/>
      <c r="E51" s="385"/>
      <c r="F51" s="384">
        <f t="shared" si="4"/>
        <v>3497718.9238991998</v>
      </c>
      <c r="G51" s="459">
        <v>2303421.3466992001</v>
      </c>
      <c r="H51" s="462">
        <f t="shared" si="5"/>
        <v>-0.34145041473733295</v>
      </c>
      <c r="I51" s="463">
        <f t="shared" si="6"/>
        <v>1194297.5771999997</v>
      </c>
      <c r="K51" s="376"/>
      <c r="L51" s="376"/>
      <c r="M51" s="376"/>
      <c r="N51" s="376"/>
      <c r="O51" s="376"/>
      <c r="P51" s="376"/>
      <c r="Q51" s="1034" t="s">
        <v>44</v>
      </c>
      <c r="R51" s="1034"/>
      <c r="S51" s="376"/>
    </row>
    <row r="52" spans="2:19" ht="30" x14ac:dyDescent="0.3">
      <c r="B52" s="383" t="s">
        <v>34</v>
      </c>
      <c r="C52" s="384">
        <v>15545375.418864001</v>
      </c>
      <c r="D52" s="384">
        <v>6533160.7292674826</v>
      </c>
      <c r="E52" s="384">
        <v>1966098.9783451543</v>
      </c>
      <c r="F52" s="384">
        <f t="shared" si="4"/>
        <v>24044635.126476638</v>
      </c>
      <c r="G52" s="459">
        <v>21965041.778945301</v>
      </c>
      <c r="H52" s="462">
        <f t="shared" si="5"/>
        <v>-8.6488871076334309E-2</v>
      </c>
      <c r="I52" s="463">
        <f t="shared" si="6"/>
        <v>2079593.3475313373</v>
      </c>
      <c r="K52" s="381"/>
      <c r="L52" s="381"/>
      <c r="M52" s="381"/>
      <c r="N52" s="382" t="s">
        <v>203</v>
      </c>
      <c r="O52" s="382" t="s">
        <v>204</v>
      </c>
      <c r="P52" s="382" t="s">
        <v>205</v>
      </c>
      <c r="Q52" s="382" t="s">
        <v>206</v>
      </c>
      <c r="R52" s="382" t="s">
        <v>207</v>
      </c>
      <c r="S52" s="382" t="s">
        <v>208</v>
      </c>
    </row>
    <row r="53" spans="2:19" ht="18.75" x14ac:dyDescent="0.3">
      <c r="B53" s="383" t="s">
        <v>229</v>
      </c>
      <c r="C53" s="385"/>
      <c r="D53" s="385"/>
      <c r="E53" s="384">
        <v>5651072.8711218843</v>
      </c>
      <c r="F53" s="384">
        <f t="shared" si="4"/>
        <v>5651072.8711218843</v>
      </c>
      <c r="G53" s="459">
        <v>5651072.8711218843</v>
      </c>
      <c r="H53" s="462">
        <f t="shared" si="5"/>
        <v>0</v>
      </c>
      <c r="I53" s="463">
        <f t="shared" si="6"/>
        <v>0</v>
      </c>
      <c r="K53" s="401"/>
      <c r="L53" s="359" t="s">
        <v>293</v>
      </c>
      <c r="M53" s="376" t="s">
        <v>294</v>
      </c>
      <c r="N53" s="395">
        <v>1976</v>
      </c>
      <c r="O53" s="395">
        <v>0.8</v>
      </c>
      <c r="P53" s="396">
        <v>0.8</v>
      </c>
      <c r="Q53" s="386">
        <v>170759.85006590147</v>
      </c>
      <c r="R53" s="386">
        <v>180545.05660554193</v>
      </c>
      <c r="S53" s="387">
        <v>5.7303906836788876E-2</v>
      </c>
    </row>
    <row r="54" spans="2:19" ht="18.75" x14ac:dyDescent="0.3">
      <c r="B54" s="383" t="s">
        <v>36</v>
      </c>
      <c r="C54" s="385"/>
      <c r="D54" s="384">
        <v>1201862.5652256412</v>
      </c>
      <c r="E54" s="384">
        <v>4124071.523175756</v>
      </c>
      <c r="F54" s="384">
        <f t="shared" si="4"/>
        <v>5325934.0884013977</v>
      </c>
      <c r="G54" s="459">
        <v>4964446.9346661791</v>
      </c>
      <c r="H54" s="462">
        <f t="shared" si="5"/>
        <v>-6.7873005511361953E-2</v>
      </c>
      <c r="I54" s="463">
        <f t="shared" si="6"/>
        <v>361487.15373521857</v>
      </c>
      <c r="K54" s="401"/>
      <c r="L54" s="359" t="s">
        <v>298</v>
      </c>
      <c r="M54" s="376" t="s">
        <v>299</v>
      </c>
      <c r="N54" s="395">
        <v>2008</v>
      </c>
      <c r="O54" s="395">
        <v>0.8</v>
      </c>
      <c r="P54" s="396">
        <v>0.8</v>
      </c>
      <c r="Q54" s="386">
        <v>931735.71063955245</v>
      </c>
      <c r="R54" s="386">
        <v>1037996.7263197587</v>
      </c>
      <c r="S54" s="387">
        <v>0.1140463056924883</v>
      </c>
    </row>
    <row r="55" spans="2:19" ht="18.75" x14ac:dyDescent="0.3">
      <c r="B55" s="383" t="s">
        <v>244</v>
      </c>
      <c r="C55" s="385"/>
      <c r="D55" s="384">
        <v>149234.44478002368</v>
      </c>
      <c r="E55" s="384">
        <v>1784882.6666695022</v>
      </c>
      <c r="F55" s="384">
        <f t="shared" si="4"/>
        <v>1934117.1114495259</v>
      </c>
      <c r="G55" s="459">
        <v>1934117.1114495259</v>
      </c>
      <c r="H55" s="462">
        <f t="shared" si="5"/>
        <v>0</v>
      </c>
      <c r="I55" s="463">
        <f t="shared" si="6"/>
        <v>0</v>
      </c>
      <c r="K55" s="361" t="s">
        <v>286</v>
      </c>
      <c r="L55" s="359" t="s">
        <v>301</v>
      </c>
      <c r="M55" s="376" t="s">
        <v>302</v>
      </c>
      <c r="N55" s="395">
        <v>1979</v>
      </c>
      <c r="O55" s="409">
        <v>5.8</v>
      </c>
      <c r="P55" s="409">
        <v>5.8</v>
      </c>
      <c r="Q55" s="386">
        <v>983541.15475019277</v>
      </c>
      <c r="R55" s="386">
        <v>1037996.7263197587</v>
      </c>
      <c r="S55" s="387">
        <v>5.53668459185086E-2</v>
      </c>
    </row>
    <row r="56" spans="2:19" ht="19.5" thickBot="1" x14ac:dyDescent="0.35">
      <c r="B56" s="383" t="s">
        <v>283</v>
      </c>
      <c r="C56" s="388"/>
      <c r="D56" s="384">
        <v>1736434.7500500004</v>
      </c>
      <c r="E56" s="385"/>
      <c r="F56" s="384">
        <f t="shared" si="4"/>
        <v>1736434.7500500004</v>
      </c>
      <c r="G56" s="459">
        <v>1736434.7500500004</v>
      </c>
      <c r="H56" s="462">
        <f t="shared" si="5"/>
        <v>0</v>
      </c>
      <c r="I56" s="463">
        <f t="shared" si="6"/>
        <v>0</v>
      </c>
      <c r="K56" s="361" t="s">
        <v>275</v>
      </c>
      <c r="L56" s="359" t="s">
        <v>304</v>
      </c>
      <c r="M56" s="376" t="s">
        <v>305</v>
      </c>
      <c r="N56" s="395">
        <v>1979</v>
      </c>
      <c r="O56" s="409">
        <v>2</v>
      </c>
      <c r="P56" s="409">
        <v>2</v>
      </c>
      <c r="Q56" s="386">
        <v>339152.12232765276</v>
      </c>
      <c r="R56" s="386">
        <v>362898.05802177201</v>
      </c>
      <c r="S56" s="387">
        <v>7.0015589261677835E-2</v>
      </c>
    </row>
    <row r="57" spans="2:19" ht="19.5" thickBot="1" x14ac:dyDescent="0.35">
      <c r="B57" s="389" t="s">
        <v>12</v>
      </c>
      <c r="C57" s="390">
        <f>SUM(C50:C56)</f>
        <v>41596290.352207206</v>
      </c>
      <c r="D57" s="390">
        <f>SUM(D50:D56)</f>
        <v>9620692.4893231485</v>
      </c>
      <c r="E57" s="390">
        <f>SUM(E50:E56)</f>
        <v>21349405.179840103</v>
      </c>
      <c r="F57" s="390">
        <f>SUM(F50:F56)</f>
        <v>72566388.021370441</v>
      </c>
      <c r="G57" s="460">
        <v>65601620.907903925</v>
      </c>
      <c r="H57" s="464">
        <f t="shared" si="5"/>
        <v>-9.5977866659360617E-2</v>
      </c>
      <c r="I57" s="465">
        <f t="shared" si="6"/>
        <v>6964767.1134665161</v>
      </c>
      <c r="K57" s="401"/>
      <c r="L57" s="359" t="s">
        <v>307</v>
      </c>
      <c r="M57" s="376" t="s">
        <v>308</v>
      </c>
      <c r="N57" s="395">
        <v>1982</v>
      </c>
      <c r="O57" s="409">
        <v>0.5</v>
      </c>
      <c r="P57" s="409">
        <v>0.5</v>
      </c>
      <c r="Q57" s="386">
        <v>84788.03058191319</v>
      </c>
      <c r="R57" s="386">
        <v>89482.47640687578</v>
      </c>
      <c r="S57" s="387">
        <v>5.53668459185086E-2</v>
      </c>
    </row>
    <row r="58" spans="2:19" ht="15.75" thickBot="1" x14ac:dyDescent="0.3">
      <c r="K58" s="401"/>
      <c r="L58" s="359" t="s">
        <v>310</v>
      </c>
      <c r="M58" s="376" t="s">
        <v>311</v>
      </c>
      <c r="N58" s="395">
        <v>1988</v>
      </c>
      <c r="O58" s="409">
        <v>30</v>
      </c>
      <c r="P58" s="409">
        <v>30</v>
      </c>
      <c r="Q58" s="386">
        <v>5087281.8349147914</v>
      </c>
      <c r="R58" s="386">
        <v>5443470.8703265833</v>
      </c>
      <c r="S58" s="387">
        <v>7.0015589261678501E-2</v>
      </c>
    </row>
    <row r="59" spans="2:19" ht="15.75" thickBot="1" x14ac:dyDescent="0.3">
      <c r="K59" s="391"/>
      <c r="L59" s="391"/>
      <c r="M59" s="361"/>
      <c r="N59" s="361"/>
      <c r="O59" s="368">
        <v>39.9</v>
      </c>
      <c r="P59" s="368">
        <v>39.9</v>
      </c>
      <c r="Q59" s="368">
        <v>7597258.7032800037</v>
      </c>
      <c r="R59" s="428">
        <v>8152389.9140002914</v>
      </c>
      <c r="S59" s="393">
        <v>7.3069936460189E-2</v>
      </c>
    </row>
    <row r="60" spans="2:19" ht="21" x14ac:dyDescent="0.35">
      <c r="B60" s="738"/>
      <c r="C60" s="738"/>
      <c r="D60" s="738"/>
      <c r="K60" s="394" t="s">
        <v>262</v>
      </c>
      <c r="L60" s="376"/>
      <c r="M60" s="376"/>
      <c r="N60" s="376"/>
      <c r="O60" s="376"/>
      <c r="P60" s="376"/>
      <c r="Q60" s="376"/>
      <c r="R60" s="376"/>
      <c r="S60" s="376"/>
    </row>
    <row r="61" spans="2:19" ht="15.75" thickBot="1" x14ac:dyDescent="0.3">
      <c r="K61" s="376"/>
      <c r="L61" s="376"/>
      <c r="M61" s="376"/>
      <c r="N61" s="376"/>
      <c r="O61" s="376"/>
      <c r="P61" s="376"/>
      <c r="Q61" s="376"/>
      <c r="R61" s="376"/>
      <c r="S61" s="376"/>
    </row>
    <row r="62" spans="2:19" ht="57" thickBot="1" x14ac:dyDescent="0.4">
      <c r="B62" s="739" t="s">
        <v>320</v>
      </c>
      <c r="C62" s="740" t="s">
        <v>362</v>
      </c>
      <c r="D62" s="740" t="s">
        <v>363</v>
      </c>
      <c r="E62" s="740" t="s">
        <v>364</v>
      </c>
      <c r="F62" s="740" t="s">
        <v>365</v>
      </c>
      <c r="G62" s="765" t="s">
        <v>274</v>
      </c>
      <c r="H62" s="739" t="s">
        <v>202</v>
      </c>
      <c r="I62" s="737"/>
      <c r="K62" s="422" t="s">
        <v>314</v>
      </c>
      <c r="L62" s="401"/>
      <c r="M62" s="401"/>
      <c r="N62" s="401"/>
      <c r="O62" s="401"/>
      <c r="P62" s="401"/>
      <c r="Q62" s="392">
        <f>+Q31+Q41+Q49+Q59</f>
        <v>354650960.4642846</v>
      </c>
      <c r="R62" s="392">
        <f>+R31+R41+R49+R59</f>
        <v>375272422.70262027</v>
      </c>
      <c r="S62" s="393">
        <v>5.814579554878252E-2</v>
      </c>
    </row>
    <row r="63" spans="2:19" ht="21" x14ac:dyDescent="0.35">
      <c r="B63" s="741" t="s">
        <v>33</v>
      </c>
      <c r="C63" s="742">
        <v>19223806.974443998</v>
      </c>
      <c r="D63" s="743"/>
      <c r="E63" s="744">
        <v>7823279.1405278025</v>
      </c>
      <c r="F63" s="756">
        <v>30376475.149971809</v>
      </c>
      <c r="G63" s="757">
        <v>27047086.114971805</v>
      </c>
      <c r="H63" s="745">
        <v>-0.10960419267088972</v>
      </c>
      <c r="I63" s="457"/>
    </row>
    <row r="64" spans="2:19" ht="16.5" customHeight="1" x14ac:dyDescent="0.35">
      <c r="B64" s="741" t="s">
        <v>280</v>
      </c>
      <c r="C64" s="744">
        <v>2303421.3466992001</v>
      </c>
      <c r="D64" s="743"/>
      <c r="E64" s="743"/>
      <c r="F64" s="756">
        <v>3497718.9238991998</v>
      </c>
      <c r="G64" s="757">
        <v>2303421.3466992001</v>
      </c>
      <c r="H64" s="745">
        <v>-0.34145041473733295</v>
      </c>
      <c r="I64" s="457"/>
      <c r="Q64" s="429"/>
      <c r="R64" s="426"/>
      <c r="S64" s="426"/>
    </row>
    <row r="65" spans="2:11" ht="21" x14ac:dyDescent="0.35">
      <c r="B65" s="741" t="s">
        <v>34</v>
      </c>
      <c r="C65" s="742">
        <v>15545375.418864001</v>
      </c>
      <c r="D65" s="742">
        <v>4453567.381736177</v>
      </c>
      <c r="E65" s="742">
        <v>1966098.9783451543</v>
      </c>
      <c r="F65" s="756">
        <v>24044635.126476638</v>
      </c>
      <c r="G65" s="757">
        <v>21965041.778945334</v>
      </c>
      <c r="H65" s="745">
        <v>-8.6488871076332963E-2</v>
      </c>
      <c r="I65" s="457"/>
    </row>
    <row r="66" spans="2:11" ht="18" x14ac:dyDescent="0.25">
      <c r="B66" s="741" t="s">
        <v>229</v>
      </c>
      <c r="C66" s="743"/>
      <c r="D66" s="743"/>
      <c r="E66" s="744">
        <v>5651072.8711218843</v>
      </c>
      <c r="F66" s="756">
        <v>5651072.8711218843</v>
      </c>
      <c r="G66" s="757">
        <v>5651072.8711218843</v>
      </c>
      <c r="H66" s="745">
        <v>0</v>
      </c>
    </row>
    <row r="67" spans="2:11" ht="18" x14ac:dyDescent="0.25">
      <c r="B67" s="741" t="s">
        <v>36</v>
      </c>
      <c r="C67" s="743"/>
      <c r="D67" s="742">
        <v>840375.4114904236</v>
      </c>
      <c r="E67" s="742">
        <v>4124071.523175756</v>
      </c>
      <c r="F67" s="756">
        <v>5325934.0884013977</v>
      </c>
      <c r="G67" s="757">
        <v>4964446.9346661791</v>
      </c>
      <c r="H67" s="745">
        <v>-6.7873005511361995E-2</v>
      </c>
    </row>
    <row r="68" spans="2:11" ht="18" x14ac:dyDescent="0.25">
      <c r="B68" s="741" t="s">
        <v>244</v>
      </c>
      <c r="C68" s="743"/>
      <c r="D68" s="744">
        <v>149234.44478002368</v>
      </c>
      <c r="E68" s="744">
        <v>1784882.6666695022</v>
      </c>
      <c r="F68" s="744">
        <v>1934117.1114495259</v>
      </c>
      <c r="G68" s="746">
        <v>1934117.1114495259</v>
      </c>
      <c r="H68" s="745">
        <v>0</v>
      </c>
      <c r="K68" s="752"/>
    </row>
    <row r="69" spans="2:11" ht="18" x14ac:dyDescent="0.25">
      <c r="B69" s="741" t="s">
        <v>283</v>
      </c>
      <c r="C69" s="747"/>
      <c r="D69" s="744">
        <v>1736434.7500500004</v>
      </c>
      <c r="E69" s="743"/>
      <c r="F69" s="744">
        <v>1736434.7500500004</v>
      </c>
      <c r="G69" s="746">
        <v>1736434.7500500004</v>
      </c>
      <c r="H69" s="745">
        <v>0</v>
      </c>
      <c r="K69" s="752"/>
    </row>
    <row r="70" spans="2:11" ht="18.75" x14ac:dyDescent="0.3">
      <c r="B70" s="748" t="s">
        <v>12</v>
      </c>
      <c r="C70" s="749">
        <v>37072603.740007207</v>
      </c>
      <c r="D70" s="749">
        <v>7179611.9880566243</v>
      </c>
      <c r="E70" s="749">
        <v>21349405.179840103</v>
      </c>
      <c r="F70" s="749">
        <v>72566388.021370441</v>
      </c>
      <c r="G70" s="750">
        <v>65601620.907903925</v>
      </c>
      <c r="H70" s="751">
        <v>-9.5977866659360589E-2</v>
      </c>
    </row>
    <row r="73" spans="2:11" x14ac:dyDescent="0.25">
      <c r="G73" s="375" t="str">
        <f>+B65</f>
        <v>LLANO SANCHEZ</v>
      </c>
      <c r="H73" s="426">
        <f>+C65</f>
        <v>15545375.418864001</v>
      </c>
    </row>
    <row r="74" spans="2:11" x14ac:dyDescent="0.25">
      <c r="G74" s="963" t="str">
        <f>+'LL.SANCHEZ CONEX 230'!B23</f>
        <v xml:space="preserve">Autotrasformador de Potencia 230/115 kV 100 MVA </v>
      </c>
      <c r="H74" s="375">
        <f>+'LL.SANCHEZ CONEX 230'!E23</f>
        <v>3200000</v>
      </c>
    </row>
    <row r="75" spans="2:11" ht="15.75" thickBot="1" x14ac:dyDescent="0.3">
      <c r="G75" s="963" t="str">
        <f>+'LL.SANCHEZ CONEX 230'!B25</f>
        <v xml:space="preserve">Autotrasformador de Potencia 230/115/34.5 kV y 70 MVA </v>
      </c>
      <c r="H75" s="964">
        <f>+'SALIDAS Y TRANSFORMACION'!E8</f>
        <v>5400000</v>
      </c>
    </row>
    <row r="76" spans="2:11" ht="19.5" thickBot="1" x14ac:dyDescent="0.35">
      <c r="C76" s="402" t="s">
        <v>295</v>
      </c>
      <c r="D76" s="403" t="s">
        <v>296</v>
      </c>
      <c r="E76" s="404" t="s">
        <v>297</v>
      </c>
      <c r="G76" s="375" t="str">
        <f>+'SALIDAS Y TRANSFORMACION'!B9</f>
        <v>Llano Sánchez 230</v>
      </c>
      <c r="H76" s="965">
        <f>+H73-H74-H75</f>
        <v>6945375.4188640006</v>
      </c>
    </row>
    <row r="77" spans="2:11" x14ac:dyDescent="0.25">
      <c r="B77" s="405" t="s">
        <v>300</v>
      </c>
      <c r="C77" s="406">
        <v>230411895.76401484</v>
      </c>
      <c r="D77" s="407">
        <v>348431106.74645525</v>
      </c>
      <c r="E77" s="408">
        <v>385512053.64238614</v>
      </c>
    </row>
    <row r="78" spans="2:11" x14ac:dyDescent="0.25">
      <c r="B78" s="410" t="s">
        <v>303</v>
      </c>
      <c r="C78" s="411">
        <v>4114080</v>
      </c>
      <c r="D78" s="412">
        <v>6494763.1425745506</v>
      </c>
      <c r="E78" s="413">
        <v>7482446.0167909563</v>
      </c>
    </row>
    <row r="79" spans="2:11" x14ac:dyDescent="0.25">
      <c r="B79" s="410" t="s">
        <v>306</v>
      </c>
      <c r="C79" s="411">
        <v>165196416.07344368</v>
      </c>
      <c r="D79" s="412">
        <v>245530481.49300849</v>
      </c>
      <c r="E79" s="413">
        <v>300751737.30438381</v>
      </c>
    </row>
    <row r="80" spans="2:11" x14ac:dyDescent="0.25">
      <c r="B80" s="410" t="s">
        <v>309</v>
      </c>
      <c r="C80" s="411">
        <v>27733774.29710488</v>
      </c>
      <c r="D80" s="412">
        <v>49089337.133500792</v>
      </c>
      <c r="E80" s="413">
        <v>59839508.611118525</v>
      </c>
    </row>
    <row r="81" spans="2:5" ht="15.75" thickBot="1" x14ac:dyDescent="0.3">
      <c r="B81" s="414" t="s">
        <v>312</v>
      </c>
      <c r="C81" s="415" t="s">
        <v>313</v>
      </c>
      <c r="D81" s="416">
        <v>12328578.80273428</v>
      </c>
      <c r="E81" s="417">
        <v>14395727.970717791</v>
      </c>
    </row>
    <row r="82" spans="2:5" ht="15.75" thickBot="1" x14ac:dyDescent="0.3">
      <c r="B82" s="418" t="s">
        <v>12</v>
      </c>
      <c r="C82" s="419">
        <v>427456166.13456339</v>
      </c>
      <c r="D82" s="420">
        <v>661874267.31827343</v>
      </c>
      <c r="E82" s="421">
        <v>767981473.54539716</v>
      </c>
    </row>
    <row r="90" spans="2:5" x14ac:dyDescent="0.25">
      <c r="C90" s="375" t="s">
        <v>296</v>
      </c>
      <c r="D90" s="423">
        <f>+D77+D79+D81</f>
        <v>606290167.04219806</v>
      </c>
    </row>
    <row r="91" spans="2:5" x14ac:dyDescent="0.25">
      <c r="C91" s="375" t="s">
        <v>319</v>
      </c>
      <c r="D91" s="423">
        <f>+'[1]Plan de Expansión'!C10*1000+'[1]Plan de Expansión'!D10*10000</f>
        <v>171483000</v>
      </c>
    </row>
    <row r="92" spans="2:5" x14ac:dyDescent="0.25">
      <c r="C92" s="424" t="s">
        <v>315</v>
      </c>
      <c r="D92" s="425">
        <f>+D90+D91</f>
        <v>777773167.04219806</v>
      </c>
    </row>
    <row r="94" spans="2:5" x14ac:dyDescent="0.25">
      <c r="C94" s="375" t="s">
        <v>316</v>
      </c>
      <c r="D94" s="426">
        <f>+VNR_Lineas</f>
        <v>375272422.70262027</v>
      </c>
    </row>
    <row r="95" spans="2:5" x14ac:dyDescent="0.25">
      <c r="C95" s="375" t="s">
        <v>317</v>
      </c>
      <c r="D95" s="426">
        <f>+F30</f>
        <v>327250502.4926365</v>
      </c>
    </row>
    <row r="96" spans="2:5" x14ac:dyDescent="0.25">
      <c r="C96" s="375" t="s">
        <v>318</v>
      </c>
      <c r="D96" s="426">
        <f>+F36</f>
        <v>36672308.815588608</v>
      </c>
    </row>
    <row r="97" spans="3:4" x14ac:dyDescent="0.25">
      <c r="C97" s="424" t="s">
        <v>315</v>
      </c>
      <c r="D97" s="427">
        <f>+VNR_Lineas+F30+F36</f>
        <v>739195234.0108453</v>
      </c>
    </row>
  </sheetData>
  <sheetProtection algorithmName="SHA-512" hashValue="V8oE9nFEngSuxi4suUOfDUAUSE0S2ompjnQE13hF8MS3dm0AaBZ2FunQt3UUIliVfYmXla6WybpGcb9m7xtFEw==" saltValue="veRpomGsH6kboq1pNxOf2g==" spinCount="100000" sheet="1" objects="1" scenarios="1"/>
  <mergeCells count="10">
    <mergeCell ref="S14:S16"/>
    <mergeCell ref="Q27:Q30"/>
    <mergeCell ref="R27:R30"/>
    <mergeCell ref="S27:S30"/>
    <mergeCell ref="Q34:R34"/>
    <mergeCell ref="Q43:R43"/>
    <mergeCell ref="Q51:R51"/>
    <mergeCell ref="Q12:R12"/>
    <mergeCell ref="Q14:Q16"/>
    <mergeCell ref="R14:R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1:I20"/>
  <sheetViews>
    <sheetView showGridLines="0" zoomScaleNormal="100" workbookViewId="0">
      <selection activeCell="G31" sqref="G31"/>
    </sheetView>
  </sheetViews>
  <sheetFormatPr baseColWidth="10" defaultRowHeight="12.75" x14ac:dyDescent="0.2"/>
  <cols>
    <col min="1" max="1" width="3.7109375" style="469" customWidth="1"/>
    <col min="2" max="2" width="38.7109375" style="469" bestFit="1" customWidth="1"/>
    <col min="3" max="3" width="11.42578125" style="469"/>
    <col min="4" max="7" width="14.85546875" style="469" customWidth="1"/>
    <col min="8" max="16384" width="11.42578125" style="469"/>
  </cols>
  <sheetData>
    <row r="1" spans="2:9" ht="13.5" thickBot="1" x14ac:dyDescent="0.25"/>
    <row r="2" spans="2:9" x14ac:dyDescent="0.2">
      <c r="B2" s="489" t="s">
        <v>21</v>
      </c>
      <c r="C2" s="487">
        <v>7.7600000000000002E-2</v>
      </c>
      <c r="E2" s="469" t="str">
        <f>+' IMP Existente 2017 2021'!B9</f>
        <v>OMT</v>
      </c>
      <c r="F2" s="878">
        <v>1.9742400000000004E-2</v>
      </c>
    </row>
    <row r="3" spans="2:9" ht="13.5" thickBot="1" x14ac:dyDescent="0.25">
      <c r="B3" s="490" t="s">
        <v>360</v>
      </c>
      <c r="C3" s="488">
        <v>3.5000000000000003E-2</v>
      </c>
      <c r="E3" s="469" t="str">
        <f>+' IMP Existente 2017 2021'!B10</f>
        <v>ADMT</v>
      </c>
      <c r="F3" s="878">
        <v>7.9074074074074064E-3</v>
      </c>
    </row>
    <row r="4" spans="2:9" ht="13.5" thickBot="1" x14ac:dyDescent="0.25"/>
    <row r="5" spans="2:9" ht="13.5" thickBot="1" x14ac:dyDescent="0.25">
      <c r="B5" s="863" t="s">
        <v>359</v>
      </c>
      <c r="C5" s="864" t="s">
        <v>17</v>
      </c>
      <c r="D5" s="865">
        <v>2016</v>
      </c>
      <c r="E5" s="866">
        <v>2017</v>
      </c>
      <c r="F5" s="864">
        <v>2018</v>
      </c>
      <c r="G5" s="864">
        <v>2019</v>
      </c>
      <c r="H5" s="864">
        <v>2020</v>
      </c>
      <c r="I5" s="867">
        <v>2021</v>
      </c>
    </row>
    <row r="6" spans="2:9" ht="13.5" thickBot="1" x14ac:dyDescent="0.25">
      <c r="B6" s="868" t="s">
        <v>358</v>
      </c>
      <c r="C6" s="869" t="s">
        <v>354</v>
      </c>
      <c r="D6" s="870">
        <f>+'Activos Reconocidos'!C197/1000</f>
        <v>65601.620907903896</v>
      </c>
      <c r="E6" s="870">
        <f>+'Activos Reconocidos'!D197/1000</f>
        <v>69653.620907903925</v>
      </c>
      <c r="F6" s="870">
        <f>+'Activos Reconocidos'!E197/1000</f>
        <v>75980.620907903925</v>
      </c>
      <c r="G6" s="870">
        <f>+'Activos Reconocidos'!F197/1000</f>
        <v>78058.620907903925</v>
      </c>
      <c r="H6" s="870">
        <f>+'Activos Reconocidos'!G197/1000</f>
        <v>80907.620907903925</v>
      </c>
      <c r="I6" s="871">
        <f>+'Activos Reconocidos'!H197/1000</f>
        <v>80907.620907903925</v>
      </c>
    </row>
    <row r="7" spans="2:9" x14ac:dyDescent="0.2">
      <c r="B7" s="484" t="s">
        <v>357</v>
      </c>
      <c r="C7" s="482"/>
      <c r="D7" s="482"/>
      <c r="E7" s="482">
        <v>2017</v>
      </c>
      <c r="F7" s="482">
        <v>2018</v>
      </c>
      <c r="G7" s="482">
        <v>2019</v>
      </c>
      <c r="H7" s="482">
        <v>2020</v>
      </c>
      <c r="I7" s="481">
        <v>2021</v>
      </c>
    </row>
    <row r="8" spans="2:9" x14ac:dyDescent="0.2">
      <c r="B8" s="872" t="s">
        <v>356</v>
      </c>
      <c r="C8" s="873" t="s">
        <v>354</v>
      </c>
      <c r="D8" s="874"/>
      <c r="E8" s="877">
        <f>+D6*$F$2</f>
        <v>1295.1334406122021</v>
      </c>
      <c r="F8" s="877">
        <f t="shared" ref="F8:I8" si="0">+E6*$F$2</f>
        <v>1375.1296454122028</v>
      </c>
      <c r="G8" s="877">
        <f t="shared" si="0"/>
        <v>1500.0398102122028</v>
      </c>
      <c r="H8" s="877">
        <f t="shared" si="0"/>
        <v>1541.0645174122028</v>
      </c>
      <c r="I8" s="877">
        <f t="shared" si="0"/>
        <v>1597.3106150122028</v>
      </c>
    </row>
    <row r="9" spans="2:9" x14ac:dyDescent="0.2">
      <c r="B9" s="479" t="s">
        <v>355</v>
      </c>
      <c r="C9" s="478" t="s">
        <v>354</v>
      </c>
      <c r="D9" s="477"/>
      <c r="E9" s="480">
        <f>+D6*$F$3</f>
        <v>518.73874310509188</v>
      </c>
      <c r="F9" s="480">
        <f t="shared" ref="F9:I9" si="1">+E6*$F$3</f>
        <v>550.77955791990689</v>
      </c>
      <c r="G9" s="480">
        <f t="shared" si="1"/>
        <v>600.80972458657357</v>
      </c>
      <c r="H9" s="480">
        <f t="shared" si="1"/>
        <v>617.24131717916612</v>
      </c>
      <c r="I9" s="480">
        <f t="shared" si="1"/>
        <v>639.76952088286987</v>
      </c>
    </row>
    <row r="10" spans="2:9" x14ac:dyDescent="0.2">
      <c r="B10" s="479" t="s">
        <v>21</v>
      </c>
      <c r="C10" s="478"/>
      <c r="D10" s="477"/>
      <c r="E10" s="875">
        <f>+D6*$C$2</f>
        <v>5090.6857824533427</v>
      </c>
      <c r="F10" s="875">
        <f t="shared" ref="F10:I10" si="2">+E6*$C$2</f>
        <v>5405.1209824533444</v>
      </c>
      <c r="G10" s="875">
        <f t="shared" si="2"/>
        <v>5896.0961824533451</v>
      </c>
      <c r="H10" s="875">
        <f t="shared" si="2"/>
        <v>6057.3489824533444</v>
      </c>
      <c r="I10" s="875">
        <f t="shared" si="2"/>
        <v>6278.4313824533447</v>
      </c>
    </row>
    <row r="11" spans="2:9" ht="13.5" thickBot="1" x14ac:dyDescent="0.25">
      <c r="B11" s="474" t="s">
        <v>412</v>
      </c>
      <c r="C11" s="473"/>
      <c r="D11" s="485"/>
      <c r="E11" s="876">
        <f>+D6*$C$3</f>
        <v>2296.0567317766368</v>
      </c>
      <c r="F11" s="876">
        <f t="shared" ref="F11:I11" si="3">+E6*$C$3</f>
        <v>2437.8767317766378</v>
      </c>
      <c r="G11" s="876">
        <f t="shared" si="3"/>
        <v>2659.3217317766375</v>
      </c>
      <c r="H11" s="876">
        <f t="shared" si="3"/>
        <v>2732.0517317766376</v>
      </c>
      <c r="I11" s="876">
        <f t="shared" si="3"/>
        <v>2831.7667317766377</v>
      </c>
    </row>
    <row r="12" spans="2:9" ht="13.5" thickBot="1" x14ac:dyDescent="0.25">
      <c r="B12" s="474"/>
      <c r="C12" s="473"/>
      <c r="D12" s="485"/>
      <c r="E12" s="471">
        <f>SUM(E8:E11)</f>
        <v>9200.6146979472724</v>
      </c>
      <c r="F12" s="471">
        <f t="shared" ref="F12:I12" si="4">SUM(F8:F11)</f>
        <v>9768.9069175620916</v>
      </c>
      <c r="G12" s="471">
        <f t="shared" si="4"/>
        <v>10656.267449028759</v>
      </c>
      <c r="H12" s="471">
        <f t="shared" si="4"/>
        <v>10947.70654882135</v>
      </c>
      <c r="I12" s="471">
        <f t="shared" si="4"/>
        <v>11347.278250125055</v>
      </c>
    </row>
    <row r="13" spans="2:9" ht="13.5" thickBot="1" x14ac:dyDescent="0.25"/>
    <row r="14" spans="2:9" x14ac:dyDescent="0.2">
      <c r="B14" s="484"/>
      <c r="C14" s="482" t="s">
        <v>17</v>
      </c>
      <c r="D14" s="482" t="s">
        <v>353</v>
      </c>
      <c r="E14" s="483" t="s">
        <v>352</v>
      </c>
      <c r="F14" s="482" t="s">
        <v>351</v>
      </c>
      <c r="G14" s="482" t="s">
        <v>350</v>
      </c>
      <c r="H14" s="482" t="s">
        <v>349</v>
      </c>
      <c r="I14" s="481"/>
    </row>
    <row r="15" spans="2:9" x14ac:dyDescent="0.2">
      <c r="B15" s="479" t="s">
        <v>348</v>
      </c>
      <c r="C15" s="478"/>
      <c r="D15" s="477"/>
      <c r="E15" s="1006">
        <f>+F12/2</f>
        <v>4884.4534587810458</v>
      </c>
      <c r="F15" s="480">
        <f>+(F12+G12)/2</f>
        <v>10212.587183295425</v>
      </c>
      <c r="G15" s="480">
        <f t="shared" ref="G15:H15" si="5">+(G12+H12)/2</f>
        <v>10801.986998925055</v>
      </c>
      <c r="H15" s="480">
        <f t="shared" si="5"/>
        <v>11147.492399473202</v>
      </c>
      <c r="I15" s="475"/>
    </row>
    <row r="16" spans="2:9" x14ac:dyDescent="0.2">
      <c r="B16" s="479" t="s">
        <v>144</v>
      </c>
      <c r="C16" s="478"/>
      <c r="D16" s="477"/>
      <c r="E16" s="476">
        <f>+' IMP Existente 2017 2021'!E141</f>
        <v>0.96332140106614561</v>
      </c>
      <c r="F16" s="476">
        <f>+' IMP Existente 2017 2021'!F141</f>
        <v>0.8939508176189177</v>
      </c>
      <c r="G16" s="476">
        <f>+' IMP Existente 2017 2021'!G141</f>
        <v>0.82957574018088143</v>
      </c>
      <c r="H16" s="476">
        <f>+' IMP Existente 2017 2021'!H141</f>
        <v>0.76983643298151583</v>
      </c>
      <c r="I16" s="475"/>
    </row>
    <row r="17" spans="2:9" ht="13.5" thickBot="1" x14ac:dyDescent="0.25">
      <c r="B17" s="474" t="s">
        <v>348</v>
      </c>
      <c r="C17" s="473"/>
      <c r="D17" s="472">
        <f>+SUM(E17:H17)</f>
        <v>31377.661357423283</v>
      </c>
      <c r="E17" s="471">
        <f>+E15*E16</f>
        <v>4705.2985493553379</v>
      </c>
      <c r="F17" s="471">
        <f>+F15*F16</f>
        <v>9129.5506625114249</v>
      </c>
      <c r="G17" s="471">
        <f>+G15*G16</f>
        <v>8961.0663600575099</v>
      </c>
      <c r="H17" s="471">
        <f>+H15*H16</f>
        <v>8581.745785499008</v>
      </c>
      <c r="I17" s="470"/>
    </row>
    <row r="18" spans="2:9" ht="13.5" thickBot="1" x14ac:dyDescent="0.25"/>
    <row r="19" spans="2:9" ht="18.75" x14ac:dyDescent="0.3">
      <c r="B19" s="489" t="s">
        <v>361</v>
      </c>
      <c r="C19" s="727">
        <f>+' IMP Existente 2017 2021'!D152</f>
        <v>16540.149039224409</v>
      </c>
      <c r="D19" s="469" t="s">
        <v>353</v>
      </c>
      <c r="E19" s="879"/>
      <c r="F19" s="880"/>
    </row>
    <row r="20" spans="2:9" ht="19.5" thickBot="1" x14ac:dyDescent="0.35">
      <c r="B20" s="490" t="s">
        <v>172</v>
      </c>
      <c r="C20" s="728">
        <f>+ROUND(C19/D17,2)</f>
        <v>0.53</v>
      </c>
    </row>
  </sheetData>
  <sheetProtection algorithmName="SHA-512" hashValue="UzVSU7xCTQlyC5DjgrMth/7BR5/DX9at+GFq0FumgrQELyuud3ud7cGaGy+Mfg7UIq5WxaVLVDi3M6g4gxskBg==" saltValue="5iLfQBGRB3ZkuNRIiBuy3w==" spinCount="100000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6"/>
  <sheetViews>
    <sheetView tabSelected="1" topLeftCell="A6" workbookViewId="0">
      <selection activeCell="C14" sqref="C14"/>
    </sheetView>
  </sheetViews>
  <sheetFormatPr baseColWidth="10" defaultRowHeight="12.75" outlineLevelRow="2" outlineLevelCol="1" x14ac:dyDescent="0.2"/>
  <cols>
    <col min="1" max="1" width="3.5703125" style="753" customWidth="1" collapsed="1"/>
    <col min="2" max="2" width="69" style="753" customWidth="1" collapsed="1"/>
    <col min="3" max="3" width="17.140625" style="753" customWidth="1" outlineLevel="1" collapsed="1"/>
    <col min="4" max="4" width="16.7109375" style="753" customWidth="1"/>
    <col min="5" max="8" width="16.7109375" style="753" customWidth="1" collapsed="1"/>
    <col min="9" max="9" width="12.85546875" style="753" customWidth="1" collapsed="1"/>
    <col min="10" max="10" width="14.42578125" style="753" bestFit="1" customWidth="1" collapsed="1"/>
    <col min="11" max="16384" width="11.42578125" style="753" collapsed="1"/>
  </cols>
  <sheetData>
    <row r="1" spans="2:8" hidden="1" x14ac:dyDescent="0.2"/>
    <row r="2" spans="2:8" hidden="1" x14ac:dyDescent="0.2"/>
    <row r="3" spans="2:8" hidden="1" x14ac:dyDescent="0.2"/>
    <row r="4" spans="2:8" hidden="1" x14ac:dyDescent="0.2"/>
    <row r="5" spans="2:8" hidden="1" x14ac:dyDescent="0.2"/>
    <row r="6" spans="2:8" s="755" customFormat="1" x14ac:dyDescent="0.2">
      <c r="B6" s="754" t="s">
        <v>474</v>
      </c>
    </row>
    <row r="7" spans="2:8" x14ac:dyDescent="0.2">
      <c r="B7" s="766" t="s">
        <v>262</v>
      </c>
      <c r="C7" s="767"/>
      <c r="D7" s="767"/>
      <c r="E7" s="767"/>
      <c r="F7" s="767"/>
      <c r="G7" s="767"/>
      <c r="H7" s="767"/>
    </row>
    <row r="8" spans="2:8" s="768" customFormat="1" x14ac:dyDescent="0.2"/>
    <row r="9" spans="2:8" x14ac:dyDescent="0.2">
      <c r="B9" s="769" t="s">
        <v>475</v>
      </c>
      <c r="C9" s="754">
        <v>2016</v>
      </c>
      <c r="D9" s="754">
        <v>2017</v>
      </c>
      <c r="E9" s="754">
        <v>2018</v>
      </c>
      <c r="F9" s="754">
        <v>2019</v>
      </c>
      <c r="G9" s="754">
        <v>2020</v>
      </c>
      <c r="H9" s="754">
        <v>2021</v>
      </c>
    </row>
    <row r="10" spans="2:8" x14ac:dyDescent="0.2">
      <c r="B10" s="753" t="s">
        <v>476</v>
      </c>
      <c r="C10" s="770">
        <v>3.4838098558625408E-2</v>
      </c>
      <c r="D10" s="770">
        <v>3.4838098558625408E-2</v>
      </c>
      <c r="E10" s="770">
        <v>3.4838098558625408E-2</v>
      </c>
      <c r="F10" s="770">
        <v>3.4838098558625408E-2</v>
      </c>
      <c r="G10" s="770">
        <v>3.4838098558625408E-2</v>
      </c>
      <c r="H10" s="770">
        <v>3.4838098558625408E-2</v>
      </c>
    </row>
    <row r="11" spans="2:8" x14ac:dyDescent="0.2">
      <c r="B11" s="753" t="s">
        <v>477</v>
      </c>
      <c r="C11" s="771"/>
      <c r="D11" s="772">
        <v>367674767.96403384</v>
      </c>
      <c r="E11" s="772">
        <v>367674767.96403384</v>
      </c>
      <c r="F11" s="772">
        <v>367674767.96403384</v>
      </c>
      <c r="G11" s="772">
        <v>367674767.96403384</v>
      </c>
      <c r="H11" s="772">
        <v>367674767.96403384</v>
      </c>
    </row>
    <row r="12" spans="2:8" x14ac:dyDescent="0.2">
      <c r="B12" s="753" t="s">
        <v>478</v>
      </c>
      <c r="C12" s="771"/>
      <c r="D12" s="772"/>
      <c r="E12" s="772"/>
      <c r="F12" s="772"/>
      <c r="G12" s="772"/>
      <c r="H12" s="772"/>
    </row>
    <row r="13" spans="2:8" x14ac:dyDescent="0.2">
      <c r="B13" s="753" t="s">
        <v>479</v>
      </c>
      <c r="C13" s="773"/>
      <c r="D13" s="772">
        <v>-12809089.803850738</v>
      </c>
      <c r="E13" s="772">
        <v>-12809089.803850738</v>
      </c>
      <c r="F13" s="772">
        <v>-12809089.803850738</v>
      </c>
      <c r="G13" s="772">
        <v>-12809089.803850738</v>
      </c>
      <c r="H13" s="772">
        <v>-12809089.803850738</v>
      </c>
    </row>
    <row r="14" spans="2:8" x14ac:dyDescent="0.2">
      <c r="B14" s="753" t="s">
        <v>480</v>
      </c>
      <c r="C14" s="774">
        <v>367674767.96403384</v>
      </c>
      <c r="D14" s="772">
        <v>367674767.96403384</v>
      </c>
      <c r="E14" s="772">
        <v>367674767.96403384</v>
      </c>
      <c r="F14" s="772">
        <v>367674767.96403384</v>
      </c>
      <c r="G14" s="772">
        <v>367674767.96403384</v>
      </c>
      <c r="H14" s="772">
        <v>367674767.96403384</v>
      </c>
    </row>
    <row r="15" spans="2:8" x14ac:dyDescent="0.2">
      <c r="B15" s="753" t="s">
        <v>481</v>
      </c>
      <c r="C15" s="774">
        <v>195204624.1240339</v>
      </c>
      <c r="D15" s="772">
        <v>182395534.32018313</v>
      </c>
      <c r="E15" s="772">
        <v>169586444.51633239</v>
      </c>
      <c r="F15" s="772">
        <v>156777354.71248165</v>
      </c>
      <c r="G15" s="772">
        <v>143968264.90863091</v>
      </c>
      <c r="H15" s="772">
        <v>131159175.10478017</v>
      </c>
    </row>
    <row r="16" spans="2:8" x14ac:dyDescent="0.2">
      <c r="B16" s="753" t="s">
        <v>482</v>
      </c>
      <c r="C16" s="774">
        <v>-172470143.84</v>
      </c>
      <c r="D16" s="772">
        <v>-185279233.64385074</v>
      </c>
      <c r="E16" s="772">
        <v>-198088323.44770148</v>
      </c>
      <c r="F16" s="772">
        <v>-210897413.25155222</v>
      </c>
      <c r="G16" s="772">
        <v>-223706503.05540296</v>
      </c>
      <c r="H16" s="772">
        <v>-236515592.8592537</v>
      </c>
    </row>
    <row r="17" spans="2:10" x14ac:dyDescent="0.2">
      <c r="B17" s="753" t="s">
        <v>483</v>
      </c>
      <c r="C17" s="772">
        <v>195204625</v>
      </c>
      <c r="D17" s="772">
        <v>182395535</v>
      </c>
      <c r="E17" s="772">
        <v>169586445</v>
      </c>
      <c r="F17" s="772">
        <v>156777355</v>
      </c>
      <c r="G17" s="772">
        <v>143968265</v>
      </c>
      <c r="H17" s="772">
        <v>131159176</v>
      </c>
    </row>
    <row r="18" spans="2:10" x14ac:dyDescent="0.2">
      <c r="C18" s="772"/>
      <c r="D18" s="772"/>
      <c r="E18" s="772"/>
      <c r="F18" s="772"/>
      <c r="G18" s="772"/>
      <c r="H18" s="772"/>
    </row>
    <row r="19" spans="2:10" outlineLevel="2" x14ac:dyDescent="0.2">
      <c r="B19" s="769" t="s">
        <v>484</v>
      </c>
      <c r="C19" s="754">
        <v>2016</v>
      </c>
      <c r="D19" s="754">
        <v>2017</v>
      </c>
      <c r="E19" s="754">
        <v>2018</v>
      </c>
      <c r="F19" s="754">
        <v>2019</v>
      </c>
      <c r="G19" s="754">
        <v>2020</v>
      </c>
      <c r="H19" s="754">
        <v>2021</v>
      </c>
    </row>
    <row r="20" spans="2:10" outlineLevel="2" x14ac:dyDescent="0.2">
      <c r="B20" s="753" t="s">
        <v>476</v>
      </c>
      <c r="C20" s="775">
        <v>3.4838098558625408E-2</v>
      </c>
      <c r="D20" s="775">
        <v>3.4838098558625408E-2</v>
      </c>
      <c r="E20" s="775">
        <v>3.4838098558625408E-2</v>
      </c>
      <c r="F20" s="775">
        <v>3.4838098558625408E-2</v>
      </c>
      <c r="G20" s="775">
        <v>3.4838098558625408E-2</v>
      </c>
      <c r="H20" s="775">
        <v>3.4838098558625408E-2</v>
      </c>
    </row>
    <row r="21" spans="2:10" outlineLevel="2" x14ac:dyDescent="0.2">
      <c r="B21" s="753" t="s">
        <v>477</v>
      </c>
      <c r="C21" s="772"/>
      <c r="D21" s="772">
        <v>0</v>
      </c>
      <c r="E21" s="772">
        <v>0</v>
      </c>
      <c r="F21" s="772">
        <v>0</v>
      </c>
      <c r="G21" s="772">
        <v>0</v>
      </c>
      <c r="H21" s="772">
        <v>0</v>
      </c>
    </row>
    <row r="22" spans="2:10" outlineLevel="2" x14ac:dyDescent="0.2">
      <c r="B22" s="753" t="s">
        <v>478</v>
      </c>
      <c r="C22" s="772"/>
      <c r="D22" s="772"/>
      <c r="E22" s="772"/>
      <c r="F22" s="772"/>
      <c r="G22" s="772"/>
      <c r="H22" s="772"/>
    </row>
    <row r="23" spans="2:10" outlineLevel="2" x14ac:dyDescent="0.2">
      <c r="B23" s="753" t="s">
        <v>479</v>
      </c>
      <c r="C23" s="772"/>
      <c r="D23" s="772">
        <v>0</v>
      </c>
      <c r="E23" s="772">
        <v>0</v>
      </c>
      <c r="F23" s="772">
        <v>0</v>
      </c>
      <c r="G23" s="772">
        <v>0</v>
      </c>
      <c r="H23" s="772">
        <v>0</v>
      </c>
    </row>
    <row r="24" spans="2:10" outlineLevel="2" x14ac:dyDescent="0.2">
      <c r="B24" s="753" t="s">
        <v>480</v>
      </c>
      <c r="C24" s="774">
        <v>0</v>
      </c>
      <c r="D24" s="772">
        <v>0</v>
      </c>
      <c r="E24" s="772">
        <v>0</v>
      </c>
      <c r="F24" s="772">
        <v>0</v>
      </c>
      <c r="G24" s="772">
        <v>0</v>
      </c>
      <c r="H24" s="772">
        <v>0</v>
      </c>
    </row>
    <row r="25" spans="2:10" outlineLevel="2" x14ac:dyDescent="0.2">
      <c r="B25" s="753" t="s">
        <v>481</v>
      </c>
      <c r="C25" s="772">
        <v>0</v>
      </c>
      <c r="D25" s="772">
        <v>0</v>
      </c>
      <c r="E25" s="772">
        <v>0</v>
      </c>
      <c r="F25" s="772">
        <v>0</v>
      </c>
      <c r="G25" s="772">
        <v>0</v>
      </c>
      <c r="H25" s="772">
        <v>0</v>
      </c>
    </row>
    <row r="26" spans="2:10" outlineLevel="2" x14ac:dyDescent="0.2">
      <c r="B26" s="753" t="s">
        <v>482</v>
      </c>
      <c r="C26" s="772">
        <v>0</v>
      </c>
      <c r="D26" s="772">
        <v>0</v>
      </c>
      <c r="E26" s="772">
        <v>0</v>
      </c>
      <c r="F26" s="772">
        <v>0</v>
      </c>
      <c r="G26" s="772">
        <v>0</v>
      </c>
      <c r="H26" s="772">
        <v>0</v>
      </c>
    </row>
    <row r="27" spans="2:10" outlineLevel="2" x14ac:dyDescent="0.2">
      <c r="B27" s="753" t="s">
        <v>483</v>
      </c>
      <c r="C27" s="772"/>
      <c r="D27" s="772">
        <v>0</v>
      </c>
      <c r="E27" s="772">
        <v>0</v>
      </c>
      <c r="F27" s="772">
        <v>0</v>
      </c>
      <c r="G27" s="772">
        <v>0</v>
      </c>
      <c r="H27" s="772">
        <v>0</v>
      </c>
    </row>
    <row r="28" spans="2:10" outlineLevel="2" x14ac:dyDescent="0.2">
      <c r="C28" s="772"/>
      <c r="D28" s="772"/>
      <c r="E28" s="772"/>
      <c r="F28" s="772"/>
      <c r="G28" s="772"/>
      <c r="H28" s="772"/>
    </row>
    <row r="29" spans="2:10" outlineLevel="1" x14ac:dyDescent="0.2">
      <c r="B29" s="769" t="s">
        <v>485</v>
      </c>
      <c r="C29" s="754">
        <v>2016</v>
      </c>
      <c r="D29" s="754">
        <v>2017</v>
      </c>
      <c r="E29" s="754">
        <v>2018</v>
      </c>
      <c r="F29" s="754">
        <v>2019</v>
      </c>
      <c r="G29" s="754">
        <v>2020</v>
      </c>
      <c r="H29" s="754">
        <v>2021</v>
      </c>
    </row>
    <row r="30" spans="2:10" outlineLevel="1" x14ac:dyDescent="0.2">
      <c r="B30" s="776" t="s">
        <v>486</v>
      </c>
      <c r="C30" s="772"/>
      <c r="D30" s="777">
        <v>345480168</v>
      </c>
      <c r="E30" s="774">
        <v>0</v>
      </c>
      <c r="F30" s="778">
        <v>0</v>
      </c>
      <c r="G30" s="778">
        <v>0</v>
      </c>
      <c r="H30" s="778">
        <v>0</v>
      </c>
      <c r="J30" s="772"/>
    </row>
    <row r="31" spans="2:10" outlineLevel="1" x14ac:dyDescent="0.2">
      <c r="B31" s="753" t="s">
        <v>487</v>
      </c>
      <c r="C31" s="772"/>
      <c r="D31" s="774">
        <v>173114761.68767121</v>
      </c>
      <c r="E31" s="774">
        <v>0</v>
      </c>
      <c r="F31" s="774">
        <v>0</v>
      </c>
      <c r="G31" s="774">
        <v>0</v>
      </c>
      <c r="H31" s="774">
        <v>0</v>
      </c>
      <c r="J31" s="772"/>
    </row>
    <row r="32" spans="2:10" outlineLevel="1" x14ac:dyDescent="0.2">
      <c r="B32" s="776" t="s">
        <v>488</v>
      </c>
      <c r="C32" s="772"/>
      <c r="D32" s="775">
        <v>3.4838098558625408E-2</v>
      </c>
      <c r="E32" s="775">
        <v>3.4838098558625408E-2</v>
      </c>
      <c r="F32" s="775">
        <v>3.4838098558625408E-2</v>
      </c>
      <c r="G32" s="775">
        <v>3.4838098558625408E-2</v>
      </c>
      <c r="H32" s="775">
        <v>3.4838098558625408E-2</v>
      </c>
      <c r="J32" s="772"/>
    </row>
    <row r="33" spans="2:8" outlineLevel="1" x14ac:dyDescent="0.2">
      <c r="B33" s="776" t="s">
        <v>478</v>
      </c>
      <c r="C33" s="772"/>
      <c r="D33" s="772">
        <v>0</v>
      </c>
      <c r="E33" s="772">
        <v>339449178.87037194</v>
      </c>
      <c r="F33" s="772">
        <v>327413306.72753745</v>
      </c>
      <c r="G33" s="772">
        <v>315377434.58470297</v>
      </c>
      <c r="H33" s="772">
        <v>303341562.44186848</v>
      </c>
    </row>
    <row r="34" spans="2:8" outlineLevel="1" x14ac:dyDescent="0.2">
      <c r="B34" s="776" t="s">
        <v>479</v>
      </c>
      <c r="C34" s="772"/>
      <c r="D34" s="772">
        <v>-6030989.1296280399</v>
      </c>
      <c r="E34" s="772">
        <v>-12035872.142834464</v>
      </c>
      <c r="F34" s="772">
        <v>-12035872.142834464</v>
      </c>
      <c r="G34" s="772">
        <v>-12035872.142834464</v>
      </c>
      <c r="H34" s="772">
        <v>-12035872.142834464</v>
      </c>
    </row>
    <row r="35" spans="2:8" outlineLevel="1" x14ac:dyDescent="0.2">
      <c r="B35" s="776" t="s">
        <v>481</v>
      </c>
      <c r="C35" s="772"/>
      <c r="D35" s="772">
        <v>339449178.87037194</v>
      </c>
      <c r="E35" s="772">
        <v>327413306.72753745</v>
      </c>
      <c r="F35" s="772">
        <v>315377434.58470297</v>
      </c>
      <c r="G35" s="772">
        <v>303341562.44186848</v>
      </c>
      <c r="H35" s="772">
        <v>291305690.299034</v>
      </c>
    </row>
    <row r="36" spans="2:8" outlineLevel="1" x14ac:dyDescent="0.2">
      <c r="B36" s="776" t="s">
        <v>480</v>
      </c>
      <c r="C36" s="772"/>
      <c r="D36" s="772">
        <v>345480168</v>
      </c>
      <c r="E36" s="772">
        <v>345480168</v>
      </c>
      <c r="F36" s="772">
        <v>345480168</v>
      </c>
      <c r="G36" s="772">
        <v>345480168</v>
      </c>
      <c r="H36" s="772">
        <v>345480168</v>
      </c>
    </row>
    <row r="37" spans="2:8" outlineLevel="1" x14ac:dyDescent="0.2">
      <c r="C37" s="772"/>
      <c r="D37" s="779"/>
      <c r="E37" s="772"/>
      <c r="F37" s="772"/>
      <c r="G37" s="772"/>
      <c r="H37" s="772"/>
    </row>
    <row r="38" spans="2:8" x14ac:dyDescent="0.2">
      <c r="B38" s="769" t="s">
        <v>489</v>
      </c>
      <c r="C38" s="754">
        <v>2016</v>
      </c>
      <c r="D38" s="754">
        <v>2017</v>
      </c>
      <c r="E38" s="754">
        <v>2018</v>
      </c>
      <c r="F38" s="754">
        <v>2019</v>
      </c>
      <c r="G38" s="754">
        <v>2020</v>
      </c>
      <c r="H38" s="754">
        <v>2021</v>
      </c>
    </row>
    <row r="39" spans="2:8" x14ac:dyDescent="0.2">
      <c r="B39" s="780" t="s">
        <v>476</v>
      </c>
      <c r="C39" s="770">
        <v>5.8382511060031415E-2</v>
      </c>
      <c r="D39" s="770">
        <v>5.8382511060031415E-2</v>
      </c>
      <c r="E39" s="770">
        <v>5.8382511060031415E-2</v>
      </c>
      <c r="F39" s="770">
        <v>5.8382511060031415E-2</v>
      </c>
      <c r="G39" s="770">
        <v>5.8382511060031415E-2</v>
      </c>
      <c r="H39" s="770">
        <v>5.8382511060031415E-2</v>
      </c>
    </row>
    <row r="40" spans="2:8" x14ac:dyDescent="0.2">
      <c r="B40" s="780" t="s">
        <v>490</v>
      </c>
      <c r="C40" s="781">
        <v>0.02</v>
      </c>
      <c r="D40" s="781">
        <v>0.02</v>
      </c>
      <c r="E40" s="781">
        <v>0.02</v>
      </c>
      <c r="F40" s="781">
        <v>0.02</v>
      </c>
      <c r="G40" s="781">
        <v>0.02</v>
      </c>
      <c r="H40" s="781">
        <v>0.02</v>
      </c>
    </row>
    <row r="41" spans="2:8" x14ac:dyDescent="0.2">
      <c r="B41" s="780" t="s">
        <v>477</v>
      </c>
      <c r="C41" s="771"/>
      <c r="D41" s="772">
        <v>45644352</v>
      </c>
      <c r="E41" s="772">
        <v>45644352</v>
      </c>
      <c r="F41" s="772">
        <v>45644352</v>
      </c>
      <c r="G41" s="772">
        <v>45644352</v>
      </c>
      <c r="H41" s="772">
        <v>45644352</v>
      </c>
    </row>
    <row r="42" spans="2:8" x14ac:dyDescent="0.2">
      <c r="B42" s="780" t="s">
        <v>478</v>
      </c>
      <c r="C42" s="771"/>
      <c r="D42" s="772">
        <v>9055342</v>
      </c>
      <c r="E42" s="772">
        <v>6390510.1145320311</v>
      </c>
      <c r="F42" s="772">
        <v>3725678.2290640622</v>
      </c>
      <c r="G42" s="772">
        <v>1060846.3435960934</v>
      </c>
      <c r="H42" s="772">
        <v>-1603985.5418718755</v>
      </c>
    </row>
    <row r="43" spans="2:8" x14ac:dyDescent="0.2">
      <c r="B43" s="780" t="s">
        <v>479</v>
      </c>
      <c r="C43" s="771"/>
      <c r="D43" s="772">
        <v>-2664831.885467967</v>
      </c>
      <c r="E43" s="772">
        <v>-2664831.885467967</v>
      </c>
      <c r="F43" s="772">
        <v>-2664831.885467967</v>
      </c>
      <c r="G43" s="772">
        <v>-2664831.885467967</v>
      </c>
      <c r="H43" s="772">
        <v>-2664831.885467967</v>
      </c>
    </row>
    <row r="44" spans="2:8" x14ac:dyDescent="0.2">
      <c r="B44" s="780" t="s">
        <v>491</v>
      </c>
      <c r="C44" s="771"/>
      <c r="D44" s="772"/>
      <c r="E44" s="772"/>
      <c r="F44" s="772"/>
      <c r="G44" s="772"/>
      <c r="H44" s="772"/>
    </row>
    <row r="45" spans="2:8" x14ac:dyDescent="0.2">
      <c r="B45" s="780" t="s">
        <v>480</v>
      </c>
      <c r="C45" s="772">
        <v>45644352</v>
      </c>
      <c r="D45" s="772">
        <v>45644352</v>
      </c>
      <c r="E45" s="772">
        <v>45644352</v>
      </c>
      <c r="F45" s="772">
        <v>45644352</v>
      </c>
      <c r="G45" s="772">
        <v>45644352</v>
      </c>
      <c r="H45" s="772">
        <v>45644352</v>
      </c>
    </row>
    <row r="46" spans="2:8" x14ac:dyDescent="0.2">
      <c r="B46" s="780" t="s">
        <v>482</v>
      </c>
      <c r="C46" s="772">
        <v>-36589010</v>
      </c>
      <c r="D46" s="772">
        <v>-39253841.885467969</v>
      </c>
      <c r="E46" s="772">
        <v>-41918673.770935938</v>
      </c>
      <c r="F46" s="772">
        <v>-44583505.656403907</v>
      </c>
      <c r="G46" s="772">
        <v>-47248337.541871876</v>
      </c>
      <c r="H46" s="772">
        <v>-49913169.427339844</v>
      </c>
    </row>
    <row r="47" spans="2:8" x14ac:dyDescent="0.2">
      <c r="B47" s="780" t="s">
        <v>481</v>
      </c>
      <c r="C47" s="772">
        <v>9055342</v>
      </c>
      <c r="D47" s="772">
        <v>6390510.1145320311</v>
      </c>
      <c r="E47" s="772">
        <v>3725678.2290640622</v>
      </c>
      <c r="F47" s="772">
        <v>1060846.3435960934</v>
      </c>
      <c r="G47" s="772">
        <v>-1603985.5418718755</v>
      </c>
      <c r="H47" s="772">
        <v>-4268817.4273398444</v>
      </c>
    </row>
    <row r="48" spans="2:8" x14ac:dyDescent="0.2">
      <c r="B48" s="780"/>
      <c r="C48" s="772"/>
      <c r="D48" s="772"/>
      <c r="E48" s="772"/>
      <c r="F48" s="772"/>
      <c r="G48" s="772"/>
      <c r="H48" s="772"/>
    </row>
    <row r="49" spans="2:8" x14ac:dyDescent="0.2">
      <c r="B49" s="769" t="s">
        <v>492</v>
      </c>
      <c r="C49" s="754">
        <v>2016</v>
      </c>
      <c r="D49" s="754">
        <v>2017</v>
      </c>
      <c r="E49" s="754">
        <v>2018</v>
      </c>
      <c r="F49" s="754">
        <v>2019</v>
      </c>
      <c r="G49" s="754">
        <v>2020</v>
      </c>
      <c r="H49" s="754">
        <v>2021</v>
      </c>
    </row>
    <row r="50" spans="2:8" x14ac:dyDescent="0.2">
      <c r="B50" s="780" t="s">
        <v>476</v>
      </c>
      <c r="C50" s="782">
        <v>3.4838098558625408E-2</v>
      </c>
      <c r="D50" s="782">
        <v>3.4838098558625408E-2</v>
      </c>
      <c r="E50" s="782">
        <v>3.4838098558625408E-2</v>
      </c>
      <c r="F50" s="782">
        <v>3.4838098558625408E-2</v>
      </c>
      <c r="G50" s="782">
        <v>3.4838098558625408E-2</v>
      </c>
      <c r="H50" s="782">
        <v>3.4838098558625408E-2</v>
      </c>
    </row>
    <row r="51" spans="2:8" x14ac:dyDescent="0.2">
      <c r="B51" s="780" t="s">
        <v>490</v>
      </c>
      <c r="C51" s="781">
        <v>0.02</v>
      </c>
      <c r="D51" s="781">
        <v>0.02</v>
      </c>
      <c r="E51" s="781">
        <v>0.02</v>
      </c>
      <c r="F51" s="781">
        <v>0.02</v>
      </c>
      <c r="G51" s="781">
        <v>0.02</v>
      </c>
      <c r="H51" s="781">
        <v>0.02</v>
      </c>
    </row>
    <row r="52" spans="2:8" x14ac:dyDescent="0.2">
      <c r="B52" s="780" t="s">
        <v>477</v>
      </c>
      <c r="C52" s="771"/>
      <c r="D52" s="772">
        <v>0</v>
      </c>
      <c r="E52" s="772">
        <v>0</v>
      </c>
      <c r="F52" s="772">
        <v>0</v>
      </c>
      <c r="G52" s="772">
        <v>0</v>
      </c>
      <c r="H52" s="772">
        <v>0</v>
      </c>
    </row>
    <row r="53" spans="2:8" x14ac:dyDescent="0.2">
      <c r="B53" s="780" t="s">
        <v>478</v>
      </c>
      <c r="C53" s="771"/>
      <c r="D53" s="772">
        <v>0</v>
      </c>
      <c r="E53" s="772">
        <v>0</v>
      </c>
      <c r="F53" s="772">
        <v>0</v>
      </c>
      <c r="G53" s="772">
        <v>0</v>
      </c>
      <c r="H53" s="772">
        <v>0</v>
      </c>
    </row>
    <row r="54" spans="2:8" x14ac:dyDescent="0.2">
      <c r="B54" s="780" t="s">
        <v>479</v>
      </c>
      <c r="C54" s="771"/>
      <c r="D54" s="772">
        <v>0</v>
      </c>
      <c r="E54" s="772">
        <v>0</v>
      </c>
      <c r="F54" s="772">
        <v>0</v>
      </c>
      <c r="G54" s="772">
        <v>0</v>
      </c>
      <c r="H54" s="772">
        <v>0</v>
      </c>
    </row>
    <row r="55" spans="2:8" x14ac:dyDescent="0.2">
      <c r="B55" s="780" t="s">
        <v>491</v>
      </c>
      <c r="C55" s="771"/>
      <c r="D55" s="772"/>
      <c r="E55" s="772"/>
      <c r="F55" s="772"/>
      <c r="G55" s="772"/>
      <c r="H55" s="772"/>
    </row>
    <row r="56" spans="2:8" x14ac:dyDescent="0.2">
      <c r="B56" s="780" t="s">
        <v>480</v>
      </c>
      <c r="C56" s="772"/>
      <c r="D56" s="772">
        <v>0</v>
      </c>
      <c r="E56" s="772">
        <v>0</v>
      </c>
      <c r="F56" s="772">
        <v>0</v>
      </c>
      <c r="G56" s="772">
        <v>0</v>
      </c>
      <c r="H56" s="772">
        <v>0</v>
      </c>
    </row>
    <row r="57" spans="2:8" x14ac:dyDescent="0.2">
      <c r="B57" s="780" t="s">
        <v>482</v>
      </c>
      <c r="C57" s="772"/>
      <c r="D57" s="772">
        <v>0</v>
      </c>
      <c r="E57" s="772">
        <v>0</v>
      </c>
      <c r="F57" s="772">
        <v>0</v>
      </c>
      <c r="G57" s="772">
        <v>0</v>
      </c>
      <c r="H57" s="772">
        <v>0</v>
      </c>
    </row>
    <row r="58" spans="2:8" x14ac:dyDescent="0.2">
      <c r="B58" s="780" t="s">
        <v>481</v>
      </c>
      <c r="C58" s="772"/>
      <c r="D58" s="772">
        <v>0</v>
      </c>
      <c r="E58" s="772">
        <v>0</v>
      </c>
      <c r="F58" s="772">
        <v>0</v>
      </c>
      <c r="G58" s="772">
        <v>0</v>
      </c>
      <c r="H58" s="772">
        <v>0</v>
      </c>
    </row>
    <row r="59" spans="2:8" x14ac:dyDescent="0.2">
      <c r="B59" s="783" t="s">
        <v>493</v>
      </c>
      <c r="C59" s="772"/>
      <c r="D59" s="772"/>
      <c r="E59" s="772"/>
      <c r="F59" s="772"/>
      <c r="G59" s="772"/>
      <c r="H59" s="772"/>
    </row>
    <row r="60" spans="2:8" x14ac:dyDescent="0.2">
      <c r="B60" s="780"/>
      <c r="C60" s="772"/>
      <c r="D60" s="772"/>
      <c r="E60" s="772"/>
      <c r="F60" s="772"/>
      <c r="G60" s="772"/>
      <c r="H60" s="772"/>
    </row>
    <row r="61" spans="2:8" x14ac:dyDescent="0.2">
      <c r="B61" s="769" t="s">
        <v>494</v>
      </c>
      <c r="C61" s="754">
        <v>2016</v>
      </c>
      <c r="D61" s="754">
        <v>2017</v>
      </c>
      <c r="E61" s="754">
        <v>2018</v>
      </c>
      <c r="F61" s="754">
        <v>2019</v>
      </c>
      <c r="G61" s="754">
        <v>2020</v>
      </c>
      <c r="H61" s="754">
        <v>2021</v>
      </c>
    </row>
    <row r="62" spans="2:8" x14ac:dyDescent="0.2">
      <c r="B62" s="753" t="s">
        <v>481</v>
      </c>
      <c r="C62" s="772">
        <v>204259966.1240339</v>
      </c>
      <c r="D62" s="772">
        <v>188786044.43471515</v>
      </c>
      <c r="E62" s="772">
        <v>173312122.74539644</v>
      </c>
      <c r="F62" s="772">
        <v>157838201.05607775</v>
      </c>
      <c r="G62" s="772">
        <v>142364279.36675903</v>
      </c>
      <c r="H62" s="772">
        <v>126890357.67744032</v>
      </c>
    </row>
    <row r="63" spans="2:8" x14ac:dyDescent="0.2">
      <c r="B63" s="753" t="s">
        <v>479</v>
      </c>
      <c r="C63" s="772">
        <v>0</v>
      </c>
      <c r="D63" s="772">
        <v>-15473921.689318705</v>
      </c>
      <c r="E63" s="772">
        <v>-15473921.689318705</v>
      </c>
      <c r="F63" s="772">
        <v>-15473921.689318705</v>
      </c>
      <c r="G63" s="772">
        <v>-15473921.689318705</v>
      </c>
      <c r="H63" s="772">
        <v>-15473921.689318705</v>
      </c>
    </row>
    <row r="64" spans="2:8" x14ac:dyDescent="0.2">
      <c r="B64" s="753" t="s">
        <v>480</v>
      </c>
      <c r="C64" s="772">
        <v>413319119.96403384</v>
      </c>
      <c r="D64" s="772">
        <v>413319119.96403384</v>
      </c>
      <c r="E64" s="772">
        <v>413319119.96403384</v>
      </c>
      <c r="F64" s="772">
        <v>413319119.96403384</v>
      </c>
      <c r="G64" s="772">
        <v>413319119.96403384</v>
      </c>
      <c r="H64" s="772">
        <v>413319119.96403384</v>
      </c>
    </row>
    <row r="65" spans="1:8" x14ac:dyDescent="0.2">
      <c r="B65" s="769" t="s">
        <v>495</v>
      </c>
      <c r="C65" s="754">
        <v>2016</v>
      </c>
      <c r="D65" s="754">
        <v>2017</v>
      </c>
      <c r="E65" s="754">
        <v>2018</v>
      </c>
      <c r="F65" s="754">
        <v>2019</v>
      </c>
      <c r="G65" s="754">
        <v>2020</v>
      </c>
      <c r="H65" s="754">
        <v>2021</v>
      </c>
    </row>
    <row r="66" spans="1:8" x14ac:dyDescent="0.2">
      <c r="B66" s="753" t="s">
        <v>481</v>
      </c>
      <c r="C66" s="772">
        <v>0</v>
      </c>
      <c r="D66" s="772">
        <v>339449178.87037194</v>
      </c>
      <c r="E66" s="772">
        <v>327413306.72753745</v>
      </c>
      <c r="F66" s="772">
        <v>315377434.58470297</v>
      </c>
      <c r="G66" s="772">
        <v>303341562.44186848</v>
      </c>
      <c r="H66" s="772">
        <v>291305690.299034</v>
      </c>
    </row>
    <row r="67" spans="1:8" x14ac:dyDescent="0.2">
      <c r="B67" s="753" t="s">
        <v>479</v>
      </c>
      <c r="C67" s="772">
        <v>0</v>
      </c>
      <c r="D67" s="772">
        <v>-6030989.1296280399</v>
      </c>
      <c r="E67" s="772">
        <v>-12035872.142834464</v>
      </c>
      <c r="F67" s="772">
        <v>-12035872.142834464</v>
      </c>
      <c r="G67" s="772">
        <v>-12035872.142834464</v>
      </c>
      <c r="H67" s="772">
        <v>-12035872.142834464</v>
      </c>
    </row>
    <row r="68" spans="1:8" x14ac:dyDescent="0.2">
      <c r="B68" s="753" t="s">
        <v>480</v>
      </c>
      <c r="C68" s="772">
        <v>0</v>
      </c>
      <c r="D68" s="772">
        <v>345480168</v>
      </c>
      <c r="E68" s="772">
        <v>345480168</v>
      </c>
      <c r="F68" s="772">
        <v>345480168</v>
      </c>
      <c r="G68" s="772">
        <v>345480168</v>
      </c>
      <c r="H68" s="772">
        <v>345480168</v>
      </c>
    </row>
    <row r="69" spans="1:8" x14ac:dyDescent="0.2">
      <c r="B69" s="753" t="s">
        <v>487</v>
      </c>
      <c r="C69" s="772">
        <v>0</v>
      </c>
      <c r="D69" s="772">
        <v>173114761.68767121</v>
      </c>
      <c r="E69" s="772">
        <v>0</v>
      </c>
      <c r="F69" s="772">
        <v>0</v>
      </c>
      <c r="G69" s="772">
        <v>0</v>
      </c>
      <c r="H69" s="772">
        <v>0</v>
      </c>
    </row>
    <row r="70" spans="1:8" x14ac:dyDescent="0.2">
      <c r="A70" s="784"/>
      <c r="B70" s="784"/>
      <c r="C70" s="785"/>
      <c r="D70" s="785"/>
      <c r="E70" s="785"/>
      <c r="F70" s="785"/>
      <c r="G70" s="785"/>
      <c r="H70" s="785"/>
    </row>
    <row r="71" spans="1:8" s="755" customFormat="1" hidden="1" x14ac:dyDescent="0.2">
      <c r="B71" s="754" t="s">
        <v>496</v>
      </c>
    </row>
    <row r="72" spans="1:8" hidden="1" x14ac:dyDescent="0.2">
      <c r="A72" s="784"/>
      <c r="B72" s="784"/>
      <c r="C72" s="785"/>
      <c r="D72" s="785"/>
      <c r="E72" s="785"/>
      <c r="F72" s="785"/>
      <c r="G72" s="785"/>
      <c r="H72" s="785"/>
    </row>
    <row r="73" spans="1:8" s="784" customFormat="1" hidden="1" x14ac:dyDescent="0.2">
      <c r="B73" s="786" t="s">
        <v>497</v>
      </c>
      <c r="C73" s="787">
        <v>3.5000000000000003E-2</v>
      </c>
    </row>
    <row r="74" spans="1:8" hidden="1" x14ac:dyDescent="0.2">
      <c r="B74" s="788" t="s">
        <v>498</v>
      </c>
    </row>
    <row r="75" spans="1:8" hidden="1" x14ac:dyDescent="0.2">
      <c r="B75" s="789" t="s">
        <v>499</v>
      </c>
      <c r="C75" s="790">
        <v>0.7</v>
      </c>
    </row>
    <row r="76" spans="1:8" hidden="1" x14ac:dyDescent="0.2">
      <c r="B76" s="789" t="s">
        <v>500</v>
      </c>
      <c r="C76" s="791">
        <v>0.30000000000000004</v>
      </c>
    </row>
    <row r="77" spans="1:8" hidden="1" x14ac:dyDescent="0.2"/>
    <row r="78" spans="1:8" hidden="1" x14ac:dyDescent="0.2">
      <c r="B78" s="792"/>
      <c r="C78" s="793">
        <v>2016</v>
      </c>
      <c r="D78" s="793">
        <v>2017</v>
      </c>
      <c r="E78" s="793">
        <v>2018</v>
      </c>
      <c r="F78" s="793">
        <v>2019</v>
      </c>
      <c r="G78" s="793">
        <v>2020</v>
      </c>
      <c r="H78" s="793">
        <v>2021</v>
      </c>
    </row>
    <row r="79" spans="1:8" hidden="1" x14ac:dyDescent="0.2">
      <c r="B79" s="794" t="s">
        <v>501</v>
      </c>
      <c r="C79" s="771"/>
      <c r="D79" s="774">
        <v>1892000</v>
      </c>
      <c r="E79" s="774">
        <v>95586000</v>
      </c>
      <c r="F79" s="774">
        <v>239222000</v>
      </c>
      <c r="G79" s="774">
        <v>99604000</v>
      </c>
      <c r="H79" s="774">
        <v>764000</v>
      </c>
    </row>
    <row r="80" spans="1:8" hidden="1" x14ac:dyDescent="0.2">
      <c r="B80" s="794" t="s">
        <v>502</v>
      </c>
      <c r="C80" s="771"/>
      <c r="D80" s="774">
        <v>0</v>
      </c>
      <c r="E80" s="774">
        <v>49000</v>
      </c>
      <c r="F80" s="774">
        <v>88000</v>
      </c>
      <c r="G80" s="774">
        <v>612000</v>
      </c>
      <c r="H80" s="774">
        <v>824000</v>
      </c>
    </row>
    <row r="81" spans="2:8" hidden="1" x14ac:dyDescent="0.2">
      <c r="B81" s="794" t="s">
        <v>503</v>
      </c>
      <c r="C81" s="771"/>
      <c r="D81" s="774">
        <v>0</v>
      </c>
      <c r="E81" s="774">
        <v>88000</v>
      </c>
      <c r="F81" s="774">
        <v>0</v>
      </c>
      <c r="G81" s="774">
        <v>0</v>
      </c>
      <c r="H81" s="774">
        <v>0</v>
      </c>
    </row>
    <row r="82" spans="2:8" hidden="1" x14ac:dyDescent="0.2">
      <c r="B82" s="794" t="s">
        <v>488</v>
      </c>
      <c r="C82" s="771"/>
      <c r="D82" s="795">
        <v>3.5000000000000003E-2</v>
      </c>
      <c r="E82" s="795">
        <v>3.5000000000000003E-2</v>
      </c>
      <c r="F82" s="795">
        <v>3.5000000000000003E-2</v>
      </c>
      <c r="G82" s="795">
        <v>3.5000000000000003E-2</v>
      </c>
      <c r="H82" s="795">
        <v>3.5000000000000003E-2</v>
      </c>
    </row>
    <row r="83" spans="2:8" hidden="1" x14ac:dyDescent="0.2">
      <c r="B83" s="794" t="s">
        <v>478</v>
      </c>
      <c r="C83" s="771"/>
      <c r="D83" s="772">
        <v>0</v>
      </c>
      <c r="E83" s="772">
        <v>1892000</v>
      </c>
      <c r="F83" s="772">
        <v>97460780</v>
      </c>
      <c r="G83" s="772">
        <v>333357335</v>
      </c>
      <c r="H83" s="772">
        <v>421784040</v>
      </c>
    </row>
    <row r="84" spans="2:8" hidden="1" x14ac:dyDescent="0.2">
      <c r="B84" s="794" t="s">
        <v>479</v>
      </c>
      <c r="C84" s="771"/>
      <c r="D84" s="772">
        <v>0</v>
      </c>
      <c r="E84" s="772">
        <v>-66220</v>
      </c>
      <c r="F84" s="772">
        <v>-3413445.0000000005</v>
      </c>
      <c r="G84" s="772">
        <v>-11789295.000000002</v>
      </c>
      <c r="H84" s="772">
        <v>-15296855.000000002</v>
      </c>
    </row>
    <row r="85" spans="2:8" hidden="1" x14ac:dyDescent="0.2">
      <c r="B85" s="794" t="s">
        <v>481</v>
      </c>
      <c r="C85" s="772">
        <v>0</v>
      </c>
      <c r="D85" s="772">
        <v>1892000</v>
      </c>
      <c r="E85" s="772">
        <v>97460780</v>
      </c>
      <c r="F85" s="772">
        <v>333357335</v>
      </c>
      <c r="G85" s="772">
        <v>421784040</v>
      </c>
      <c r="H85" s="772">
        <v>408075185</v>
      </c>
    </row>
    <row r="86" spans="2:8" hidden="1" x14ac:dyDescent="0.2">
      <c r="B86" s="794" t="s">
        <v>480</v>
      </c>
      <c r="C86" s="772">
        <v>0</v>
      </c>
      <c r="D86" s="772">
        <v>1892000</v>
      </c>
      <c r="E86" s="772">
        <v>97527000</v>
      </c>
      <c r="F86" s="772">
        <v>336837000</v>
      </c>
      <c r="G86" s="772">
        <v>437053000</v>
      </c>
      <c r="H86" s="772">
        <v>438641000</v>
      </c>
    </row>
    <row r="87" spans="2:8" hidden="1" x14ac:dyDescent="0.2">
      <c r="B87" s="794" t="s">
        <v>482</v>
      </c>
      <c r="C87" s="772">
        <v>0</v>
      </c>
      <c r="D87" s="772">
        <v>0</v>
      </c>
      <c r="E87" s="772">
        <v>-66220</v>
      </c>
      <c r="F87" s="772">
        <v>-3479665.0000000005</v>
      </c>
      <c r="G87" s="772">
        <v>-15268960.000000002</v>
      </c>
      <c r="H87" s="772">
        <v>-30565815.000000004</v>
      </c>
    </row>
    <row r="88" spans="2:8" hidden="1" x14ac:dyDescent="0.2">
      <c r="B88" s="794" t="s">
        <v>483</v>
      </c>
      <c r="C88" s="772">
        <v>0</v>
      </c>
      <c r="D88" s="772">
        <v>1892000</v>
      </c>
      <c r="E88" s="772">
        <v>97460780</v>
      </c>
      <c r="F88" s="772">
        <v>333357335</v>
      </c>
      <c r="G88" s="772">
        <v>421784040</v>
      </c>
      <c r="H88" s="772">
        <v>408075185</v>
      </c>
    </row>
    <row r="89" spans="2:8" hidden="1" x14ac:dyDescent="0.2"/>
    <row r="90" spans="2:8" s="755" customFormat="1" hidden="1" x14ac:dyDescent="0.2">
      <c r="B90" s="754" t="s">
        <v>504</v>
      </c>
    </row>
    <row r="91" spans="2:8" s="768" customFormat="1" hidden="1" x14ac:dyDescent="0.2">
      <c r="B91" s="767"/>
      <c r="C91" s="767"/>
      <c r="D91" s="767"/>
      <c r="E91" s="767"/>
      <c r="F91" s="767"/>
      <c r="G91" s="767"/>
      <c r="H91" s="767"/>
    </row>
    <row r="92" spans="2:8" hidden="1" x14ac:dyDescent="0.2">
      <c r="B92" s="796" t="s">
        <v>505</v>
      </c>
      <c r="C92" s="793">
        <v>2016</v>
      </c>
      <c r="D92" s="793">
        <v>2017</v>
      </c>
      <c r="E92" s="793">
        <v>2018</v>
      </c>
      <c r="F92" s="793">
        <v>2019</v>
      </c>
      <c r="G92" s="793">
        <v>2020</v>
      </c>
      <c r="H92" s="793">
        <v>2021</v>
      </c>
    </row>
    <row r="93" spans="2:8" hidden="1" outlineLevel="1" x14ac:dyDescent="0.2">
      <c r="B93" s="797" t="s">
        <v>506</v>
      </c>
      <c r="C93" s="798"/>
      <c r="D93" s="798">
        <v>1842000</v>
      </c>
      <c r="E93" s="798">
        <v>91709000</v>
      </c>
      <c r="F93" s="798">
        <v>193381000</v>
      </c>
      <c r="G93" s="798">
        <v>74963000</v>
      </c>
      <c r="H93" s="798">
        <v>764000</v>
      </c>
    </row>
    <row r="94" spans="2:8" hidden="1" outlineLevel="1" x14ac:dyDescent="0.2">
      <c r="B94" s="797" t="s">
        <v>507</v>
      </c>
      <c r="C94" s="798"/>
      <c r="D94" s="798">
        <v>7007000</v>
      </c>
      <c r="E94" s="798">
        <v>17799000</v>
      </c>
      <c r="F94" s="798">
        <v>74971000</v>
      </c>
      <c r="G94" s="798">
        <v>150379000</v>
      </c>
      <c r="H94" s="798">
        <v>148736000</v>
      </c>
    </row>
    <row r="95" spans="2:8" hidden="1" outlineLevel="1" x14ac:dyDescent="0.2">
      <c r="B95" s="797" t="s">
        <v>508</v>
      </c>
      <c r="C95" s="798"/>
      <c r="D95" s="798">
        <v>1885000</v>
      </c>
      <c r="E95" s="798">
        <v>23690000</v>
      </c>
      <c r="F95" s="798">
        <v>6568000</v>
      </c>
      <c r="G95" s="798">
        <v>7072000</v>
      </c>
      <c r="H95" s="798">
        <v>4641000</v>
      </c>
    </row>
    <row r="96" spans="2:8" hidden="1" x14ac:dyDescent="0.2">
      <c r="B96" s="794" t="s">
        <v>509</v>
      </c>
      <c r="C96" s="772"/>
      <c r="D96" s="772">
        <v>10734000</v>
      </c>
      <c r="E96" s="772">
        <v>133198000</v>
      </c>
      <c r="F96" s="772">
        <v>274920000</v>
      </c>
      <c r="G96" s="772">
        <v>232414000</v>
      </c>
      <c r="H96" s="772">
        <v>154141000</v>
      </c>
    </row>
    <row r="97" spans="2:10" hidden="1" x14ac:dyDescent="0.2">
      <c r="B97" s="794" t="s">
        <v>510</v>
      </c>
      <c r="D97" s="799">
        <v>0</v>
      </c>
      <c r="E97" s="799">
        <v>0</v>
      </c>
      <c r="F97" s="799">
        <v>0</v>
      </c>
      <c r="G97" s="799">
        <v>0</v>
      </c>
      <c r="H97" s="799">
        <v>0</v>
      </c>
    </row>
    <row r="98" spans="2:10" hidden="1" x14ac:dyDescent="0.2">
      <c r="B98" s="800" t="s">
        <v>511</v>
      </c>
      <c r="C98" s="768"/>
      <c r="D98" s="801">
        <v>10734000</v>
      </c>
      <c r="E98" s="801">
        <v>133198000</v>
      </c>
      <c r="F98" s="801">
        <v>274920000</v>
      </c>
      <c r="G98" s="801">
        <v>232414000</v>
      </c>
      <c r="H98" s="801">
        <v>154141000</v>
      </c>
      <c r="I98" s="778"/>
    </row>
    <row r="99" spans="2:10" hidden="1" x14ac:dyDescent="0.2">
      <c r="B99" s="800" t="s">
        <v>502</v>
      </c>
      <c r="C99" s="768"/>
      <c r="D99" s="801">
        <v>766000</v>
      </c>
      <c r="E99" s="801">
        <v>3315000</v>
      </c>
      <c r="F99" s="801">
        <v>3240000</v>
      </c>
      <c r="G99" s="801">
        <v>2087000</v>
      </c>
      <c r="H99" s="801">
        <v>0</v>
      </c>
      <c r="I99" s="768"/>
      <c r="J99" s="768"/>
    </row>
    <row r="100" spans="2:10" hidden="1" x14ac:dyDescent="0.2">
      <c r="B100" s="800" t="s">
        <v>503</v>
      </c>
      <c r="C100" s="768"/>
      <c r="D100" s="801">
        <v>0</v>
      </c>
      <c r="E100" s="801">
        <v>0</v>
      </c>
      <c r="F100" s="801">
        <v>5402000</v>
      </c>
      <c r="G100" s="801">
        <v>2316000</v>
      </c>
      <c r="H100" s="801">
        <v>0</v>
      </c>
      <c r="I100" s="768"/>
      <c r="J100" s="768"/>
    </row>
    <row r="101" spans="2:10" hidden="1" x14ac:dyDescent="0.2">
      <c r="B101" s="802" t="s">
        <v>512</v>
      </c>
      <c r="C101" s="768"/>
      <c r="D101" s="801">
        <v>6080000</v>
      </c>
      <c r="E101" s="801">
        <v>4767000</v>
      </c>
      <c r="F101" s="801">
        <v>4242000</v>
      </c>
      <c r="G101" s="801">
        <v>3951000</v>
      </c>
      <c r="H101" s="801">
        <v>4507000</v>
      </c>
      <c r="I101" s="768"/>
      <c r="J101" s="768"/>
    </row>
    <row r="102" spans="2:10" hidden="1" x14ac:dyDescent="0.2">
      <c r="B102" s="803" t="s">
        <v>513</v>
      </c>
      <c r="D102" s="772">
        <v>4792200</v>
      </c>
      <c r="E102" s="772">
        <v>5657400</v>
      </c>
      <c r="F102" s="772">
        <v>5237400</v>
      </c>
      <c r="G102" s="772">
        <v>4226600</v>
      </c>
      <c r="H102" s="772">
        <v>3154900</v>
      </c>
    </row>
    <row r="103" spans="2:10" hidden="1" x14ac:dyDescent="0.2">
      <c r="B103" s="803" t="s">
        <v>514</v>
      </c>
      <c r="D103" s="772">
        <v>2053800.0000000002</v>
      </c>
      <c r="E103" s="772">
        <v>2424600.0000000005</v>
      </c>
      <c r="F103" s="772">
        <v>2244600.0000000005</v>
      </c>
      <c r="G103" s="772">
        <v>1811400.0000000002</v>
      </c>
      <c r="H103" s="772">
        <v>1352100.0000000002</v>
      </c>
    </row>
    <row r="104" spans="2:10" hidden="1" x14ac:dyDescent="0.2"/>
    <row r="105" spans="2:10" hidden="1" x14ac:dyDescent="0.2">
      <c r="B105" s="796" t="s">
        <v>515</v>
      </c>
      <c r="C105" s="793"/>
      <c r="D105" s="793">
        <v>2017</v>
      </c>
      <c r="E105" s="793">
        <v>2018</v>
      </c>
      <c r="F105" s="793">
        <v>2019</v>
      </c>
      <c r="G105" s="793">
        <v>2020</v>
      </c>
      <c r="H105" s="793">
        <v>2021</v>
      </c>
    </row>
    <row r="106" spans="2:10" hidden="1" x14ac:dyDescent="0.2">
      <c r="B106" s="753" t="s">
        <v>486</v>
      </c>
      <c r="D106" s="801">
        <v>0</v>
      </c>
      <c r="E106" s="772">
        <v>0</v>
      </c>
      <c r="F106" s="772">
        <v>0</v>
      </c>
      <c r="G106" s="772">
        <v>0</v>
      </c>
      <c r="H106" s="772">
        <v>0</v>
      </c>
    </row>
    <row r="107" spans="2:10" hidden="1" x14ac:dyDescent="0.2">
      <c r="B107" s="753" t="s">
        <v>487</v>
      </c>
      <c r="D107" s="804">
        <v>0</v>
      </c>
      <c r="E107" s="805">
        <v>0</v>
      </c>
      <c r="F107" s="805">
        <v>0</v>
      </c>
      <c r="G107" s="805">
        <v>0</v>
      </c>
      <c r="H107" s="805">
        <v>0</v>
      </c>
    </row>
    <row r="108" spans="2:10" hidden="1" x14ac:dyDescent="0.2">
      <c r="B108" s="753" t="s">
        <v>488</v>
      </c>
      <c r="D108" s="795">
        <v>3.5000000000000003E-2</v>
      </c>
      <c r="E108" s="795">
        <v>3.5000000000000003E-2</v>
      </c>
      <c r="F108" s="795">
        <v>3.5000000000000003E-2</v>
      </c>
      <c r="G108" s="795">
        <v>3.5000000000000003E-2</v>
      </c>
      <c r="H108" s="795">
        <v>3.5000000000000003E-2</v>
      </c>
    </row>
    <row r="109" spans="2:10" hidden="1" x14ac:dyDescent="0.2">
      <c r="B109" s="753" t="s">
        <v>478</v>
      </c>
    </row>
    <row r="110" spans="2:10" hidden="1" x14ac:dyDescent="0.2">
      <c r="B110" s="753" t="s">
        <v>479</v>
      </c>
      <c r="D110" s="772">
        <v>0</v>
      </c>
      <c r="E110" s="772">
        <v>0</v>
      </c>
      <c r="F110" s="772">
        <v>0</v>
      </c>
      <c r="G110" s="772">
        <v>0</v>
      </c>
      <c r="H110" s="772">
        <v>0</v>
      </c>
      <c r="J110" s="806"/>
    </row>
    <row r="111" spans="2:10" hidden="1" x14ac:dyDescent="0.2">
      <c r="B111" s="753" t="s">
        <v>516</v>
      </c>
      <c r="C111" s="772">
        <v>0</v>
      </c>
      <c r="D111" s="772">
        <v>0</v>
      </c>
      <c r="E111" s="772">
        <v>0</v>
      </c>
      <c r="F111" s="772">
        <v>0</v>
      </c>
      <c r="G111" s="772">
        <v>0</v>
      </c>
      <c r="H111" s="772">
        <v>0</v>
      </c>
    </row>
    <row r="112" spans="2:10" hidden="1" x14ac:dyDescent="0.2">
      <c r="B112" s="807" t="s">
        <v>517</v>
      </c>
      <c r="C112" s="808">
        <v>0</v>
      </c>
      <c r="D112" s="808">
        <v>0</v>
      </c>
      <c r="E112" s="808">
        <v>0</v>
      </c>
      <c r="F112" s="808">
        <v>0</v>
      </c>
      <c r="G112" s="808">
        <v>0</v>
      </c>
      <c r="H112" s="808">
        <v>0</v>
      </c>
    </row>
    <row r="113" spans="2:10" hidden="1" x14ac:dyDescent="0.2">
      <c r="B113" s="753" t="s">
        <v>482</v>
      </c>
      <c r="D113" s="772">
        <v>0</v>
      </c>
      <c r="E113" s="772">
        <v>0</v>
      </c>
      <c r="F113" s="772">
        <v>0</v>
      </c>
      <c r="G113" s="772">
        <v>0</v>
      </c>
      <c r="H113" s="772">
        <v>0</v>
      </c>
    </row>
    <row r="114" spans="2:10" hidden="1" x14ac:dyDescent="0.2">
      <c r="B114" s="807" t="s">
        <v>518</v>
      </c>
      <c r="C114" s="808">
        <v>0</v>
      </c>
      <c r="D114" s="808">
        <v>0</v>
      </c>
      <c r="E114" s="808">
        <v>0</v>
      </c>
      <c r="F114" s="808">
        <v>0</v>
      </c>
      <c r="G114" s="808">
        <v>0</v>
      </c>
      <c r="H114" s="808">
        <v>0</v>
      </c>
    </row>
    <row r="115" spans="2:10" hidden="1" x14ac:dyDescent="0.2">
      <c r="I115" s="809"/>
    </row>
    <row r="116" spans="2:10" hidden="1" x14ac:dyDescent="0.2"/>
    <row r="117" spans="2:10" hidden="1" x14ac:dyDescent="0.2">
      <c r="B117" s="796" t="s">
        <v>519</v>
      </c>
      <c r="C117" s="793" t="s">
        <v>520</v>
      </c>
      <c r="D117" s="793">
        <v>2017</v>
      </c>
      <c r="E117" s="793">
        <v>2018</v>
      </c>
      <c r="F117" s="793">
        <v>2019</v>
      </c>
      <c r="G117" s="793">
        <v>2020</v>
      </c>
      <c r="H117" s="793">
        <v>2021</v>
      </c>
    </row>
    <row r="118" spans="2:10" hidden="1" x14ac:dyDescent="0.2">
      <c r="B118" s="753" t="s">
        <v>486</v>
      </c>
      <c r="D118" s="801">
        <v>10734000</v>
      </c>
      <c r="E118" s="772">
        <v>133198000</v>
      </c>
      <c r="F118" s="772">
        <v>274920000</v>
      </c>
      <c r="G118" s="772">
        <v>232414000</v>
      </c>
      <c r="H118" s="772">
        <v>154141000</v>
      </c>
    </row>
    <row r="119" spans="2:10" hidden="1" x14ac:dyDescent="0.2">
      <c r="B119" s="753" t="s">
        <v>487</v>
      </c>
      <c r="D119" s="810">
        <v>7205013.6986301364</v>
      </c>
      <c r="E119" s="810">
        <v>89406876.712328762</v>
      </c>
      <c r="F119" s="810">
        <v>184535342.46575347</v>
      </c>
      <c r="G119" s="810">
        <v>58581063.013698637</v>
      </c>
      <c r="H119" s="810">
        <v>38851978.082191788</v>
      </c>
    </row>
    <row r="120" spans="2:10" hidden="1" x14ac:dyDescent="0.2">
      <c r="B120" s="753" t="s">
        <v>488</v>
      </c>
      <c r="D120" s="795">
        <v>3.5000000000000003E-2</v>
      </c>
      <c r="E120" s="795">
        <v>3.5000000000000003E-2</v>
      </c>
      <c r="F120" s="795">
        <v>3.5000000000000003E-2</v>
      </c>
      <c r="G120" s="795">
        <v>3.5000000000000003E-2</v>
      </c>
      <c r="H120" s="795">
        <v>3.5000000000000003E-2</v>
      </c>
    </row>
    <row r="121" spans="2:10" hidden="1" x14ac:dyDescent="0.2">
      <c r="B121" s="753" t="s">
        <v>478</v>
      </c>
    </row>
    <row r="122" spans="2:10" hidden="1" x14ac:dyDescent="0.2">
      <c r="B122" s="753" t="s">
        <v>479</v>
      </c>
      <c r="D122" s="772">
        <v>-252175.4794520548</v>
      </c>
      <c r="E122" s="772">
        <v>-3504930.6849315069</v>
      </c>
      <c r="F122" s="772">
        <v>-11496356.986301372</v>
      </c>
      <c r="G122" s="772">
        <v>-16710157.205479454</v>
      </c>
      <c r="H122" s="772">
        <v>-24154129.232876714</v>
      </c>
      <c r="J122" s="806"/>
    </row>
    <row r="123" spans="2:10" hidden="1" x14ac:dyDescent="0.2">
      <c r="B123" s="753" t="s">
        <v>516</v>
      </c>
      <c r="C123" s="772">
        <v>0</v>
      </c>
      <c r="D123" s="772">
        <v>10481824.520547945</v>
      </c>
      <c r="E123" s="772">
        <v>140174893.83561644</v>
      </c>
      <c r="F123" s="772">
        <v>403598536.84931511</v>
      </c>
      <c r="G123" s="772">
        <v>619302379.64383566</v>
      </c>
      <c r="H123" s="772">
        <v>749289250.41095901</v>
      </c>
    </row>
    <row r="124" spans="2:10" hidden="1" x14ac:dyDescent="0.2">
      <c r="B124" s="807" t="s">
        <v>517</v>
      </c>
      <c r="C124" s="808">
        <v>0</v>
      </c>
      <c r="D124" s="811">
        <v>10734000</v>
      </c>
      <c r="E124" s="808">
        <v>143932000</v>
      </c>
      <c r="F124" s="808">
        <v>418852000</v>
      </c>
      <c r="G124" s="808">
        <v>651266000</v>
      </c>
      <c r="H124" s="808">
        <v>805407000</v>
      </c>
    </row>
    <row r="125" spans="2:10" hidden="1" x14ac:dyDescent="0.2">
      <c r="B125" s="753" t="s">
        <v>482</v>
      </c>
      <c r="D125" s="772">
        <v>-252175.4794520548</v>
      </c>
      <c r="E125" s="772">
        <v>-3757106.1643835618</v>
      </c>
      <c r="F125" s="772">
        <v>-15253463.150684934</v>
      </c>
      <c r="G125" s="772">
        <v>-31963620.356164388</v>
      </c>
      <c r="H125" s="772">
        <v>-56117749.589041099</v>
      </c>
    </row>
    <row r="126" spans="2:10" hidden="1" x14ac:dyDescent="0.2">
      <c r="B126" s="807" t="s">
        <v>518</v>
      </c>
      <c r="C126" s="808">
        <v>0</v>
      </c>
      <c r="D126" s="808">
        <v>10481824.520547945</v>
      </c>
      <c r="E126" s="808">
        <v>140174893.83561644</v>
      </c>
      <c r="F126" s="808">
        <v>403598536.84931505</v>
      </c>
      <c r="G126" s="808">
        <v>619302379.64383566</v>
      </c>
      <c r="H126" s="808">
        <v>749289250.41095889</v>
      </c>
    </row>
    <row r="127" spans="2:10" hidden="1" x14ac:dyDescent="0.2">
      <c r="B127" s="807"/>
      <c r="C127" s="807"/>
      <c r="D127" s="808"/>
      <c r="E127" s="808"/>
      <c r="F127" s="808"/>
      <c r="G127" s="808"/>
      <c r="H127" s="808"/>
    </row>
    <row r="128" spans="2:10" hidden="1" outlineLevel="1" x14ac:dyDescent="0.2">
      <c r="B128" s="796" t="s">
        <v>521</v>
      </c>
      <c r="C128" s="793" t="s">
        <v>522</v>
      </c>
      <c r="D128" s="793">
        <v>2017</v>
      </c>
      <c r="E128" s="793">
        <v>2018</v>
      </c>
      <c r="F128" s="793">
        <v>2019</v>
      </c>
      <c r="G128" s="793">
        <v>2020</v>
      </c>
      <c r="H128" s="793">
        <v>2021</v>
      </c>
    </row>
    <row r="129" spans="2:10" hidden="1" outlineLevel="1" x14ac:dyDescent="0.2">
      <c r="B129" s="753" t="s">
        <v>486</v>
      </c>
      <c r="D129" s="801">
        <v>4792200</v>
      </c>
      <c r="E129" s="772">
        <v>5657400</v>
      </c>
      <c r="F129" s="772">
        <v>5237400</v>
      </c>
      <c r="G129" s="772">
        <v>4226600</v>
      </c>
      <c r="H129" s="772">
        <v>3154900</v>
      </c>
      <c r="I129" s="812"/>
      <c r="J129" s="813"/>
    </row>
    <row r="130" spans="2:10" hidden="1" outlineLevel="1" x14ac:dyDescent="0.2">
      <c r="B130" s="753" t="s">
        <v>487</v>
      </c>
      <c r="D130" s="810">
        <v>3216682.1917808214</v>
      </c>
      <c r="E130" s="810">
        <v>3797432.8767123278</v>
      </c>
      <c r="F130" s="810">
        <v>3515515.0684931497</v>
      </c>
      <c r="G130" s="810">
        <v>1065334.7945205478</v>
      </c>
      <c r="H130" s="810">
        <v>795207.67123287672</v>
      </c>
      <c r="I130" s="809"/>
    </row>
    <row r="131" spans="2:10" hidden="1" outlineLevel="1" x14ac:dyDescent="0.2">
      <c r="B131" s="753" t="s">
        <v>488</v>
      </c>
      <c r="C131" s="814"/>
      <c r="D131" s="814">
        <v>3.4838098558625408E-2</v>
      </c>
      <c r="E131" s="814">
        <v>3.4838098558625408E-2</v>
      </c>
      <c r="F131" s="814">
        <v>3.4838098558625408E-2</v>
      </c>
      <c r="G131" s="814">
        <v>3.4838098558625408E-2</v>
      </c>
      <c r="H131" s="814">
        <v>3.4838098558625408E-2</v>
      </c>
    </row>
    <row r="132" spans="2:10" hidden="1" outlineLevel="1" x14ac:dyDescent="0.2">
      <c r="B132" s="753" t="s">
        <v>478</v>
      </c>
    </row>
    <row r="133" spans="2:10" hidden="1" outlineLevel="1" x14ac:dyDescent="0.2">
      <c r="B133" s="753" t="s">
        <v>479</v>
      </c>
      <c r="D133" s="772">
        <v>-112063.09122903545</v>
      </c>
      <c r="E133" s="772">
        <v>-299246.47674131318</v>
      </c>
      <c r="F133" s="772">
        <v>-486518.0551387092</v>
      </c>
      <c r="G133" s="772">
        <v>-583619.49065859651</v>
      </c>
      <c r="H133" s="772">
        <v>-721455.48268202879</v>
      </c>
      <c r="J133" s="806"/>
    </row>
    <row r="134" spans="2:10" hidden="1" outlineLevel="1" x14ac:dyDescent="0.2">
      <c r="B134" s="753" t="s">
        <v>516</v>
      </c>
      <c r="C134" s="772">
        <v>0</v>
      </c>
      <c r="D134" s="772">
        <v>4680136.9087709645</v>
      </c>
      <c r="E134" s="772">
        <v>10038290.43202965</v>
      </c>
      <c r="F134" s="772">
        <v>14789172.376890941</v>
      </c>
      <c r="G134" s="772">
        <v>18432152.886232346</v>
      </c>
      <c r="H134" s="772">
        <v>20865597.403550319</v>
      </c>
    </row>
    <row r="135" spans="2:10" hidden="1" outlineLevel="1" x14ac:dyDescent="0.2">
      <c r="B135" s="807" t="s">
        <v>517</v>
      </c>
      <c r="C135" s="808">
        <v>0</v>
      </c>
      <c r="D135" s="808">
        <v>4792200</v>
      </c>
      <c r="E135" s="808">
        <v>10449600</v>
      </c>
      <c r="F135" s="808">
        <v>15687000</v>
      </c>
      <c r="G135" s="808">
        <v>19913600</v>
      </c>
      <c r="H135" s="808">
        <v>23068500</v>
      </c>
    </row>
    <row r="136" spans="2:10" hidden="1" outlineLevel="1" x14ac:dyDescent="0.2">
      <c r="B136" s="753" t="s">
        <v>482</v>
      </c>
      <c r="D136" s="772">
        <v>-112063.09122903545</v>
      </c>
      <c r="E136" s="772">
        <v>-411309.56797034864</v>
      </c>
      <c r="F136" s="772">
        <v>-897827.62310905778</v>
      </c>
      <c r="G136" s="772">
        <v>-1481447.1137676542</v>
      </c>
      <c r="H136" s="772">
        <v>-2202902.596449683</v>
      </c>
    </row>
    <row r="137" spans="2:10" hidden="1" outlineLevel="1" x14ac:dyDescent="0.2">
      <c r="B137" s="807" t="s">
        <v>518</v>
      </c>
      <c r="C137" s="808">
        <v>0</v>
      </c>
      <c r="D137" s="808">
        <v>4680136.9087709645</v>
      </c>
      <c r="E137" s="808">
        <v>10038290.432029651</v>
      </c>
      <c r="F137" s="808">
        <v>14789172.376890942</v>
      </c>
      <c r="G137" s="808">
        <v>18432152.886232346</v>
      </c>
      <c r="H137" s="808">
        <v>20865597.403550316</v>
      </c>
    </row>
    <row r="138" spans="2:10" hidden="1" outlineLevel="1" x14ac:dyDescent="0.2">
      <c r="B138" s="807"/>
      <c r="C138" s="807"/>
      <c r="D138" s="808"/>
      <c r="E138" s="808"/>
      <c r="F138" s="808"/>
      <c r="G138" s="808"/>
      <c r="H138" s="808"/>
    </row>
    <row r="139" spans="2:10" hidden="1" x14ac:dyDescent="0.2">
      <c r="B139" s="796" t="s">
        <v>521</v>
      </c>
      <c r="C139" s="793" t="s">
        <v>523</v>
      </c>
      <c r="D139" s="793">
        <v>2017</v>
      </c>
      <c r="E139" s="793">
        <v>2018</v>
      </c>
      <c r="F139" s="793">
        <v>2019</v>
      </c>
      <c r="G139" s="793">
        <v>2020</v>
      </c>
      <c r="H139" s="793">
        <v>2021</v>
      </c>
    </row>
    <row r="140" spans="2:10" hidden="1" x14ac:dyDescent="0.2">
      <c r="B140" s="753" t="s">
        <v>486</v>
      </c>
      <c r="D140" s="801">
        <v>2053800.0000000002</v>
      </c>
      <c r="E140" s="772">
        <v>2424600.0000000005</v>
      </c>
      <c r="F140" s="772">
        <v>2244600.0000000005</v>
      </c>
      <c r="G140" s="772">
        <v>1811400.0000000002</v>
      </c>
      <c r="H140" s="772">
        <v>1352100.0000000002</v>
      </c>
      <c r="I140" s="812"/>
    </row>
    <row r="141" spans="2:10" hidden="1" x14ac:dyDescent="0.2">
      <c r="B141" s="753" t="s">
        <v>487</v>
      </c>
      <c r="D141" s="810">
        <v>1378578.0821917809</v>
      </c>
      <c r="E141" s="815">
        <v>1627471.2328767122</v>
      </c>
      <c r="F141" s="815">
        <v>1506649.3150684931</v>
      </c>
      <c r="G141" s="815">
        <v>456572.05479452061</v>
      </c>
      <c r="H141" s="815">
        <v>340803.28767123295</v>
      </c>
      <c r="I141" s="809"/>
    </row>
    <row r="142" spans="2:10" hidden="1" x14ac:dyDescent="0.2">
      <c r="B142" s="753" t="s">
        <v>488</v>
      </c>
      <c r="C142" s="814"/>
      <c r="D142" s="814">
        <v>3.4838098558625408E-2</v>
      </c>
      <c r="E142" s="814">
        <v>3.4838098558625408E-2</v>
      </c>
      <c r="F142" s="814">
        <v>3.4838098558625408E-2</v>
      </c>
      <c r="G142" s="814">
        <v>3.4838098558625408E-2</v>
      </c>
      <c r="H142" s="814">
        <v>3.4838098558625408E-2</v>
      </c>
    </row>
    <row r="143" spans="2:10" hidden="1" x14ac:dyDescent="0.2">
      <c r="B143" s="753" t="s">
        <v>478</v>
      </c>
    </row>
    <row r="144" spans="2:10" hidden="1" x14ac:dyDescent="0.2">
      <c r="B144" s="753" t="s">
        <v>479</v>
      </c>
      <c r="D144" s="772">
        <v>-48027.039098158064</v>
      </c>
      <c r="E144" s="772">
        <v>-128248.49003199137</v>
      </c>
      <c r="F144" s="772">
        <v>-208507.73791658971</v>
      </c>
      <c r="G144" s="772">
        <v>-250122.6388536843</v>
      </c>
      <c r="H144" s="772">
        <v>-309195.20686372672</v>
      </c>
      <c r="J144" s="806"/>
    </row>
    <row r="145" spans="2:9" hidden="1" x14ac:dyDescent="0.2">
      <c r="B145" s="753" t="s">
        <v>516</v>
      </c>
      <c r="C145" s="772">
        <v>0</v>
      </c>
      <c r="D145" s="772">
        <v>2005772.9609018422</v>
      </c>
      <c r="E145" s="772">
        <v>4302124.4708698513</v>
      </c>
      <c r="F145" s="772">
        <v>6338216.7329532625</v>
      </c>
      <c r="G145" s="772">
        <v>7899494.0940995784</v>
      </c>
      <c r="H145" s="772">
        <v>8942398.887235852</v>
      </c>
    </row>
    <row r="146" spans="2:9" hidden="1" x14ac:dyDescent="0.2">
      <c r="B146" s="807" t="s">
        <v>517</v>
      </c>
      <c r="C146" s="808">
        <v>0</v>
      </c>
      <c r="D146" s="811">
        <v>2053800.0000000002</v>
      </c>
      <c r="E146" s="808">
        <v>4478400.0000000009</v>
      </c>
      <c r="F146" s="808">
        <v>6723000.0000000019</v>
      </c>
      <c r="G146" s="808">
        <v>8534400.0000000019</v>
      </c>
      <c r="H146" s="808">
        <v>9886500.0000000019</v>
      </c>
    </row>
    <row r="147" spans="2:9" hidden="1" x14ac:dyDescent="0.2">
      <c r="B147" s="753" t="s">
        <v>482</v>
      </c>
      <c r="D147" s="772">
        <v>-48027.039098158064</v>
      </c>
      <c r="E147" s="772">
        <v>-176275.52913014943</v>
      </c>
      <c r="F147" s="772">
        <v>-384783.26704673911</v>
      </c>
      <c r="G147" s="772">
        <v>-634905.90590042342</v>
      </c>
      <c r="H147" s="772">
        <v>-944101.11276415014</v>
      </c>
    </row>
    <row r="148" spans="2:9" hidden="1" x14ac:dyDescent="0.2">
      <c r="B148" s="807" t="s">
        <v>518</v>
      </c>
      <c r="C148" s="808">
        <v>0</v>
      </c>
      <c r="D148" s="811">
        <v>2005772.9609018422</v>
      </c>
      <c r="E148" s="808">
        <v>4302124.4708698513</v>
      </c>
      <c r="F148" s="808">
        <v>6338216.7329532625</v>
      </c>
      <c r="G148" s="808">
        <v>7899494.0940995784</v>
      </c>
      <c r="H148" s="808">
        <v>8942398.887235852</v>
      </c>
    </row>
    <row r="149" spans="2:9" hidden="1" x14ac:dyDescent="0.2">
      <c r="B149" s="780"/>
      <c r="C149" s="816"/>
    </row>
    <row r="150" spans="2:9" hidden="1" x14ac:dyDescent="0.2">
      <c r="B150" s="769" t="s">
        <v>524</v>
      </c>
      <c r="C150" s="817">
        <v>2016</v>
      </c>
      <c r="D150" s="817">
        <v>2017</v>
      </c>
      <c r="E150" s="817">
        <v>2018</v>
      </c>
      <c r="F150" s="817">
        <v>2019</v>
      </c>
      <c r="G150" s="817">
        <v>2020</v>
      </c>
      <c r="H150" s="817">
        <v>2021</v>
      </c>
      <c r="I150" s="753" t="s">
        <v>525</v>
      </c>
    </row>
    <row r="151" spans="2:9" hidden="1" x14ac:dyDescent="0.2">
      <c r="B151" s="753" t="s">
        <v>516</v>
      </c>
      <c r="C151" s="772"/>
      <c r="D151" s="772">
        <v>4680136.9087709645</v>
      </c>
      <c r="E151" s="772">
        <v>10038290.432029651</v>
      </c>
      <c r="F151" s="772">
        <v>14789172.376890942</v>
      </c>
      <c r="G151" s="772">
        <v>18432152.886232346</v>
      </c>
      <c r="H151" s="772">
        <v>20865597.403550316</v>
      </c>
    </row>
    <row r="152" spans="2:9" hidden="1" x14ac:dyDescent="0.2">
      <c r="B152" s="753" t="s">
        <v>526</v>
      </c>
      <c r="C152" s="816"/>
      <c r="D152" s="772">
        <v>-112063.09122903545</v>
      </c>
      <c r="E152" s="772">
        <v>-299246.47674131318</v>
      </c>
      <c r="F152" s="772">
        <v>-486518.0551387092</v>
      </c>
      <c r="G152" s="772">
        <v>-583619.49065859651</v>
      </c>
      <c r="H152" s="772">
        <v>-721455.48268202879</v>
      </c>
    </row>
    <row r="153" spans="2:9" hidden="1" x14ac:dyDescent="0.2">
      <c r="B153" s="753" t="s">
        <v>517</v>
      </c>
      <c r="C153" s="816"/>
      <c r="D153" s="801">
        <v>4792200</v>
      </c>
      <c r="E153" s="772">
        <v>10449600</v>
      </c>
      <c r="F153" s="772">
        <v>15687000</v>
      </c>
      <c r="G153" s="772">
        <v>19913600</v>
      </c>
      <c r="H153" s="772">
        <v>23068500</v>
      </c>
    </row>
    <row r="154" spans="2:9" hidden="1" x14ac:dyDescent="0.2">
      <c r="B154" s="753" t="s">
        <v>487</v>
      </c>
      <c r="C154" s="816"/>
      <c r="D154" s="801">
        <v>3216682.1917808214</v>
      </c>
      <c r="E154" s="772">
        <v>3797432.8767123278</v>
      </c>
      <c r="F154" s="772">
        <v>3515515.0684931497</v>
      </c>
      <c r="G154" s="772">
        <v>1065334.7945205478</v>
      </c>
      <c r="H154" s="772">
        <v>795207.67123287672</v>
      </c>
    </row>
    <row r="155" spans="2:9" hidden="1" x14ac:dyDescent="0.2">
      <c r="B155" s="769" t="s">
        <v>524</v>
      </c>
      <c r="C155" s="817">
        <v>2016</v>
      </c>
      <c r="D155" s="817">
        <v>2017</v>
      </c>
      <c r="E155" s="817">
        <v>2018</v>
      </c>
      <c r="F155" s="817">
        <v>2019</v>
      </c>
      <c r="G155" s="817">
        <v>2020</v>
      </c>
      <c r="H155" s="817">
        <v>2021</v>
      </c>
      <c r="I155" s="753" t="s">
        <v>527</v>
      </c>
    </row>
    <row r="156" spans="2:9" hidden="1" x14ac:dyDescent="0.2">
      <c r="B156" s="753" t="s">
        <v>516</v>
      </c>
      <c r="C156" s="772"/>
      <c r="D156" s="772">
        <v>12487597.481449787</v>
      </c>
      <c r="E156" s="772">
        <v>144477018.30648628</v>
      </c>
      <c r="F156" s="772">
        <v>409936753.5822683</v>
      </c>
      <c r="G156" s="772">
        <v>627201873.73793519</v>
      </c>
      <c r="H156" s="772">
        <v>758231649.29819477</v>
      </c>
    </row>
    <row r="157" spans="2:9" hidden="1" x14ac:dyDescent="0.2">
      <c r="B157" s="753" t="s">
        <v>526</v>
      </c>
      <c r="C157" s="816"/>
      <c r="D157" s="772">
        <v>-300202.51855021284</v>
      </c>
      <c r="E157" s="772">
        <v>-3633179.174963498</v>
      </c>
      <c r="F157" s="772">
        <v>-11704864.724217962</v>
      </c>
      <c r="G157" s="772">
        <v>-16960279.844333138</v>
      </c>
      <c r="H157" s="772">
        <v>-24463324.439740442</v>
      </c>
    </row>
    <row r="158" spans="2:9" hidden="1" x14ac:dyDescent="0.2">
      <c r="B158" s="768" t="s">
        <v>517</v>
      </c>
      <c r="C158" s="818"/>
      <c r="D158" s="801">
        <v>12787800</v>
      </c>
      <c r="E158" s="801">
        <v>148410400</v>
      </c>
      <c r="F158" s="801">
        <v>425575000</v>
      </c>
      <c r="G158" s="801">
        <v>659800400</v>
      </c>
      <c r="H158" s="801">
        <v>815293500</v>
      </c>
    </row>
    <row r="159" spans="2:9" hidden="1" x14ac:dyDescent="0.2">
      <c r="B159" s="753" t="s">
        <v>487</v>
      </c>
      <c r="C159" s="816"/>
      <c r="D159" s="772">
        <v>8583591.7808219176</v>
      </c>
      <c r="E159" s="772">
        <v>91034347.94520548</v>
      </c>
      <c r="F159" s="772">
        <v>186041991.78082195</v>
      </c>
      <c r="G159" s="772">
        <v>59037635.068493158</v>
      </c>
      <c r="H159" s="772">
        <v>39192781.369863018</v>
      </c>
    </row>
    <row r="160" spans="2:9" s="784" customFormat="1" hidden="1" x14ac:dyDescent="0.2">
      <c r="C160" s="785"/>
      <c r="D160" s="785"/>
      <c r="E160" s="785"/>
      <c r="F160" s="785"/>
      <c r="G160" s="785"/>
      <c r="H160" s="785"/>
    </row>
    <row r="161" spans="2:8" s="755" customFormat="1" x14ac:dyDescent="0.2">
      <c r="B161" s="754" t="s">
        <v>357</v>
      </c>
    </row>
    <row r="162" spans="2:8" x14ac:dyDescent="0.2">
      <c r="B162" s="780"/>
      <c r="C162" s="816"/>
    </row>
    <row r="163" spans="2:8" x14ac:dyDescent="0.2">
      <c r="B163" s="769"/>
      <c r="C163" s="754">
        <v>2016</v>
      </c>
      <c r="D163" s="754">
        <v>2017</v>
      </c>
      <c r="E163" s="754">
        <v>2018</v>
      </c>
      <c r="F163" s="754">
        <v>2019</v>
      </c>
      <c r="G163" s="754">
        <v>2020</v>
      </c>
      <c r="H163" s="754">
        <v>2021</v>
      </c>
    </row>
    <row r="164" spans="2:8" x14ac:dyDescent="0.2">
      <c r="B164" s="776" t="s">
        <v>488</v>
      </c>
      <c r="C164" s="770">
        <v>2.4239702011208852E-2</v>
      </c>
      <c r="D164" s="770">
        <v>2.4239702011208852E-2</v>
      </c>
      <c r="E164" s="770">
        <v>2.4239702011208852E-2</v>
      </c>
      <c r="F164" s="770">
        <v>2.4239702011208852E-2</v>
      </c>
      <c r="G164" s="770">
        <v>2.4239702011208852E-2</v>
      </c>
      <c r="H164" s="770">
        <v>2.4239702011208852E-2</v>
      </c>
    </row>
    <row r="165" spans="2:8" x14ac:dyDescent="0.2">
      <c r="B165" s="776" t="s">
        <v>490</v>
      </c>
      <c r="C165" s="781">
        <v>0.02</v>
      </c>
      <c r="D165" s="781">
        <v>0.02</v>
      </c>
      <c r="E165" s="781">
        <v>0.02</v>
      </c>
      <c r="F165" s="781">
        <v>0.02</v>
      </c>
      <c r="G165" s="781">
        <v>0.02</v>
      </c>
      <c r="H165" s="781">
        <v>0.02</v>
      </c>
    </row>
    <row r="166" spans="2:8" x14ac:dyDescent="0.2">
      <c r="B166" s="776" t="s">
        <v>477</v>
      </c>
      <c r="C166" s="772"/>
      <c r="D166" s="772">
        <v>30496959.555</v>
      </c>
      <c r="E166" s="772">
        <v>30496959.555</v>
      </c>
      <c r="F166" s="772">
        <v>30496959.555</v>
      </c>
      <c r="G166" s="772">
        <v>30496959.555</v>
      </c>
      <c r="H166" s="772">
        <v>30496959.555</v>
      </c>
    </row>
    <row r="167" spans="2:8" x14ac:dyDescent="0.2">
      <c r="B167" s="776" t="s">
        <v>478</v>
      </c>
      <c r="C167" s="772"/>
      <c r="D167" s="772">
        <v>14766818.484999999</v>
      </c>
      <c r="E167" s="772">
        <v>14027581.273138911</v>
      </c>
      <c r="F167" s="772">
        <v>13288344.061277822</v>
      </c>
      <c r="G167" s="772">
        <v>12549106.849416733</v>
      </c>
      <c r="H167" s="772">
        <v>11809869.637555644</v>
      </c>
    </row>
    <row r="168" spans="2:8" x14ac:dyDescent="0.2">
      <c r="B168" s="776" t="s">
        <v>479</v>
      </c>
      <c r="C168" s="772"/>
      <c r="D168" s="772">
        <v>-739237.21186108852</v>
      </c>
      <c r="E168" s="772">
        <v>-739237.21186108852</v>
      </c>
      <c r="F168" s="772">
        <v>-739237.21186108852</v>
      </c>
      <c r="G168" s="772">
        <v>-739237.21186108852</v>
      </c>
      <c r="H168" s="772">
        <v>-739237.21186108852</v>
      </c>
    </row>
    <row r="169" spans="2:8" x14ac:dyDescent="0.2">
      <c r="B169" s="776" t="s">
        <v>491</v>
      </c>
      <c r="C169" s="772"/>
      <c r="D169" s="772"/>
      <c r="E169" s="772"/>
      <c r="F169" s="772"/>
      <c r="G169" s="772"/>
      <c r="H169" s="772"/>
    </row>
    <row r="170" spans="2:8" x14ac:dyDescent="0.2">
      <c r="B170" s="776" t="s">
        <v>480</v>
      </c>
      <c r="C170" s="772">
        <v>30496959.555</v>
      </c>
      <c r="D170" s="772">
        <v>30496959.555</v>
      </c>
      <c r="E170" s="772">
        <v>30496959.555</v>
      </c>
      <c r="F170" s="772">
        <v>30496959.555</v>
      </c>
      <c r="G170" s="772">
        <v>30496959.555</v>
      </c>
      <c r="H170" s="772">
        <v>30496959.555</v>
      </c>
    </row>
    <row r="171" spans="2:8" x14ac:dyDescent="0.2">
      <c r="B171" s="776" t="s">
        <v>482</v>
      </c>
      <c r="C171" s="772">
        <v>-15730141.07</v>
      </c>
      <c r="D171" s="772">
        <v>-16469378.281861089</v>
      </c>
      <c r="E171" s="772">
        <v>-17208615.493722178</v>
      </c>
      <c r="F171" s="772">
        <v>-17947852.705583267</v>
      </c>
      <c r="G171" s="772">
        <v>-18687089.917444356</v>
      </c>
      <c r="H171" s="772">
        <v>-19426327.129305445</v>
      </c>
    </row>
    <row r="172" spans="2:8" x14ac:dyDescent="0.2">
      <c r="B172" s="776" t="s">
        <v>481</v>
      </c>
      <c r="C172" s="772">
        <v>14766818.484999999</v>
      </c>
      <c r="D172" s="772">
        <v>14027581.273138911</v>
      </c>
      <c r="E172" s="772">
        <v>13288344.061277822</v>
      </c>
      <c r="F172" s="772">
        <v>12549106.849416733</v>
      </c>
      <c r="G172" s="772">
        <v>11809869.637555644</v>
      </c>
      <c r="H172" s="772">
        <v>11070632.425694555</v>
      </c>
    </row>
    <row r="173" spans="2:8" x14ac:dyDescent="0.2">
      <c r="B173" s="776"/>
      <c r="C173" s="819"/>
    </row>
    <row r="174" spans="2:8" x14ac:dyDescent="0.2">
      <c r="B174" s="820" t="s">
        <v>505</v>
      </c>
      <c r="C174" s="754">
        <v>2016</v>
      </c>
      <c r="D174" s="754">
        <v>2017</v>
      </c>
      <c r="E174" s="754">
        <v>2018</v>
      </c>
      <c r="F174" s="754">
        <v>2019</v>
      </c>
      <c r="G174" s="754">
        <v>2020</v>
      </c>
      <c r="H174" s="754">
        <v>2021</v>
      </c>
    </row>
    <row r="175" spans="2:8" x14ac:dyDescent="0.2">
      <c r="B175" s="776" t="s">
        <v>486</v>
      </c>
      <c r="C175" s="772"/>
      <c r="D175" s="772">
        <v>4052000</v>
      </c>
      <c r="E175" s="772">
        <v>6327000</v>
      </c>
      <c r="F175" s="772">
        <v>2078000</v>
      </c>
      <c r="G175" s="772">
        <v>2849000</v>
      </c>
      <c r="H175" s="772">
        <v>0</v>
      </c>
    </row>
    <row r="176" spans="2:8" x14ac:dyDescent="0.2">
      <c r="B176" s="753" t="s">
        <v>487</v>
      </c>
      <c r="C176" s="772"/>
      <c r="D176" s="772">
        <v>2719835.6164383567</v>
      </c>
      <c r="E176" s="772">
        <v>4246890.4109589048</v>
      </c>
      <c r="F176" s="772">
        <v>1394821.9178082196</v>
      </c>
      <c r="G176" s="772">
        <v>718104.10958904121</v>
      </c>
      <c r="H176" s="772">
        <v>0</v>
      </c>
    </row>
    <row r="177" spans="2:8 16384:16384" x14ac:dyDescent="0.2">
      <c r="B177" s="776" t="s">
        <v>488</v>
      </c>
      <c r="C177" s="781"/>
      <c r="D177" s="795">
        <v>3.5000000000000003E-2</v>
      </c>
      <c r="E177" s="795">
        <v>3.5000000000000003E-2</v>
      </c>
      <c r="F177" s="795">
        <v>3.5000000000000003E-2</v>
      </c>
      <c r="G177" s="795">
        <v>3.5000000000000003E-2</v>
      </c>
      <c r="H177" s="795">
        <v>3.5000000000000003E-2</v>
      </c>
    </row>
    <row r="178" spans="2:8 16384:16384" x14ac:dyDescent="0.2">
      <c r="B178" s="776" t="s">
        <v>478</v>
      </c>
      <c r="C178" s="772"/>
      <c r="D178" s="772">
        <v>0</v>
      </c>
      <c r="E178" s="772">
        <v>3956805.7534246575</v>
      </c>
      <c r="F178" s="772">
        <v>9993344.5890410952</v>
      </c>
      <c r="G178" s="772">
        <v>11659260.821917808</v>
      </c>
      <c r="H178" s="772">
        <v>14047132.17808219</v>
      </c>
    </row>
    <row r="179" spans="2:8 16384:16384" x14ac:dyDescent="0.2">
      <c r="B179" s="776" t="s">
        <v>479</v>
      </c>
      <c r="C179" s="772"/>
      <c r="D179" s="772">
        <v>-95194.246575342491</v>
      </c>
      <c r="E179" s="772">
        <v>-290461.1643835617</v>
      </c>
      <c r="F179" s="772">
        <v>-412083.76712328772</v>
      </c>
      <c r="G179" s="772">
        <v>-461128.64383561647</v>
      </c>
      <c r="H179" s="772">
        <v>-535710</v>
      </c>
    </row>
    <row r="180" spans="2:8 16384:16384" x14ac:dyDescent="0.2">
      <c r="B180" s="776" t="s">
        <v>481</v>
      </c>
      <c r="C180" s="772"/>
      <c r="D180" s="772">
        <v>3956805.7534246575</v>
      </c>
      <c r="E180" s="772">
        <v>9993344.5890410952</v>
      </c>
      <c r="F180" s="772">
        <v>11659260.821917808</v>
      </c>
      <c r="G180" s="772">
        <v>14047132.17808219</v>
      </c>
      <c r="H180" s="772">
        <v>13511422.17808219</v>
      </c>
    </row>
    <row r="181" spans="2:8 16384:16384" x14ac:dyDescent="0.2">
      <c r="B181" s="776" t="s">
        <v>480</v>
      </c>
      <c r="C181" s="772"/>
      <c r="D181" s="772">
        <v>4052000</v>
      </c>
      <c r="E181" s="772">
        <v>10379000</v>
      </c>
      <c r="F181" s="772">
        <v>12457000</v>
      </c>
      <c r="G181" s="772">
        <v>15306000</v>
      </c>
      <c r="H181" s="772">
        <v>15306000</v>
      </c>
    </row>
    <row r="182" spans="2:8 16384:16384" x14ac:dyDescent="0.2">
      <c r="B182" s="776" t="s">
        <v>482</v>
      </c>
      <c r="C182" s="772"/>
      <c r="D182" s="772">
        <v>-95194.246575342491</v>
      </c>
      <c r="E182" s="772">
        <v>-385655.41095890419</v>
      </c>
      <c r="F182" s="772">
        <v>-797739.17808219185</v>
      </c>
      <c r="G182" s="772">
        <v>-1258867.8219178084</v>
      </c>
      <c r="H182" s="772">
        <v>-1794577.8219178084</v>
      </c>
    </row>
    <row r="183" spans="2:8 16384:16384" x14ac:dyDescent="0.2">
      <c r="B183" s="776"/>
      <c r="C183" s="821"/>
      <c r="D183" s="772"/>
      <c r="E183" s="772"/>
      <c r="F183" s="772"/>
      <c r="G183" s="772"/>
      <c r="H183" s="772"/>
      <c r="XFD183" s="772"/>
    </row>
    <row r="184" spans="2:8 16384:16384" x14ac:dyDescent="0.2">
      <c r="B184" s="776" t="s">
        <v>528</v>
      </c>
      <c r="C184" s="772">
        <v>30496959.555</v>
      </c>
      <c r="D184" s="772">
        <v>34548959.555</v>
      </c>
      <c r="E184" s="772">
        <v>40875959.555</v>
      </c>
      <c r="F184" s="772">
        <v>42953959.555</v>
      </c>
      <c r="G184" s="772">
        <v>45802959.555</v>
      </c>
      <c r="H184" s="772">
        <v>45802959.555</v>
      </c>
    </row>
    <row r="185" spans="2:8 16384:16384" x14ac:dyDescent="0.2">
      <c r="B185" s="822" t="s">
        <v>529</v>
      </c>
      <c r="C185" s="823">
        <v>14766818.484999999</v>
      </c>
      <c r="D185" s="823">
        <v>17984387.02656357</v>
      </c>
      <c r="E185" s="823">
        <v>23281688.650318917</v>
      </c>
      <c r="F185" s="823">
        <v>24208367.671334542</v>
      </c>
      <c r="G185" s="823">
        <v>25857001.815637834</v>
      </c>
      <c r="H185" s="823">
        <v>24582054.603776745</v>
      </c>
    </row>
    <row r="186" spans="2:8 16384:16384" x14ac:dyDescent="0.2">
      <c r="B186" s="822" t="s">
        <v>412</v>
      </c>
      <c r="C186" s="823">
        <v>0</v>
      </c>
      <c r="D186" s="823">
        <v>-834431.45843643101</v>
      </c>
      <c r="E186" s="823">
        <v>-1029698.3762446502</v>
      </c>
      <c r="F186" s="823">
        <v>-1151320.9789843762</v>
      </c>
      <c r="G186" s="823">
        <v>-1200365.8556967049</v>
      </c>
      <c r="H186" s="823">
        <v>-1274947.2118610884</v>
      </c>
    </row>
    <row r="187" spans="2:8 16384:16384" x14ac:dyDescent="0.2">
      <c r="B187" s="784"/>
      <c r="C187" s="784"/>
    </row>
    <row r="188" spans="2:8 16384:16384" x14ac:dyDescent="0.2">
      <c r="B188" s="784"/>
      <c r="C188" s="784"/>
    </row>
    <row r="189" spans="2:8 16384:16384" s="755" customFormat="1" x14ac:dyDescent="0.2">
      <c r="B189" s="754" t="s">
        <v>396</v>
      </c>
    </row>
    <row r="190" spans="2:8 16384:16384" s="768" customFormat="1" x14ac:dyDescent="0.2">
      <c r="B190" s="767"/>
      <c r="C190" s="767"/>
      <c r="D190" s="767"/>
      <c r="E190" s="767"/>
      <c r="F190" s="767"/>
      <c r="G190" s="767"/>
      <c r="H190" s="767"/>
    </row>
    <row r="191" spans="2:8 16384:16384" x14ac:dyDescent="0.2">
      <c r="B191" s="820" t="s">
        <v>359</v>
      </c>
      <c r="C191" s="754">
        <v>2016</v>
      </c>
      <c r="D191" s="754">
        <v>2017</v>
      </c>
      <c r="E191" s="754">
        <v>2018</v>
      </c>
      <c r="F191" s="754">
        <v>2019</v>
      </c>
      <c r="G191" s="754">
        <v>2020</v>
      </c>
      <c r="H191" s="754">
        <v>2021</v>
      </c>
    </row>
    <row r="192" spans="2:8 16384:16384" x14ac:dyDescent="0.2">
      <c r="B192" s="753" t="s">
        <v>359</v>
      </c>
    </row>
    <row r="193" spans="2:9" x14ac:dyDescent="0.2">
      <c r="B193" s="753" t="s">
        <v>530</v>
      </c>
      <c r="C193" s="774">
        <v>702522925.19525671</v>
      </c>
      <c r="D193" s="772">
        <v>702522925.19525671</v>
      </c>
      <c r="E193" s="772">
        <v>702522925.19525671</v>
      </c>
      <c r="F193" s="772">
        <v>702522925.19525671</v>
      </c>
      <c r="G193" s="772">
        <v>702522925.19525671</v>
      </c>
      <c r="H193" s="772">
        <v>702522925.19525671</v>
      </c>
    </row>
    <row r="194" spans="2:9" x14ac:dyDescent="0.2">
      <c r="B194" s="753" t="s">
        <v>531</v>
      </c>
      <c r="C194" s="824">
        <v>0</v>
      </c>
      <c r="D194" s="772">
        <v>345480168</v>
      </c>
      <c r="E194" s="772">
        <v>345480168</v>
      </c>
      <c r="F194" s="772">
        <v>345480168</v>
      </c>
      <c r="G194" s="772">
        <v>345480168</v>
      </c>
      <c r="H194" s="772">
        <v>345480168</v>
      </c>
    </row>
    <row r="195" spans="2:9" x14ac:dyDescent="0.2">
      <c r="B195" s="753" t="s">
        <v>532</v>
      </c>
      <c r="C195" s="774">
        <v>96182079.935266554</v>
      </c>
      <c r="D195" s="772">
        <v>96182079.935266554</v>
      </c>
      <c r="E195" s="772">
        <v>96182079.935266554</v>
      </c>
      <c r="F195" s="772">
        <v>96182079.935266554</v>
      </c>
      <c r="G195" s="772">
        <v>96182079.935266554</v>
      </c>
      <c r="H195" s="772">
        <v>96182079.935266554</v>
      </c>
    </row>
    <row r="196" spans="2:9" x14ac:dyDescent="0.2">
      <c r="B196" s="753" t="s">
        <v>533</v>
      </c>
      <c r="C196" s="778">
        <v>0</v>
      </c>
      <c r="D196" s="772">
        <v>0</v>
      </c>
      <c r="E196" s="772">
        <v>0</v>
      </c>
      <c r="F196" s="772">
        <v>0</v>
      </c>
      <c r="G196" s="772">
        <v>0</v>
      </c>
      <c r="H196" s="772">
        <v>0</v>
      </c>
    </row>
    <row r="197" spans="2:9" ht="18.75" x14ac:dyDescent="0.3">
      <c r="B197" s="859" t="s">
        <v>534</v>
      </c>
      <c r="C197" s="860">
        <v>65601620.907903902</v>
      </c>
      <c r="D197" s="861">
        <v>69653620.907903925</v>
      </c>
      <c r="E197" s="861">
        <v>75980620.907903925</v>
      </c>
      <c r="F197" s="861">
        <v>78058620.907903925</v>
      </c>
      <c r="G197" s="861">
        <v>80907620.907903925</v>
      </c>
      <c r="H197" s="861">
        <v>80907620.907903925</v>
      </c>
    </row>
    <row r="199" spans="2:9" hidden="1" x14ac:dyDescent="0.2">
      <c r="B199" s="820" t="s">
        <v>379</v>
      </c>
      <c r="C199" s="754">
        <v>2016</v>
      </c>
      <c r="D199" s="754">
        <v>2017</v>
      </c>
      <c r="E199" s="754">
        <v>2018</v>
      </c>
      <c r="F199" s="754">
        <v>2019</v>
      </c>
      <c r="G199" s="754">
        <v>2020</v>
      </c>
      <c r="H199" s="754">
        <v>2021</v>
      </c>
    </row>
    <row r="200" spans="2:9" hidden="1" x14ac:dyDescent="0.2">
      <c r="B200" s="753" t="s">
        <v>530</v>
      </c>
      <c r="C200" s="772"/>
      <c r="D200" s="772">
        <v>0</v>
      </c>
      <c r="E200" s="772">
        <v>0</v>
      </c>
      <c r="F200" s="772">
        <v>0</v>
      </c>
      <c r="G200" s="772">
        <v>0</v>
      </c>
      <c r="H200" s="772">
        <v>0</v>
      </c>
    </row>
    <row r="201" spans="2:9" hidden="1" x14ac:dyDescent="0.2">
      <c r="B201" s="753" t="s">
        <v>531</v>
      </c>
      <c r="D201" s="772">
        <v>10734000</v>
      </c>
      <c r="E201" s="772">
        <v>133198000</v>
      </c>
      <c r="F201" s="772">
        <v>274920000</v>
      </c>
      <c r="G201" s="772">
        <v>232414000</v>
      </c>
      <c r="H201" s="772">
        <v>154141000</v>
      </c>
    </row>
    <row r="202" spans="2:9" hidden="1" x14ac:dyDescent="0.2">
      <c r="B202" s="753" t="s">
        <v>532</v>
      </c>
      <c r="C202" s="825">
        <v>0.7</v>
      </c>
      <c r="D202" s="772">
        <v>4792200</v>
      </c>
      <c r="E202" s="772">
        <v>5657400</v>
      </c>
      <c r="F202" s="772">
        <v>9018800</v>
      </c>
      <c r="G202" s="772">
        <v>5847800</v>
      </c>
      <c r="H202" s="772">
        <v>3154900</v>
      </c>
    </row>
    <row r="203" spans="2:9" hidden="1" x14ac:dyDescent="0.2">
      <c r="B203" s="753" t="s">
        <v>533</v>
      </c>
      <c r="C203" s="826">
        <v>0.30000000000000004</v>
      </c>
      <c r="D203" s="772">
        <v>2053800.0000000002</v>
      </c>
      <c r="E203" s="772">
        <v>2424600.0000000005</v>
      </c>
      <c r="F203" s="772">
        <v>3865200.0000000005</v>
      </c>
      <c r="G203" s="772">
        <v>2506200.0000000005</v>
      </c>
      <c r="H203" s="772">
        <v>1352100.0000000002</v>
      </c>
    </row>
    <row r="204" spans="2:9" hidden="1" x14ac:dyDescent="0.2">
      <c r="D204" s="772"/>
      <c r="E204" s="772"/>
      <c r="F204" s="772"/>
      <c r="G204" s="772"/>
      <c r="H204" s="772"/>
      <c r="I204" s="827"/>
    </row>
    <row r="205" spans="2:9" hidden="1" x14ac:dyDescent="0.2">
      <c r="B205" s="769" t="s">
        <v>535</v>
      </c>
      <c r="C205" s="754">
        <v>2016</v>
      </c>
      <c r="D205" s="754">
        <v>2017</v>
      </c>
      <c r="E205" s="754">
        <v>2018</v>
      </c>
      <c r="F205" s="754">
        <v>2019</v>
      </c>
      <c r="G205" s="754">
        <v>2020</v>
      </c>
      <c r="H205" s="754">
        <v>2021</v>
      </c>
      <c r="I205" s="827"/>
    </row>
    <row r="206" spans="2:9" hidden="1" x14ac:dyDescent="0.2">
      <c r="B206" s="753" t="s">
        <v>530</v>
      </c>
      <c r="D206" s="772">
        <v>0</v>
      </c>
      <c r="E206" s="772">
        <v>0</v>
      </c>
      <c r="F206" s="772">
        <v>0</v>
      </c>
      <c r="G206" s="772">
        <v>0</v>
      </c>
      <c r="H206" s="772">
        <v>0</v>
      </c>
    </row>
    <row r="207" spans="2:9" hidden="1" x14ac:dyDescent="0.2">
      <c r="B207" s="753" t="s">
        <v>531</v>
      </c>
      <c r="D207" s="772">
        <v>10734000</v>
      </c>
      <c r="E207" s="772">
        <v>143932000</v>
      </c>
      <c r="F207" s="772">
        <v>418852000</v>
      </c>
      <c r="G207" s="772">
        <v>651266000</v>
      </c>
      <c r="H207" s="772">
        <v>805407000</v>
      </c>
    </row>
    <row r="208" spans="2:9" hidden="1" x14ac:dyDescent="0.2">
      <c r="B208" s="753" t="s">
        <v>532</v>
      </c>
      <c r="D208" s="772">
        <v>4792200</v>
      </c>
      <c r="E208" s="772">
        <v>10449600</v>
      </c>
      <c r="F208" s="772">
        <v>19468400</v>
      </c>
      <c r="G208" s="772">
        <v>25316200</v>
      </c>
      <c r="H208" s="772">
        <v>28471100</v>
      </c>
    </row>
    <row r="209" spans="2:8" hidden="1" x14ac:dyDescent="0.2">
      <c r="B209" s="753" t="s">
        <v>533</v>
      </c>
      <c r="D209" s="772">
        <v>2053800.0000000002</v>
      </c>
      <c r="E209" s="772">
        <v>4478400.0000000009</v>
      </c>
      <c r="F209" s="772">
        <v>8343600.0000000019</v>
      </c>
      <c r="G209" s="772">
        <v>10849800.000000002</v>
      </c>
      <c r="H209" s="772">
        <v>12201900.000000002</v>
      </c>
    </row>
    <row r="210" spans="2:8" hidden="1" x14ac:dyDescent="0.2">
      <c r="D210" s="772"/>
      <c r="E210" s="772"/>
      <c r="F210" s="772"/>
      <c r="G210" s="772"/>
      <c r="H210" s="772"/>
    </row>
    <row r="211" spans="2:8" hidden="1" x14ac:dyDescent="0.2">
      <c r="B211" s="769" t="s">
        <v>536</v>
      </c>
      <c r="C211" s="754">
        <v>2016</v>
      </c>
      <c r="D211" s="754">
        <v>2017</v>
      </c>
      <c r="E211" s="754">
        <v>2018</v>
      </c>
      <c r="F211" s="754">
        <v>2019</v>
      </c>
      <c r="G211" s="754">
        <v>2020</v>
      </c>
      <c r="H211" s="754">
        <v>2021</v>
      </c>
    </row>
    <row r="212" spans="2:8" hidden="1" x14ac:dyDescent="0.2">
      <c r="B212" s="753" t="s">
        <v>530</v>
      </c>
      <c r="D212" s="772">
        <v>0</v>
      </c>
      <c r="E212" s="772">
        <v>0</v>
      </c>
      <c r="F212" s="772">
        <v>0</v>
      </c>
      <c r="G212" s="772">
        <v>0</v>
      </c>
      <c r="H212" s="772">
        <v>0</v>
      </c>
    </row>
    <row r="213" spans="2:8" hidden="1" x14ac:dyDescent="0.2">
      <c r="B213" s="753" t="s">
        <v>531</v>
      </c>
      <c r="D213" s="772">
        <v>7205013.6986301364</v>
      </c>
      <c r="E213" s="772">
        <v>89406876.712328762</v>
      </c>
      <c r="F213" s="772">
        <v>184535342.46575347</v>
      </c>
      <c r="G213" s="772">
        <v>58581063.013698637</v>
      </c>
      <c r="H213" s="772">
        <v>38851978.082191788</v>
      </c>
    </row>
    <row r="214" spans="2:8" hidden="1" x14ac:dyDescent="0.2">
      <c r="B214" s="753" t="s">
        <v>532</v>
      </c>
      <c r="D214" s="772">
        <v>3216682.1917808214</v>
      </c>
      <c r="E214" s="772">
        <v>3797432.8767123278</v>
      </c>
      <c r="F214" s="772">
        <v>6053715.0684931502</v>
      </c>
      <c r="G214" s="772">
        <v>1473966.0273972603</v>
      </c>
      <c r="H214" s="772">
        <v>795207.67123287672</v>
      </c>
    </row>
    <row r="215" spans="2:8" hidden="1" x14ac:dyDescent="0.2">
      <c r="B215" s="753" t="s">
        <v>533</v>
      </c>
      <c r="D215" s="772">
        <v>1378578.0821917809</v>
      </c>
      <c r="E215" s="772">
        <v>1627471.2328767122</v>
      </c>
      <c r="F215" s="772">
        <v>4044849.3150684931</v>
      </c>
      <c r="G215" s="772">
        <v>865203.28767123306</v>
      </c>
      <c r="H215" s="772">
        <v>340803.28767123295</v>
      </c>
    </row>
    <row r="216" spans="2:8" hidden="1" x14ac:dyDescent="0.2"/>
    <row r="217" spans="2:8" hidden="1" x14ac:dyDescent="0.2">
      <c r="B217" s="769"/>
      <c r="C217" s="754"/>
      <c r="D217" s="817" t="s">
        <v>537</v>
      </c>
      <c r="E217" s="817" t="s">
        <v>538</v>
      </c>
      <c r="F217" s="817" t="s">
        <v>539</v>
      </c>
      <c r="G217" s="817" t="s">
        <v>540</v>
      </c>
      <c r="H217" s="817" t="s">
        <v>541</v>
      </c>
    </row>
    <row r="218" spans="2:8" hidden="1" x14ac:dyDescent="0.2"/>
    <row r="219" spans="2:8" hidden="1" x14ac:dyDescent="0.2">
      <c r="B219" s="828" t="s">
        <v>515</v>
      </c>
      <c r="C219" s="829"/>
      <c r="D219" s="829"/>
      <c r="E219" s="829"/>
      <c r="F219" s="829"/>
      <c r="G219" s="829"/>
      <c r="H219" s="829"/>
    </row>
    <row r="220" spans="2:8" hidden="1" x14ac:dyDescent="0.2">
      <c r="B220" s="753" t="s">
        <v>542</v>
      </c>
      <c r="E220" s="772">
        <v>0</v>
      </c>
      <c r="F220" s="772">
        <v>0</v>
      </c>
      <c r="G220" s="772">
        <v>0</v>
      </c>
      <c r="H220" s="772">
        <v>0</v>
      </c>
    </row>
    <row r="221" spans="2:8" hidden="1" x14ac:dyDescent="0.2">
      <c r="B221" s="753" t="s">
        <v>543</v>
      </c>
      <c r="D221" s="810">
        <v>0</v>
      </c>
      <c r="E221" s="815">
        <v>0</v>
      </c>
      <c r="F221" s="815">
        <v>0</v>
      </c>
      <c r="G221" s="815">
        <v>0</v>
      </c>
      <c r="H221" s="815">
        <v>0</v>
      </c>
    </row>
    <row r="222" spans="2:8" hidden="1" x14ac:dyDescent="0.2">
      <c r="B222" s="828" t="s">
        <v>544</v>
      </c>
      <c r="C222" s="829"/>
      <c r="D222" s="829"/>
      <c r="E222" s="829"/>
      <c r="F222" s="829"/>
      <c r="G222" s="829"/>
      <c r="H222" s="829"/>
    </row>
    <row r="223" spans="2:8" hidden="1" x14ac:dyDescent="0.2">
      <c r="B223" s="753" t="s">
        <v>542</v>
      </c>
      <c r="E223" s="772">
        <v>3528986.3013698636</v>
      </c>
      <c r="F223" s="772">
        <v>43791123.287671238</v>
      </c>
      <c r="G223" s="772">
        <v>90384657.534246534</v>
      </c>
      <c r="H223" s="772">
        <v>173832936.98630136</v>
      </c>
    </row>
    <row r="224" spans="2:8" hidden="1" x14ac:dyDescent="0.2">
      <c r="B224" s="753" t="s">
        <v>543</v>
      </c>
      <c r="D224" s="810">
        <v>7205013.6986301364</v>
      </c>
      <c r="E224" s="815">
        <v>89406876.712328762</v>
      </c>
      <c r="F224" s="815">
        <v>184535342.46575347</v>
      </c>
      <c r="G224" s="815">
        <v>58581063.013698637</v>
      </c>
      <c r="H224" s="815">
        <v>38851978.082191788</v>
      </c>
    </row>
    <row r="225" spans="2:36" hidden="1" x14ac:dyDescent="0.2">
      <c r="B225" s="828" t="s">
        <v>545</v>
      </c>
      <c r="C225" s="829"/>
      <c r="D225" s="829"/>
      <c r="E225" s="829"/>
      <c r="F225" s="829"/>
      <c r="G225" s="829"/>
      <c r="H225" s="829"/>
    </row>
    <row r="226" spans="2:36" hidden="1" x14ac:dyDescent="0.2">
      <c r="B226" s="753" t="s">
        <v>542</v>
      </c>
      <c r="E226" s="772">
        <v>1575517.8082191786</v>
      </c>
      <c r="F226" s="772">
        <v>1859967.1232876722</v>
      </c>
      <c r="G226" s="772">
        <v>1721884.9315068503</v>
      </c>
      <c r="H226" s="772">
        <v>3161265.2054794524</v>
      </c>
    </row>
    <row r="227" spans="2:36" hidden="1" x14ac:dyDescent="0.2">
      <c r="B227" s="753" t="s">
        <v>543</v>
      </c>
      <c r="D227" s="810">
        <v>3216682.1917808214</v>
      </c>
      <c r="E227" s="815">
        <v>3797432.8767123278</v>
      </c>
      <c r="F227" s="815">
        <v>3515515.0684931497</v>
      </c>
      <c r="G227" s="815">
        <v>1065334.7945205478</v>
      </c>
      <c r="H227" s="815">
        <v>795207.67123287672</v>
      </c>
    </row>
    <row r="228" spans="2:36" hidden="1" x14ac:dyDescent="0.2">
      <c r="B228" s="828" t="s">
        <v>546</v>
      </c>
      <c r="C228" s="829"/>
      <c r="D228" s="829"/>
      <c r="E228" s="829"/>
      <c r="F228" s="829"/>
      <c r="G228" s="829"/>
      <c r="H228" s="829"/>
    </row>
    <row r="229" spans="2:36" hidden="1" x14ac:dyDescent="0.2">
      <c r="B229" s="753" t="s">
        <v>542</v>
      </c>
      <c r="E229" s="772">
        <v>675221.91780821932</v>
      </c>
      <c r="F229" s="772">
        <v>797128.76712328824</v>
      </c>
      <c r="G229" s="772">
        <v>737950.68493150733</v>
      </c>
      <c r="H229" s="772">
        <v>1354827.9452054796</v>
      </c>
    </row>
    <row r="230" spans="2:36" hidden="1" x14ac:dyDescent="0.2">
      <c r="B230" s="753" t="s">
        <v>543</v>
      </c>
      <c r="D230" s="810">
        <v>1378578.0821917809</v>
      </c>
      <c r="E230" s="815">
        <v>1627471.2328767122</v>
      </c>
      <c r="F230" s="815">
        <v>1506649.3150684931</v>
      </c>
      <c r="G230" s="815">
        <v>456572.05479452061</v>
      </c>
      <c r="H230" s="815">
        <v>340803.28767123295</v>
      </c>
    </row>
    <row r="231" spans="2:36" hidden="1" x14ac:dyDescent="0.2">
      <c r="D231" s="810"/>
      <c r="E231" s="815"/>
      <c r="F231" s="815"/>
      <c r="G231" s="815"/>
      <c r="H231" s="815"/>
    </row>
    <row r="232" spans="2:36" hidden="1" x14ac:dyDescent="0.2">
      <c r="B232" s="828" t="s">
        <v>515</v>
      </c>
      <c r="C232" s="829"/>
      <c r="D232" s="829"/>
      <c r="E232" s="829"/>
      <c r="F232" s="829"/>
      <c r="G232" s="829"/>
      <c r="H232" s="829"/>
    </row>
    <row r="233" spans="2:36" hidden="1" x14ac:dyDescent="0.2">
      <c r="B233" s="753" t="s">
        <v>547</v>
      </c>
      <c r="D233" s="830"/>
      <c r="E233" s="831">
        <v>0.75</v>
      </c>
      <c r="F233" s="831">
        <v>0.75</v>
      </c>
      <c r="G233" s="831">
        <v>0.75</v>
      </c>
      <c r="H233" s="831">
        <v>0.75</v>
      </c>
    </row>
    <row r="234" spans="2:36" hidden="1" x14ac:dyDescent="0.2">
      <c r="B234" s="753" t="s">
        <v>548</v>
      </c>
      <c r="D234" s="830"/>
      <c r="E234" s="831">
        <v>0.25</v>
      </c>
      <c r="F234" s="831">
        <v>0.25</v>
      </c>
      <c r="G234" s="831">
        <v>0.25</v>
      </c>
      <c r="H234" s="831">
        <v>0.25</v>
      </c>
    </row>
    <row r="235" spans="2:36" hidden="1" x14ac:dyDescent="0.2">
      <c r="B235" s="828" t="s">
        <v>544</v>
      </c>
      <c r="C235" s="829"/>
      <c r="D235" s="829"/>
      <c r="E235" s="829"/>
      <c r="F235" s="829"/>
      <c r="G235" s="829"/>
      <c r="H235" s="829"/>
    </row>
    <row r="236" spans="2:36" hidden="1" x14ac:dyDescent="0.2">
      <c r="B236" s="753" t="s">
        <v>547</v>
      </c>
      <c r="D236" s="830"/>
      <c r="E236" s="831">
        <v>0.75</v>
      </c>
      <c r="F236" s="831">
        <v>0.75</v>
      </c>
      <c r="G236" s="831">
        <v>0.75</v>
      </c>
      <c r="H236" s="831">
        <v>0.75</v>
      </c>
    </row>
    <row r="237" spans="2:36" hidden="1" x14ac:dyDescent="0.2">
      <c r="B237" s="753" t="s">
        <v>548</v>
      </c>
      <c r="D237" s="830"/>
      <c r="E237" s="831">
        <v>0.25</v>
      </c>
      <c r="F237" s="831">
        <v>0.25</v>
      </c>
      <c r="G237" s="831">
        <v>0.25</v>
      </c>
      <c r="H237" s="831">
        <v>0.25</v>
      </c>
    </row>
    <row r="238" spans="2:36" hidden="1" x14ac:dyDescent="0.2">
      <c r="B238" s="828" t="s">
        <v>545</v>
      </c>
      <c r="C238" s="829"/>
      <c r="D238" s="829"/>
      <c r="E238" s="832"/>
      <c r="F238" s="832"/>
      <c r="G238" s="832"/>
      <c r="H238" s="832"/>
    </row>
    <row r="239" spans="2:36" hidden="1" x14ac:dyDescent="0.2">
      <c r="B239" s="753" t="s">
        <v>547</v>
      </c>
      <c r="D239" s="830"/>
      <c r="E239" s="831">
        <v>0.75</v>
      </c>
      <c r="F239" s="831">
        <v>0.75</v>
      </c>
      <c r="G239" s="831">
        <v>0.75</v>
      </c>
      <c r="H239" s="831">
        <v>0.75</v>
      </c>
    </row>
    <row r="240" spans="2:36" hidden="1" x14ac:dyDescent="0.2">
      <c r="B240" s="753" t="s">
        <v>548</v>
      </c>
      <c r="D240" s="830"/>
      <c r="E240" s="831">
        <v>0.25</v>
      </c>
      <c r="F240" s="831">
        <v>0.25</v>
      </c>
      <c r="G240" s="831">
        <v>0.25</v>
      </c>
      <c r="H240" s="831">
        <v>0.25</v>
      </c>
      <c r="AH240" s="753" t="s">
        <v>44</v>
      </c>
      <c r="AI240" s="753">
        <v>2016</v>
      </c>
      <c r="AJ240" s="753" t="s">
        <v>549</v>
      </c>
    </row>
    <row r="241" spans="2:36" hidden="1" x14ac:dyDescent="0.2">
      <c r="B241" s="828" t="s">
        <v>546</v>
      </c>
      <c r="C241" s="829"/>
      <c r="D241" s="829"/>
      <c r="E241" s="829"/>
      <c r="F241" s="829"/>
      <c r="G241" s="829"/>
      <c r="H241" s="829"/>
      <c r="AH241" s="753" t="s">
        <v>550</v>
      </c>
      <c r="AI241" s="833">
        <v>694913522.67720389</v>
      </c>
      <c r="AJ241" s="775">
        <v>0.87005029167638925</v>
      </c>
    </row>
    <row r="242" spans="2:36" hidden="1" x14ac:dyDescent="0.2">
      <c r="B242" s="753" t="s">
        <v>547</v>
      </c>
      <c r="D242" s="830"/>
      <c r="E242" s="831">
        <v>0.75</v>
      </c>
      <c r="F242" s="831">
        <v>0.75</v>
      </c>
      <c r="G242" s="831">
        <v>0.75</v>
      </c>
      <c r="H242" s="831">
        <v>0.75</v>
      </c>
      <c r="AH242" s="753" t="s">
        <v>551</v>
      </c>
      <c r="AI242" s="833">
        <v>103791482.45331949</v>
      </c>
      <c r="AJ242" s="775">
        <v>0.12994970832361066</v>
      </c>
    </row>
    <row r="243" spans="2:36" hidden="1" x14ac:dyDescent="0.2">
      <c r="B243" s="753" t="s">
        <v>548</v>
      </c>
      <c r="D243" s="830"/>
      <c r="E243" s="831">
        <v>0.25</v>
      </c>
      <c r="F243" s="831">
        <v>0.25</v>
      </c>
      <c r="G243" s="831">
        <v>0.25</v>
      </c>
      <c r="H243" s="831">
        <v>0.25</v>
      </c>
      <c r="AH243" s="753" t="s">
        <v>417</v>
      </c>
      <c r="AI243" s="833">
        <v>798705005.13052344</v>
      </c>
    </row>
    <row r="244" spans="2:36" hidden="1" x14ac:dyDescent="0.2">
      <c r="D244" s="830"/>
      <c r="E244" s="830"/>
      <c r="F244" s="830"/>
      <c r="G244" s="830"/>
      <c r="H244" s="830"/>
    </row>
    <row r="245" spans="2:36" hidden="1" x14ac:dyDescent="0.2">
      <c r="B245" s="834" t="s">
        <v>552</v>
      </c>
      <c r="C245" s="834"/>
      <c r="D245" s="835"/>
      <c r="E245" s="836">
        <v>2130996.5753424661</v>
      </c>
      <c r="F245" s="836">
        <v>2273854.1095890417</v>
      </c>
      <c r="G245" s="836">
        <v>1557747.3972602747</v>
      </c>
      <c r="H245" s="836">
        <v>2569750.8219178086</v>
      </c>
    </row>
    <row r="246" spans="2:36" hidden="1" x14ac:dyDescent="0.2">
      <c r="B246" s="834" t="s">
        <v>553</v>
      </c>
      <c r="C246" s="834"/>
      <c r="D246" s="835"/>
      <c r="E246" s="836">
        <v>25911743.15068493</v>
      </c>
      <c r="F246" s="836">
        <v>79951686.986301377</v>
      </c>
      <c r="G246" s="836">
        <v>83101364.931506813</v>
      </c>
      <c r="H246" s="836">
        <v>141189019.04109588</v>
      </c>
    </row>
    <row r="248" spans="2:36" s="755" customFormat="1" hidden="1" x14ac:dyDescent="0.2">
      <c r="B248" s="754" t="s">
        <v>554</v>
      </c>
    </row>
    <row r="249" spans="2:36" hidden="1" x14ac:dyDescent="0.2"/>
    <row r="250" spans="2:36" hidden="1" x14ac:dyDescent="0.2">
      <c r="B250" s="769"/>
      <c r="C250" s="754">
        <v>2016</v>
      </c>
      <c r="D250" s="754">
        <v>2017</v>
      </c>
      <c r="E250" s="754">
        <v>2018</v>
      </c>
      <c r="F250" s="754">
        <v>2019</v>
      </c>
      <c r="G250" s="754">
        <v>2020</v>
      </c>
      <c r="H250" s="754">
        <v>2021</v>
      </c>
    </row>
    <row r="251" spans="2:36" hidden="1" x14ac:dyDescent="0.2">
      <c r="B251" s="784" t="s">
        <v>488</v>
      </c>
      <c r="C251" s="837">
        <v>3.5000000000000003E-2</v>
      </c>
      <c r="D251" s="838">
        <v>3.5000000000000003E-2</v>
      </c>
      <c r="E251" s="838">
        <v>3.5000000000000003E-2</v>
      </c>
      <c r="F251" s="838">
        <v>3.5000000000000003E-2</v>
      </c>
      <c r="G251" s="838">
        <v>3.5000000000000003E-2</v>
      </c>
      <c r="H251" s="838">
        <v>3.5000000000000003E-2</v>
      </c>
    </row>
    <row r="252" spans="2:36" hidden="1" x14ac:dyDescent="0.2">
      <c r="B252" s="784" t="s">
        <v>490</v>
      </c>
      <c r="C252" s="837">
        <v>3.5000000000000003E-2</v>
      </c>
      <c r="D252" s="838">
        <v>3.5000000000000003E-2</v>
      </c>
      <c r="E252" s="838">
        <v>3.5000000000000003E-2</v>
      </c>
      <c r="F252" s="838">
        <v>3.5000000000000003E-2</v>
      </c>
      <c r="G252" s="838">
        <v>3.5000000000000003E-2</v>
      </c>
      <c r="H252" s="838">
        <v>3.5000000000000003E-2</v>
      </c>
    </row>
    <row r="253" spans="2:36" hidden="1" x14ac:dyDescent="0.2">
      <c r="B253" s="784" t="s">
        <v>477</v>
      </c>
      <c r="C253" s="772"/>
      <c r="D253" s="772">
        <v>0</v>
      </c>
      <c r="E253" s="772">
        <v>0</v>
      </c>
      <c r="F253" s="772">
        <v>0</v>
      </c>
      <c r="G253" s="772">
        <v>0</v>
      </c>
      <c r="H253" s="772">
        <v>0</v>
      </c>
    </row>
    <row r="254" spans="2:36" hidden="1" x14ac:dyDescent="0.2">
      <c r="B254" s="784" t="s">
        <v>478</v>
      </c>
      <c r="C254" s="772"/>
      <c r="D254" s="772">
        <v>0</v>
      </c>
      <c r="E254" s="772">
        <v>0</v>
      </c>
      <c r="F254" s="772">
        <v>0</v>
      </c>
      <c r="G254" s="772">
        <v>0</v>
      </c>
      <c r="H254" s="772">
        <v>0</v>
      </c>
    </row>
    <row r="255" spans="2:36" hidden="1" x14ac:dyDescent="0.2">
      <c r="B255" s="784" t="s">
        <v>479</v>
      </c>
      <c r="C255" s="772"/>
      <c r="D255" s="772">
        <v>0</v>
      </c>
      <c r="E255" s="772">
        <v>0</v>
      </c>
      <c r="F255" s="772">
        <v>0</v>
      </c>
      <c r="G255" s="772">
        <v>0</v>
      </c>
      <c r="H255" s="772">
        <v>0</v>
      </c>
    </row>
    <row r="256" spans="2:36" hidden="1" x14ac:dyDescent="0.2">
      <c r="B256" s="784" t="s">
        <v>491</v>
      </c>
      <c r="C256" s="772"/>
      <c r="D256" s="772"/>
      <c r="E256" s="772"/>
      <c r="F256" s="772"/>
      <c r="G256" s="772"/>
      <c r="H256" s="772"/>
    </row>
    <row r="257" spans="2:8" hidden="1" x14ac:dyDescent="0.2">
      <c r="B257" s="784" t="s">
        <v>480</v>
      </c>
      <c r="C257" s="774">
        <v>0</v>
      </c>
      <c r="D257" s="824">
        <v>0</v>
      </c>
      <c r="E257" s="824">
        <v>0</v>
      </c>
      <c r="F257" s="824">
        <v>0</v>
      </c>
      <c r="G257" s="824">
        <v>0</v>
      </c>
      <c r="H257" s="824">
        <v>0</v>
      </c>
    </row>
    <row r="258" spans="2:8" hidden="1" x14ac:dyDescent="0.2">
      <c r="B258" s="784" t="s">
        <v>481</v>
      </c>
      <c r="C258" s="774">
        <v>0</v>
      </c>
      <c r="D258" s="772">
        <v>0</v>
      </c>
      <c r="E258" s="772">
        <v>0</v>
      </c>
      <c r="F258" s="772">
        <v>0</v>
      </c>
      <c r="G258" s="772">
        <v>0</v>
      </c>
      <c r="H258" s="772">
        <v>0</v>
      </c>
    </row>
    <row r="259" spans="2:8" hidden="1" x14ac:dyDescent="0.2">
      <c r="B259" s="784" t="s">
        <v>482</v>
      </c>
      <c r="C259" s="774">
        <v>0</v>
      </c>
      <c r="D259" s="772">
        <v>0</v>
      </c>
      <c r="E259" s="772">
        <v>0</v>
      </c>
      <c r="F259" s="772">
        <v>0</v>
      </c>
      <c r="G259" s="772">
        <v>0</v>
      </c>
      <c r="H259" s="772">
        <v>0</v>
      </c>
    </row>
    <row r="260" spans="2:8" hidden="1" x14ac:dyDescent="0.2">
      <c r="B260" s="784" t="s">
        <v>483</v>
      </c>
      <c r="C260" s="772">
        <v>0</v>
      </c>
      <c r="D260" s="772">
        <v>0</v>
      </c>
      <c r="E260" s="772">
        <v>0</v>
      </c>
      <c r="F260" s="772">
        <v>0</v>
      </c>
      <c r="G260" s="772">
        <v>0</v>
      </c>
      <c r="H260" s="772">
        <v>0</v>
      </c>
    </row>
    <row r="261" spans="2:8" hidden="1" x14ac:dyDescent="0.2"/>
    <row r="262" spans="2:8" x14ac:dyDescent="0.2">
      <c r="B262" s="820" t="s">
        <v>555</v>
      </c>
      <c r="C262" s="754">
        <v>2016</v>
      </c>
      <c r="D262" s="754">
        <v>2017</v>
      </c>
      <c r="E262" s="754">
        <v>2018</v>
      </c>
      <c r="F262" s="754">
        <v>2019</v>
      </c>
      <c r="G262" s="754">
        <v>2020</v>
      </c>
      <c r="H262" s="754">
        <v>2021</v>
      </c>
    </row>
    <row r="264" spans="2:8" x14ac:dyDescent="0.2">
      <c r="B264" s="753" t="s">
        <v>556</v>
      </c>
      <c r="C264" s="772">
        <v>702522925.19525671</v>
      </c>
      <c r="D264" s="772">
        <v>702522925.19525671</v>
      </c>
      <c r="E264" s="772">
        <v>702522925.19525671</v>
      </c>
      <c r="F264" s="772">
        <v>702522925.19525671</v>
      </c>
      <c r="G264" s="772">
        <v>702522925.19525671</v>
      </c>
      <c r="H264" s="772">
        <v>702522925.19525671</v>
      </c>
    </row>
    <row r="265" spans="2:8" x14ac:dyDescent="0.2">
      <c r="B265" s="753" t="s">
        <v>557</v>
      </c>
      <c r="C265" s="772">
        <v>59509771.119677946</v>
      </c>
      <c r="D265" s="772">
        <v>37090475.407267749</v>
      </c>
      <c r="E265" s="772">
        <v>35820847.100850888</v>
      </c>
      <c r="F265" s="772">
        <v>35313189.171780929</v>
      </c>
      <c r="G265" s="772">
        <v>35031801.633953579</v>
      </c>
      <c r="H265" s="772">
        <v>35569435.555025764</v>
      </c>
    </row>
    <row r="266" spans="2:8" x14ac:dyDescent="0.2">
      <c r="B266" s="753" t="s">
        <v>558</v>
      </c>
      <c r="C266" s="772">
        <v>36672308.815588608</v>
      </c>
      <c r="D266" s="772">
        <v>36672308.815588608</v>
      </c>
      <c r="E266" s="772">
        <v>36672308.815588608</v>
      </c>
      <c r="F266" s="772">
        <v>36672308.815588608</v>
      </c>
      <c r="G266" s="772">
        <v>36672308.815588608</v>
      </c>
      <c r="H266" s="772">
        <v>36672308.815588608</v>
      </c>
    </row>
    <row r="267" spans="2:8" x14ac:dyDescent="0.2">
      <c r="B267" s="839" t="s">
        <v>559</v>
      </c>
      <c r="C267" s="840">
        <v>798705005.1305232</v>
      </c>
      <c r="D267" s="840">
        <v>776285709.41811311</v>
      </c>
      <c r="E267" s="840">
        <v>775016081.11169624</v>
      </c>
      <c r="F267" s="840">
        <v>774508423.18262625</v>
      </c>
      <c r="G267" s="840">
        <v>774227035.64479887</v>
      </c>
      <c r="H267" s="840">
        <v>774764669.56587112</v>
      </c>
    </row>
    <row r="268" spans="2:8" x14ac:dyDescent="0.2">
      <c r="B268" s="753" t="s">
        <v>560</v>
      </c>
      <c r="C268" s="772"/>
      <c r="D268" s="772">
        <v>1842000</v>
      </c>
      <c r="E268" s="772">
        <v>91709000</v>
      </c>
      <c r="F268" s="772">
        <v>193381000</v>
      </c>
      <c r="G268" s="772">
        <v>74963000</v>
      </c>
      <c r="H268" s="772">
        <v>764000</v>
      </c>
    </row>
    <row r="269" spans="2:8" ht="18.75" x14ac:dyDescent="0.3">
      <c r="B269" s="753" t="s">
        <v>561</v>
      </c>
      <c r="C269" s="858">
        <v>65601620.907903925</v>
      </c>
      <c r="D269" s="772">
        <v>65605672.907903925</v>
      </c>
      <c r="E269" s="772">
        <v>65611999.907903925</v>
      </c>
      <c r="F269" s="772">
        <v>65614077.907903925</v>
      </c>
      <c r="G269" s="772">
        <v>65616926.907903925</v>
      </c>
      <c r="H269" s="772">
        <v>65616926.907903925</v>
      </c>
    </row>
    <row r="270" spans="2:8" x14ac:dyDescent="0.2">
      <c r="B270" s="841" t="s">
        <v>1</v>
      </c>
      <c r="C270" s="842">
        <v>864306626.03842711</v>
      </c>
      <c r="D270" s="842">
        <v>843733382.32601702</v>
      </c>
      <c r="E270" s="842">
        <v>932337081.01960015</v>
      </c>
      <c r="F270" s="842">
        <v>1033503501.0905302</v>
      </c>
      <c r="G270" s="842">
        <v>914806962.55270278</v>
      </c>
      <c r="H270" s="842">
        <v>841145596.47377503</v>
      </c>
    </row>
    <row r="272" spans="2:8" s="755" customFormat="1" x14ac:dyDescent="0.2">
      <c r="B272" s="754" t="s">
        <v>562</v>
      </c>
    </row>
    <row r="273" spans="2:8" ht="15.75" x14ac:dyDescent="0.25">
      <c r="B273" s="843"/>
      <c r="C273" s="844"/>
      <c r="D273" s="844"/>
      <c r="E273" s="844"/>
      <c r="F273" s="844"/>
    </row>
    <row r="274" spans="2:8" x14ac:dyDescent="0.2">
      <c r="B274" s="845" t="s">
        <v>563</v>
      </c>
      <c r="C274" s="846" t="s">
        <v>564</v>
      </c>
      <c r="D274" s="847">
        <v>13366831.17</v>
      </c>
      <c r="E274" s="844"/>
      <c r="F274" s="844"/>
      <c r="G274" s="848"/>
      <c r="H274" s="848"/>
    </row>
    <row r="275" spans="2:8" x14ac:dyDescent="0.2">
      <c r="B275" s="845" t="s">
        <v>565</v>
      </c>
      <c r="C275" s="846" t="s">
        <v>566</v>
      </c>
      <c r="D275" s="849">
        <v>1.9107183478632885</v>
      </c>
      <c r="E275" s="844"/>
      <c r="F275" s="844"/>
      <c r="G275" s="848"/>
      <c r="H275" s="850"/>
    </row>
    <row r="276" spans="2:8" x14ac:dyDescent="0.2">
      <c r="B276" s="845" t="s">
        <v>567</v>
      </c>
      <c r="C276" s="846" t="s">
        <v>564</v>
      </c>
      <c r="D276" s="847">
        <v>25540249.569309909</v>
      </c>
      <c r="E276" s="844"/>
      <c r="F276" s="851"/>
      <c r="G276" s="848"/>
      <c r="H276" s="850"/>
    </row>
    <row r="277" spans="2:8" x14ac:dyDescent="0.2">
      <c r="B277" s="845" t="s">
        <v>568</v>
      </c>
      <c r="C277" s="852" t="s">
        <v>19</v>
      </c>
      <c r="D277" s="853">
        <v>0.1</v>
      </c>
      <c r="E277" s="851"/>
      <c r="F277" s="851"/>
      <c r="G277" s="848"/>
      <c r="H277" s="850"/>
    </row>
    <row r="278" spans="2:8" x14ac:dyDescent="0.2">
      <c r="F278" s="844"/>
      <c r="G278" s="844"/>
      <c r="H278" s="844"/>
    </row>
    <row r="279" spans="2:8" x14ac:dyDescent="0.2">
      <c r="B279" s="820" t="s">
        <v>569</v>
      </c>
      <c r="C279" s="754">
        <v>2016</v>
      </c>
      <c r="D279" s="754">
        <v>2017</v>
      </c>
      <c r="E279" s="754">
        <v>2018</v>
      </c>
      <c r="F279" s="754">
        <v>2019</v>
      </c>
      <c r="G279" s="754">
        <v>2020</v>
      </c>
      <c r="H279" s="754">
        <v>2021</v>
      </c>
    </row>
    <row r="280" spans="2:8" x14ac:dyDescent="0.2">
      <c r="B280" s="854" t="s">
        <v>570</v>
      </c>
      <c r="C280" s="847">
        <v>381041599.13403386</v>
      </c>
      <c r="D280" s="847">
        <v>726521767.1340338</v>
      </c>
      <c r="E280" s="847">
        <v>726521767.1340338</v>
      </c>
      <c r="F280" s="847">
        <v>726521767.1340338</v>
      </c>
      <c r="G280" s="847">
        <v>726521767.1340338</v>
      </c>
      <c r="H280" s="847">
        <v>726521767.1340338</v>
      </c>
    </row>
    <row r="281" spans="2:8" x14ac:dyDescent="0.2">
      <c r="B281" s="854" t="s">
        <v>571</v>
      </c>
      <c r="C281" s="855">
        <v>32277520.829999998</v>
      </c>
      <c r="D281" s="855">
        <v>38357520.829999998</v>
      </c>
      <c r="E281" s="855">
        <v>37044520.829999998</v>
      </c>
      <c r="F281" s="855">
        <v>36519520.829999998</v>
      </c>
      <c r="G281" s="855">
        <v>36228520.829999998</v>
      </c>
      <c r="H281" s="855">
        <v>36784520.829999998</v>
      </c>
    </row>
    <row r="282" spans="2:8" x14ac:dyDescent="0.2">
      <c r="B282" s="854" t="s">
        <v>572</v>
      </c>
      <c r="C282" s="856">
        <v>8.4708653604632214E-2</v>
      </c>
      <c r="D282" s="856">
        <v>5.2796106827345111E-2</v>
      </c>
      <c r="E282" s="857">
        <v>5.0988865724054443E-2</v>
      </c>
      <c r="F282" s="856">
        <v>5.0266244566988486E-2</v>
      </c>
      <c r="G282" s="856">
        <v>4.986570598278621E-2</v>
      </c>
      <c r="H282" s="856">
        <v>5.0630996198650351E-2</v>
      </c>
    </row>
    <row r="283" spans="2:8" x14ac:dyDescent="0.2">
      <c r="B283" s="854" t="s">
        <v>573</v>
      </c>
      <c r="C283" s="855">
        <v>38104159.913403384</v>
      </c>
      <c r="D283" s="855">
        <v>72652176.713403389</v>
      </c>
      <c r="E283" s="855">
        <v>72652176.713403389</v>
      </c>
      <c r="F283" s="855">
        <v>72652176.713403389</v>
      </c>
      <c r="G283" s="855">
        <v>72652176.713403389</v>
      </c>
      <c r="H283" s="855">
        <v>72652176.713403389</v>
      </c>
    </row>
    <row r="284" spans="2:8" x14ac:dyDescent="0.2">
      <c r="B284" s="854" t="s">
        <v>574</v>
      </c>
      <c r="C284" s="855">
        <v>45644352</v>
      </c>
      <c r="D284" s="855">
        <v>51724352</v>
      </c>
      <c r="E284" s="855">
        <v>50411352</v>
      </c>
      <c r="F284" s="855">
        <v>49886352</v>
      </c>
      <c r="G284" s="855">
        <v>49595352</v>
      </c>
      <c r="H284" s="855">
        <v>50151352</v>
      </c>
    </row>
    <row r="285" spans="2:8" x14ac:dyDescent="0.2">
      <c r="B285" s="854" t="s">
        <v>575</v>
      </c>
      <c r="C285" s="856">
        <v>8.4708653604632214E-2</v>
      </c>
      <c r="D285" s="856">
        <v>5.2796106827345111E-2</v>
      </c>
      <c r="E285" s="856">
        <v>5.0988865724054443E-2</v>
      </c>
      <c r="F285" s="856">
        <v>5.0266244566988486E-2</v>
      </c>
      <c r="G285" s="856">
        <v>4.986570598278621E-2</v>
      </c>
      <c r="H285" s="856">
        <v>5.0630996198650351E-2</v>
      </c>
    </row>
    <row r="286" spans="2:8" x14ac:dyDescent="0.2">
      <c r="E286" s="812"/>
    </row>
  </sheetData>
  <sheetProtection algorithmName="SHA-512" hashValue="OKHnQYO1iGho4lqTdui9LsWFvOBQKvPxaNzZClmBfLrrsS7NvBFWlmkmuoPmQ5b9fhrWlaDm8uQ1F3MPmloBnQ==" saltValue="EiBI7je/HrPfGY6Ch2R+M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zoomScaleNormal="100" workbookViewId="0">
      <selection activeCell="J25" sqref="J25"/>
    </sheetView>
  </sheetViews>
  <sheetFormatPr baseColWidth="10" defaultRowHeight="14.25" x14ac:dyDescent="0.2"/>
  <cols>
    <col min="1" max="1" width="3" style="153" customWidth="1"/>
    <col min="2" max="2" width="43.85546875" style="153" customWidth="1"/>
    <col min="3" max="3" width="11.42578125" style="153"/>
    <col min="4" max="4" width="13.140625" style="153" bestFit="1" customWidth="1"/>
    <col min="5" max="5" width="11.5703125" style="153" bestFit="1" customWidth="1"/>
    <col min="6" max="6" width="15.5703125" style="153" customWidth="1"/>
    <col min="7" max="7" width="14.28515625" style="153" customWidth="1"/>
    <col min="8" max="8" width="11.5703125" style="153" bestFit="1" customWidth="1"/>
    <col min="9" max="9" width="14.85546875" style="153" customWidth="1"/>
    <col min="10" max="10" width="13.42578125" style="153" customWidth="1"/>
    <col min="11" max="11" width="19" style="153" customWidth="1"/>
    <col min="12" max="12" width="13" style="153" customWidth="1"/>
    <col min="13" max="16384" width="11.42578125" style="153"/>
  </cols>
  <sheetData>
    <row r="1" spans="2:14" ht="24" customHeight="1" x14ac:dyDescent="0.25">
      <c r="B1" s="1044" t="s">
        <v>95</v>
      </c>
      <c r="C1" s="1044"/>
      <c r="D1" s="1044"/>
      <c r="E1" s="1044"/>
      <c r="F1" s="1044"/>
      <c r="G1" s="1044"/>
      <c r="H1" s="1044"/>
      <c r="I1" s="1044"/>
      <c r="J1" s="1044"/>
      <c r="K1" s="1044"/>
      <c r="L1" s="1044"/>
    </row>
    <row r="2" spans="2:14" ht="15" x14ac:dyDescent="0.25">
      <c r="B2" s="1044" t="s">
        <v>96</v>
      </c>
      <c r="C2" s="1044"/>
      <c r="D2" s="1044"/>
      <c r="E2" s="1044"/>
      <c r="F2" s="1044"/>
      <c r="G2" s="1044"/>
      <c r="H2" s="1044"/>
      <c r="I2" s="1044"/>
      <c r="J2" s="1044"/>
      <c r="K2" s="1044"/>
      <c r="L2" s="1044"/>
    </row>
    <row r="3" spans="2:14" ht="15.75" thickBot="1" x14ac:dyDescent="0.3">
      <c r="B3" s="1047" t="s">
        <v>31</v>
      </c>
      <c r="C3" s="1047"/>
      <c r="D3" s="1047"/>
      <c r="E3" s="1047"/>
      <c r="F3" s="1047"/>
      <c r="G3" s="1047"/>
      <c r="H3" s="1047"/>
      <c r="I3" s="1047"/>
      <c r="J3" s="1047"/>
      <c r="K3" s="1047"/>
      <c r="L3" s="1047"/>
    </row>
    <row r="4" spans="2:14" ht="12.75" customHeight="1" x14ac:dyDescent="0.2">
      <c r="B4" s="1042" t="s">
        <v>32</v>
      </c>
      <c r="C4" s="1040" t="s">
        <v>9</v>
      </c>
      <c r="D4" s="1040" t="s">
        <v>33</v>
      </c>
      <c r="E4" s="1040" t="s">
        <v>34</v>
      </c>
      <c r="F4" s="1040" t="s">
        <v>35</v>
      </c>
      <c r="G4" s="1040" t="s">
        <v>36</v>
      </c>
      <c r="H4" s="1040" t="s">
        <v>37</v>
      </c>
      <c r="I4" s="1040" t="s">
        <v>104</v>
      </c>
      <c r="J4" s="1040" t="s">
        <v>217</v>
      </c>
      <c r="K4" s="1040" t="s">
        <v>108</v>
      </c>
      <c r="L4" s="1045" t="s">
        <v>38</v>
      </c>
    </row>
    <row r="5" spans="2:14" ht="15" customHeight="1" thickBot="1" x14ac:dyDescent="0.25">
      <c r="B5" s="1043"/>
      <c r="C5" s="1041"/>
      <c r="D5" s="1041"/>
      <c r="E5" s="1041"/>
      <c r="F5" s="1041"/>
      <c r="G5" s="1041"/>
      <c r="H5" s="1041"/>
      <c r="I5" s="1041"/>
      <c r="J5" s="1041"/>
      <c r="K5" s="1041"/>
      <c r="L5" s="1046">
        <f>SUM(D5:H5)</f>
        <v>0</v>
      </c>
    </row>
    <row r="6" spans="2:14" ht="15" x14ac:dyDescent="0.25">
      <c r="B6" s="285" t="str">
        <f>+' VNR'!B4</f>
        <v>Salidas de Conexión</v>
      </c>
      <c r="C6" s="286"/>
      <c r="D6" s="286"/>
      <c r="E6" s="286"/>
      <c r="F6" s="286"/>
      <c r="G6" s="286"/>
      <c r="H6" s="286"/>
      <c r="I6" s="286"/>
      <c r="J6" s="286"/>
      <c r="K6" s="286"/>
      <c r="L6" s="156">
        <f>SUM(D6:K6)</f>
        <v>0</v>
      </c>
    </row>
    <row r="7" spans="2:14" ht="15" x14ac:dyDescent="0.25">
      <c r="B7" s="154" t="str">
        <f>+' VNR'!B5</f>
        <v>CXS34.5 Barra Sencilla</v>
      </c>
      <c r="C7" s="155" t="s">
        <v>39</v>
      </c>
      <c r="D7" s="155"/>
      <c r="E7" s="155">
        <f>+'SALIDAS Y TRANSFORMACION'!D48</f>
        <v>1</v>
      </c>
      <c r="F7" s="155"/>
      <c r="G7" s="155"/>
      <c r="H7" s="155"/>
      <c r="I7" s="155">
        <v>2</v>
      </c>
      <c r="J7" s="155"/>
      <c r="K7" s="155"/>
      <c r="L7" s="156">
        <f>SUM(D7:K7)</f>
        <v>3</v>
      </c>
    </row>
    <row r="8" spans="2:14" ht="15" x14ac:dyDescent="0.25">
      <c r="B8" s="154" t="str">
        <f>+' VNR'!B6</f>
        <v>CXS34.5 Interruptor y Medio</v>
      </c>
      <c r="C8" s="155" t="s">
        <v>39</v>
      </c>
      <c r="D8" s="155">
        <f>+'SALIDAS Y TRANSFORMACION'!D52</f>
        <v>6</v>
      </c>
      <c r="E8" s="155"/>
      <c r="F8" s="155">
        <f>+'SALIDAS Y TRANSFORMACION'!D51</f>
        <v>4</v>
      </c>
      <c r="G8" s="155">
        <f>+'SALIDAS Y TRANSFORMACION'!D50</f>
        <v>3</v>
      </c>
      <c r="H8" s="155"/>
      <c r="I8" s="155"/>
      <c r="J8" s="155"/>
      <c r="K8" s="155"/>
      <c r="L8" s="156">
        <f t="shared" ref="L8:L19" si="0">SUM(D8:K8)</f>
        <v>13</v>
      </c>
    </row>
    <row r="9" spans="2:14" ht="15" x14ac:dyDescent="0.25">
      <c r="B9" s="154" t="str">
        <f>+' VNR'!B7</f>
        <v>CXS115 Barra Sencilla</v>
      </c>
      <c r="C9" s="155" t="s">
        <v>39</v>
      </c>
      <c r="D9" s="155"/>
      <c r="E9" s="155"/>
      <c r="F9" s="155"/>
      <c r="G9" s="155">
        <f>+'SALIDAS Y TRANSFORMACION'!D42</f>
        <v>1</v>
      </c>
      <c r="H9" s="155">
        <f>+'SALIDAS Y TRANSFORMACION'!D45</f>
        <v>1</v>
      </c>
      <c r="I9" s="155">
        <v>1</v>
      </c>
      <c r="J9" s="155"/>
      <c r="K9" s="155"/>
      <c r="L9" s="156">
        <f t="shared" si="0"/>
        <v>3</v>
      </c>
    </row>
    <row r="10" spans="2:14" ht="15" x14ac:dyDescent="0.25">
      <c r="B10" s="154" t="str">
        <f>+' VNR'!B8</f>
        <v>CXS115 Interruptor y Medio</v>
      </c>
      <c r="C10" s="155" t="s">
        <v>39</v>
      </c>
      <c r="D10" s="155"/>
      <c r="E10" s="155">
        <f>+'SALIDAS Y TRANSFORMACION'!D41</f>
        <v>3</v>
      </c>
      <c r="F10" s="155"/>
      <c r="G10" s="155"/>
      <c r="H10" s="155"/>
      <c r="I10" s="155"/>
      <c r="J10" s="155"/>
      <c r="K10" s="155"/>
      <c r="L10" s="156">
        <f t="shared" si="0"/>
        <v>3</v>
      </c>
    </row>
    <row r="11" spans="2:14" s="158" customFormat="1" ht="15" x14ac:dyDescent="0.25">
      <c r="B11" s="154" t="s">
        <v>98</v>
      </c>
      <c r="C11" s="155" t="s">
        <v>39</v>
      </c>
      <c r="D11" s="157"/>
      <c r="E11" s="157"/>
      <c r="F11" s="157"/>
      <c r="G11" s="157"/>
      <c r="H11" s="157"/>
      <c r="I11" s="157"/>
      <c r="J11" s="157"/>
      <c r="K11" s="157"/>
      <c r="L11" s="156">
        <f t="shared" si="0"/>
        <v>0</v>
      </c>
    </row>
    <row r="12" spans="2:14" ht="15" x14ac:dyDescent="0.25">
      <c r="B12" s="154" t="s">
        <v>99</v>
      </c>
      <c r="C12" s="155" t="s">
        <v>39</v>
      </c>
      <c r="D12" s="155"/>
      <c r="E12" s="155"/>
      <c r="F12" s="155"/>
      <c r="G12" s="155"/>
      <c r="H12" s="155"/>
      <c r="I12" s="155"/>
      <c r="J12" s="155"/>
      <c r="K12" s="155"/>
      <c r="L12" s="156">
        <f t="shared" si="0"/>
        <v>0</v>
      </c>
    </row>
    <row r="13" spans="2:14" ht="15" x14ac:dyDescent="0.25">
      <c r="B13" s="154" t="str">
        <f>+' VNR'!B11</f>
        <v>CXS230 Interruptor y Medio</v>
      </c>
      <c r="C13" s="155" t="s">
        <v>39</v>
      </c>
      <c r="D13" s="155">
        <f>+'SALIDAS Y TRANSFORMACION'!D38</f>
        <v>3</v>
      </c>
      <c r="E13" s="155">
        <f>+'SALIDAS Y TRANSFORMACION'!D9</f>
        <v>1</v>
      </c>
      <c r="F13" s="155"/>
      <c r="G13" s="155"/>
      <c r="H13" s="155"/>
      <c r="I13" s="155"/>
      <c r="J13" s="155">
        <f>+'SALIDAS Y TRANSFORMACION'!D22</f>
        <v>1</v>
      </c>
      <c r="K13" s="155"/>
      <c r="L13" s="156">
        <f t="shared" si="0"/>
        <v>5</v>
      </c>
    </row>
    <row r="14" spans="2:14" ht="15" x14ac:dyDescent="0.25">
      <c r="B14" s="154" t="s">
        <v>168</v>
      </c>
      <c r="C14" s="155" t="s">
        <v>39</v>
      </c>
      <c r="D14" s="155"/>
      <c r="E14" s="155"/>
      <c r="F14" s="155"/>
      <c r="G14" s="155"/>
      <c r="H14" s="155"/>
      <c r="I14" s="155"/>
      <c r="J14" s="155"/>
      <c r="K14" s="155">
        <v>0</v>
      </c>
      <c r="L14" s="156">
        <f t="shared" si="0"/>
        <v>0</v>
      </c>
      <c r="N14" s="296"/>
    </row>
    <row r="15" spans="2:14" ht="15" x14ac:dyDescent="0.25">
      <c r="B15" s="287" t="str">
        <f>+' VNR'!B14</f>
        <v>Transformadores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6">
        <f t="shared" si="0"/>
        <v>0</v>
      </c>
      <c r="M15" s="455">
        <f>SUM(L6:L15)</f>
        <v>27</v>
      </c>
      <c r="N15" s="153" t="s">
        <v>343</v>
      </c>
    </row>
    <row r="16" spans="2:14" ht="15" x14ac:dyDescent="0.25">
      <c r="B16" s="154" t="str">
        <f>+' VNR'!B44</f>
        <v>CXTR Reductor 60/80/100 MVA</v>
      </c>
      <c r="C16" s="155" t="s">
        <v>2</v>
      </c>
      <c r="D16" s="155">
        <v>100</v>
      </c>
      <c r="E16" s="155">
        <v>100</v>
      </c>
      <c r="F16" s="155"/>
      <c r="G16" s="155"/>
      <c r="H16" s="155"/>
      <c r="I16" s="155"/>
      <c r="J16" s="155"/>
      <c r="K16" s="155"/>
      <c r="L16" s="156">
        <f t="shared" si="0"/>
        <v>200</v>
      </c>
    </row>
    <row r="17" spans="2:13" ht="15" x14ac:dyDescent="0.25">
      <c r="B17" s="154" t="str">
        <f>+' VNR'!B16</f>
        <v>CXTR Reductor 42/56/70 MVA</v>
      </c>
      <c r="C17" s="155" t="s">
        <v>2</v>
      </c>
      <c r="D17" s="155"/>
      <c r="E17" s="155">
        <v>140</v>
      </c>
      <c r="F17" s="155"/>
      <c r="G17" s="155"/>
      <c r="H17" s="155"/>
      <c r="I17" s="155"/>
      <c r="J17" s="155"/>
      <c r="K17" s="155"/>
      <c r="L17" s="156">
        <f t="shared" si="0"/>
        <v>140</v>
      </c>
    </row>
    <row r="18" spans="2:13" ht="15" x14ac:dyDescent="0.25">
      <c r="B18" s="154" t="str">
        <f>+' VNR'!B17</f>
        <v>CXTR Reductor 30/40/50 MVA</v>
      </c>
      <c r="C18" s="155" t="s">
        <v>2</v>
      </c>
      <c r="D18" s="155">
        <v>100</v>
      </c>
      <c r="E18" s="155"/>
      <c r="F18" s="155"/>
      <c r="G18" s="155"/>
      <c r="H18" s="155"/>
      <c r="I18" s="155"/>
      <c r="J18" s="155"/>
      <c r="K18" s="155"/>
      <c r="L18" s="156">
        <f t="shared" si="0"/>
        <v>100</v>
      </c>
    </row>
    <row r="19" spans="2:13" ht="15.75" thickBot="1" x14ac:dyDescent="0.3">
      <c r="B19" s="163" t="str">
        <f>+' VNR'!B18</f>
        <v>CXTR Reductor 20/24 MVA</v>
      </c>
      <c r="C19" s="164" t="s">
        <v>2</v>
      </c>
      <c r="D19" s="164"/>
      <c r="E19" s="164"/>
      <c r="F19" s="164"/>
      <c r="G19" s="164"/>
      <c r="H19" s="164">
        <f>+'SALIDAS Y TRANSFORMACION'!D32</f>
        <v>24</v>
      </c>
      <c r="I19" s="164"/>
      <c r="J19" s="164"/>
      <c r="K19" s="164"/>
      <c r="L19" s="156">
        <f t="shared" si="0"/>
        <v>24</v>
      </c>
    </row>
    <row r="20" spans="2:13" ht="30.75" thickBot="1" x14ac:dyDescent="0.3">
      <c r="B20" s="288" t="s">
        <v>8</v>
      </c>
      <c r="C20" s="289"/>
      <c r="D20" s="290" t="s">
        <v>40</v>
      </c>
      <c r="E20" s="290" t="s">
        <v>41</v>
      </c>
      <c r="F20" s="290" t="s">
        <v>42</v>
      </c>
      <c r="G20" s="290" t="s">
        <v>43</v>
      </c>
      <c r="H20" s="290"/>
      <c r="I20" s="290"/>
      <c r="J20" s="290"/>
      <c r="K20" s="290"/>
      <c r="L20" s="291" t="s">
        <v>38</v>
      </c>
    </row>
    <row r="21" spans="2:13" ht="15" x14ac:dyDescent="0.25">
      <c r="B21" s="160" t="str">
        <f>+' VNR'!B22</f>
        <v>CXL 115 KV Circuito Sencillo</v>
      </c>
      <c r="C21" s="159" t="s">
        <v>10</v>
      </c>
      <c r="D21" s="161">
        <v>5.8</v>
      </c>
      <c r="E21" s="161">
        <v>2</v>
      </c>
      <c r="F21" s="161">
        <v>0.5</v>
      </c>
      <c r="G21" s="161">
        <v>30</v>
      </c>
      <c r="H21" s="161"/>
      <c r="I21" s="161"/>
      <c r="J21" s="161"/>
      <c r="K21" s="161"/>
      <c r="L21" s="162">
        <f>SUM(D21:K21)</f>
        <v>38.299999999999997</v>
      </c>
      <c r="M21" s="153" t="s">
        <v>11</v>
      </c>
    </row>
    <row r="22" spans="2:13" ht="15" thickBot="1" x14ac:dyDescent="0.25">
      <c r="B22" s="163"/>
      <c r="C22" s="164"/>
      <c r="D22" s="164"/>
      <c r="E22" s="164"/>
      <c r="F22" s="164"/>
      <c r="G22" s="164"/>
      <c r="H22" s="164"/>
      <c r="I22" s="164"/>
      <c r="J22" s="164"/>
      <c r="K22" s="164"/>
      <c r="L22" s="165"/>
    </row>
    <row r="23" spans="2:13" s="166" customFormat="1" ht="15" x14ac:dyDescent="0.25"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  <c r="L23" s="1037"/>
    </row>
    <row r="24" spans="2:13" s="166" customFormat="1" ht="15" x14ac:dyDescent="0.2">
      <c r="B24" s="1038"/>
      <c r="C24" s="167"/>
      <c r="D24" s="167"/>
      <c r="E24" s="167"/>
      <c r="F24" s="167"/>
      <c r="G24" s="167"/>
      <c r="H24" s="167"/>
      <c r="I24" s="1038"/>
      <c r="J24" s="446"/>
      <c r="K24" s="167"/>
      <c r="L24" s="167"/>
    </row>
    <row r="25" spans="2:13" s="166" customFormat="1" ht="15" x14ac:dyDescent="0.25">
      <c r="B25" s="1038"/>
      <c r="I25" s="1039"/>
      <c r="J25" s="447"/>
      <c r="K25" s="168"/>
      <c r="L25" s="169"/>
    </row>
    <row r="26" spans="2:13" s="166" customFormat="1" x14ac:dyDescent="0.2">
      <c r="B26" s="170"/>
      <c r="C26" s="171"/>
      <c r="D26" s="170"/>
      <c r="E26" s="170"/>
      <c r="F26" s="170"/>
      <c r="G26" s="170"/>
      <c r="H26" s="170"/>
      <c r="I26" s="170"/>
      <c r="J26" s="170"/>
      <c r="K26" s="170"/>
      <c r="L26" s="170"/>
    </row>
    <row r="27" spans="2:13" s="166" customFormat="1" x14ac:dyDescent="0.2">
      <c r="B27" s="170"/>
      <c r="C27" s="171"/>
      <c r="D27" s="170"/>
      <c r="E27" s="170"/>
      <c r="F27" s="170"/>
      <c r="G27" s="170"/>
      <c r="H27" s="170"/>
      <c r="I27" s="170"/>
      <c r="J27" s="170"/>
      <c r="K27" s="170"/>
      <c r="L27" s="170"/>
    </row>
    <row r="28" spans="2:13" s="166" customFormat="1" x14ac:dyDescent="0.2">
      <c r="B28" s="170"/>
      <c r="C28" s="171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2:13" s="166" customFormat="1" x14ac:dyDescent="0.2">
      <c r="B29" s="170"/>
      <c r="C29" s="171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2:13" s="166" customFormat="1" x14ac:dyDescent="0.2">
      <c r="B30" s="170"/>
      <c r="C30" s="171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2:13" s="166" customFormat="1" ht="15" x14ac:dyDescent="0.25">
      <c r="B31" s="169"/>
      <c r="C31" s="171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2:13" s="166" customFormat="1" x14ac:dyDescent="0.2">
      <c r="D32" s="172"/>
    </row>
    <row r="33" spans="4:12" s="166" customFormat="1" x14ac:dyDescent="0.2">
      <c r="D33" s="172"/>
    </row>
    <row r="34" spans="4:12" s="166" customFormat="1" x14ac:dyDescent="0.2"/>
    <row r="35" spans="4:12" s="166" customFormat="1" x14ac:dyDescent="0.2">
      <c r="G35" s="173"/>
      <c r="L35" s="170"/>
    </row>
    <row r="36" spans="4:12" s="166" customFormat="1" x14ac:dyDescent="0.2">
      <c r="L36" s="172"/>
    </row>
  </sheetData>
  <sheetProtection algorithmName="SHA-512" hashValue="Bpnea9PIxL0mEaON2pvnk0eDy7h4x5gHJMb0cSTH93Vjm2kO63pBtKkGjFNW1I7bzdejKlCa5QzUds3cyyddcg==" saltValue="kz+bUsLVFDWZH+eH+4Ztpw==" spinCount="100000" sheet="1" objects="1" scenarios="1"/>
  <mergeCells count="17">
    <mergeCell ref="B1:L1"/>
    <mergeCell ref="B2:L2"/>
    <mergeCell ref="H4:H5"/>
    <mergeCell ref="L4:L5"/>
    <mergeCell ref="B3:L3"/>
    <mergeCell ref="B23:L23"/>
    <mergeCell ref="B24:B25"/>
    <mergeCell ref="I24:I25"/>
    <mergeCell ref="D4:D5"/>
    <mergeCell ref="E4:E5"/>
    <mergeCell ref="F4:F5"/>
    <mergeCell ref="G4:G5"/>
    <mergeCell ref="B4:B5"/>
    <mergeCell ref="C4:C5"/>
    <mergeCell ref="K4:K5"/>
    <mergeCell ref="I4:I5"/>
    <mergeCell ref="J4:J5"/>
  </mergeCells>
  <phoneticPr fontId="0" type="noConversion"/>
  <printOptions horizontalCentered="1" verticalCentered="1"/>
  <pageMargins left="0.51181102362204722" right="0.45" top="1" bottom="1" header="0" footer="0"/>
  <pageSetup scale="78" orientation="landscape" r:id="rId1"/>
  <headerFooter alignWithMargins="0">
    <oddHeader>&amp;F</oddHeader>
    <oddFooter>&amp;LHOJA: 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="70" zoomScaleNormal="70" zoomScaleSheetLayoutView="40" workbookViewId="0">
      <selection activeCell="C7" sqref="C7"/>
    </sheetView>
  </sheetViews>
  <sheetFormatPr baseColWidth="10" defaultRowHeight="15" x14ac:dyDescent="0.2"/>
  <cols>
    <col min="1" max="1" width="3.42578125" customWidth="1"/>
    <col min="2" max="2" width="52.7109375" customWidth="1"/>
    <col min="3" max="3" width="17.140625" customWidth="1"/>
    <col min="4" max="4" width="17" customWidth="1"/>
    <col min="5" max="5" width="14.7109375" customWidth="1"/>
    <col min="6" max="6" width="18.5703125" style="973" customWidth="1"/>
    <col min="7" max="7" width="14.42578125" customWidth="1"/>
    <col min="8" max="8" width="15.7109375" customWidth="1"/>
    <col min="9" max="9" width="15.7109375" style="81" customWidth="1"/>
    <col min="10" max="10" width="32.28515625" style="81" customWidth="1"/>
    <col min="11" max="13" width="20" style="81" customWidth="1"/>
    <col min="14" max="14" width="20" customWidth="1"/>
    <col min="15" max="15" width="14.140625" customWidth="1"/>
    <col min="16" max="16" width="13.42578125" customWidth="1"/>
    <col min="17" max="17" width="15.140625" customWidth="1"/>
  </cols>
  <sheetData>
    <row r="1" spans="2:14" ht="21" customHeight="1" thickBot="1" x14ac:dyDescent="0.3">
      <c r="B1" s="1048" t="s">
        <v>129</v>
      </c>
      <c r="C1" s="1048"/>
      <c r="D1" s="1048"/>
      <c r="E1" s="1048"/>
      <c r="F1" s="1048"/>
      <c r="G1" s="1048"/>
    </row>
    <row r="2" spans="2:14" ht="13.5" customHeight="1" thickBot="1" x14ac:dyDescent="0.25">
      <c r="B2" s="1049" t="s">
        <v>0</v>
      </c>
      <c r="C2" s="1051" t="s">
        <v>1</v>
      </c>
      <c r="D2" s="732" t="s">
        <v>173</v>
      </c>
      <c r="E2" s="306" t="s">
        <v>71</v>
      </c>
      <c r="F2" s="972"/>
    </row>
    <row r="3" spans="2:14" x14ac:dyDescent="0.2">
      <c r="B3" s="1050"/>
      <c r="C3" s="1052"/>
      <c r="D3" s="269" t="s">
        <v>9</v>
      </c>
      <c r="E3" s="305"/>
      <c r="G3" s="81"/>
      <c r="H3" s="81"/>
      <c r="L3"/>
      <c r="M3"/>
    </row>
    <row r="4" spans="2:14" x14ac:dyDescent="0.2">
      <c r="B4" s="243" t="s">
        <v>3</v>
      </c>
      <c r="C4" s="263"/>
      <c r="D4" s="122"/>
      <c r="E4" s="77"/>
      <c r="G4" s="81"/>
      <c r="H4" s="81"/>
      <c r="J4" s="430"/>
      <c r="K4" s="430"/>
      <c r="L4" s="431"/>
      <c r="M4" s="431"/>
      <c r="N4" s="431"/>
    </row>
    <row r="5" spans="2:14" x14ac:dyDescent="0.2">
      <c r="B5" s="244" t="s">
        <v>86</v>
      </c>
      <c r="C5" s="204">
        <f>(+'SALIDAS Y TRANSFORMACION'!E48+'SALIDAS Y TRANSFORMACION'!E49)/1000</f>
        <v>3750.9816450146568</v>
      </c>
      <c r="D5" s="117">
        <f>+'SALIDAS Y TRANSFORMACION'!D49+'SALIDAS Y TRANSFORMACION'!D48</f>
        <v>3</v>
      </c>
      <c r="E5" s="267">
        <f>+C5/D5</f>
        <v>1250.3272150048856</v>
      </c>
      <c r="G5" s="121"/>
      <c r="H5" s="81"/>
      <c r="J5" s="430"/>
      <c r="K5" s="430"/>
      <c r="L5" s="431"/>
      <c r="M5" s="431"/>
      <c r="N5" s="431"/>
    </row>
    <row r="6" spans="2:14" x14ac:dyDescent="0.2">
      <c r="B6" s="244" t="s">
        <v>87</v>
      </c>
      <c r="C6" s="264">
        <f>(+'SALIDAS Y TRANSFORMACION'!E50+'SALIDAS Y TRANSFORMACION'!E51+'SALIDAS Y TRANSFORMACION'!E52)/1000</f>
        <v>17598.423534825444</v>
      </c>
      <c r="D6" s="117">
        <f>+'SALIDAS Y TRANSFORMACION'!D50+'SALIDAS Y TRANSFORMACION'!D51+'SALIDAS Y TRANSFORMACION'!D52</f>
        <v>13</v>
      </c>
      <c r="E6" s="267">
        <f>+C6/D6</f>
        <v>1353.724887294265</v>
      </c>
      <c r="G6" s="121"/>
      <c r="H6" s="81"/>
      <c r="J6" s="430"/>
      <c r="K6" s="430"/>
      <c r="L6" s="431"/>
      <c r="M6" s="431"/>
      <c r="N6" s="431"/>
    </row>
    <row r="7" spans="2:14" x14ac:dyDescent="0.2">
      <c r="B7" s="244" t="s">
        <v>88</v>
      </c>
      <c r="C7" s="264">
        <f>(+'SALIDAS Y TRANSFORMACION'!E42+'SALIDAS Y TRANSFORMACION'!E44+'SALIDAS Y TRANSFORMACION'!E45)/1000</f>
        <v>1916.0446062704473</v>
      </c>
      <c r="D7" s="117">
        <f>+'SALIDAS Y TRANSFORMACION'!D42+'SALIDAS Y TRANSFORMACION'!D44+'SALIDAS Y TRANSFORMACION'!D45</f>
        <v>3</v>
      </c>
      <c r="E7" s="267">
        <f>+C7/D7</f>
        <v>638.68153542348239</v>
      </c>
      <c r="G7" s="121"/>
      <c r="H7" s="81"/>
      <c r="J7" s="430"/>
      <c r="K7" s="430"/>
      <c r="L7" s="431"/>
      <c r="M7" s="431"/>
      <c r="N7" s="431"/>
    </row>
    <row r="8" spans="2:14" x14ac:dyDescent="0.2">
      <c r="B8" s="244" t="s">
        <v>89</v>
      </c>
      <c r="C8" s="264">
        <f>(+'SALIDAS Y TRANSFORMACION'!E41)/1000</f>
        <v>4453.5673817361767</v>
      </c>
      <c r="D8" s="117">
        <f>+'SALIDAS Y TRANSFORMACION'!D41</f>
        <v>3</v>
      </c>
      <c r="E8" s="267">
        <f>+C8/D8</f>
        <v>1484.5224605787255</v>
      </c>
      <c r="G8" s="121"/>
      <c r="H8" s="81"/>
      <c r="J8" s="430"/>
      <c r="K8" s="430"/>
      <c r="L8" s="431"/>
      <c r="M8" s="431"/>
      <c r="N8" s="431"/>
    </row>
    <row r="9" spans="2:14" x14ac:dyDescent="0.2">
      <c r="B9" s="244" t="s">
        <v>98</v>
      </c>
      <c r="C9" s="264"/>
      <c r="D9" s="117"/>
      <c r="E9" s="267"/>
      <c r="G9" s="121"/>
      <c r="H9" s="81"/>
      <c r="J9" s="430"/>
      <c r="K9" s="430"/>
      <c r="L9" s="431"/>
      <c r="M9" s="431"/>
      <c r="N9" s="431"/>
    </row>
    <row r="10" spans="2:14" x14ac:dyDescent="0.2">
      <c r="B10" s="244" t="s">
        <v>99</v>
      </c>
      <c r="C10" s="264"/>
      <c r="D10" s="117"/>
      <c r="E10" s="267" t="s">
        <v>11</v>
      </c>
      <c r="G10" s="121"/>
      <c r="H10" s="81"/>
      <c r="J10" s="430"/>
      <c r="K10" s="430"/>
      <c r="L10" s="431"/>
      <c r="M10" s="431"/>
      <c r="N10" s="431"/>
    </row>
    <row r="11" spans="2:14" x14ac:dyDescent="0.2">
      <c r="B11" s="244" t="s">
        <v>90</v>
      </c>
      <c r="C11" s="264">
        <f>(+'SALIDAS Y TRANSFORMACION'!E36+'SALIDAS Y TRANSFORMACION'!E38+'SALIDAS Y TRANSFORMACION'!E37)/1000</f>
        <v>21472.603736699202</v>
      </c>
      <c r="D11" s="117">
        <f>+'SALIDAS Y TRANSFORMACION'!D36+'SALIDAS Y TRANSFORMACION'!D38+'SALIDAS Y TRANSFORMACION'!D37</f>
        <v>5</v>
      </c>
      <c r="E11" s="267">
        <f>+C11/D11</f>
        <v>4294.5207473398405</v>
      </c>
      <c r="G11" s="121"/>
      <c r="H11" s="81"/>
      <c r="J11" s="432"/>
      <c r="K11" s="432"/>
      <c r="L11" s="431"/>
      <c r="M11" s="431"/>
      <c r="N11" s="431"/>
    </row>
    <row r="12" spans="2:14" x14ac:dyDescent="0.2">
      <c r="B12" s="244" t="s">
        <v>168</v>
      </c>
      <c r="C12" s="264"/>
      <c r="D12" s="117"/>
      <c r="E12" s="267"/>
      <c r="G12" s="121"/>
      <c r="H12" s="81"/>
      <c r="J12" s="432"/>
      <c r="K12" s="432"/>
      <c r="L12" s="431"/>
      <c r="M12" s="431"/>
      <c r="N12" s="431"/>
    </row>
    <row r="13" spans="2:14" x14ac:dyDescent="0.2">
      <c r="B13" s="244" t="s">
        <v>176</v>
      </c>
      <c r="C13" s="264"/>
      <c r="D13" s="117"/>
      <c r="E13" s="267"/>
      <c r="G13" s="121"/>
      <c r="H13" s="81"/>
      <c r="J13" s="432"/>
      <c r="K13" s="432"/>
      <c r="L13" s="431"/>
      <c r="M13" s="431"/>
      <c r="N13" s="431"/>
    </row>
    <row r="14" spans="2:14" x14ac:dyDescent="0.2">
      <c r="B14" s="260" t="s">
        <v>4</v>
      </c>
      <c r="C14" s="264"/>
      <c r="D14" s="117"/>
      <c r="E14" s="267"/>
      <c r="G14" s="121"/>
      <c r="H14" s="81"/>
      <c r="J14" s="432"/>
      <c r="K14" s="432"/>
      <c r="L14" s="431"/>
      <c r="M14" s="431"/>
      <c r="N14" s="431"/>
    </row>
    <row r="15" spans="2:14" x14ac:dyDescent="0.2">
      <c r="B15" s="261" t="str">
        <f>+B44</f>
        <v>CXTR Reductor 60/80/100 MVA</v>
      </c>
      <c r="C15" s="264">
        <f>(+'SALIDAS Y TRANSFORMACION'!E28+'SALIDAS Y TRANSFORMACION'!E30)/1000</f>
        <v>5900</v>
      </c>
      <c r="D15" s="117">
        <v>200</v>
      </c>
      <c r="E15" s="267">
        <f>+C15/D15</f>
        <v>29.5</v>
      </c>
      <c r="G15" s="121"/>
      <c r="H15" s="81"/>
      <c r="J15" s="430"/>
      <c r="K15" s="430"/>
      <c r="L15" s="431"/>
      <c r="M15" s="431"/>
      <c r="N15" s="431"/>
    </row>
    <row r="16" spans="2:14" x14ac:dyDescent="0.2">
      <c r="B16" s="246" t="s">
        <v>5</v>
      </c>
      <c r="C16" s="264">
        <f>+'SALIDAS Y TRANSFORMACION'!E29/1000</f>
        <v>5400</v>
      </c>
      <c r="D16" s="733">
        <v>140</v>
      </c>
      <c r="E16" s="267">
        <f>+C16/D16</f>
        <v>38.571428571428569</v>
      </c>
      <c r="G16" s="121"/>
      <c r="H16" s="81"/>
      <c r="J16" s="430"/>
      <c r="K16" s="430"/>
      <c r="L16" s="431"/>
      <c r="M16" s="431"/>
      <c r="N16" s="431"/>
    </row>
    <row r="17" spans="2:26" x14ac:dyDescent="0.2">
      <c r="B17" s="246" t="s">
        <v>6</v>
      </c>
      <c r="C17" s="264">
        <f>(+'SALIDAS Y TRANSFORMACION'!E31)/1000</f>
        <v>4300</v>
      </c>
      <c r="D17" s="733">
        <f>+'SALIDAS Y TRANSFORMACION'!D30</f>
        <v>100</v>
      </c>
      <c r="E17" s="267">
        <f>+C17/D17</f>
        <v>43</v>
      </c>
      <c r="G17" s="121"/>
      <c r="H17" s="81"/>
      <c r="J17" s="430"/>
      <c r="K17" s="430"/>
      <c r="L17" s="431"/>
      <c r="M17" s="431"/>
      <c r="N17" s="431"/>
    </row>
    <row r="18" spans="2:26" x14ac:dyDescent="0.2">
      <c r="B18" s="246" t="s">
        <v>7</v>
      </c>
      <c r="C18" s="264">
        <f>+'SALIDAS Y TRANSFORMACION'!E32/1000</f>
        <v>810</v>
      </c>
      <c r="D18" s="733">
        <f>+'SALIDAS Y TRANSFORMACION'!D32</f>
        <v>24</v>
      </c>
      <c r="E18" s="267">
        <f>+C18/D18</f>
        <v>33.75</v>
      </c>
      <c r="G18" s="53"/>
      <c r="H18" s="81"/>
      <c r="J18" s="430"/>
      <c r="K18" s="430"/>
      <c r="L18" s="431"/>
      <c r="M18" s="431"/>
      <c r="N18" s="431"/>
    </row>
    <row r="19" spans="2:26" x14ac:dyDescent="0.2">
      <c r="B19" s="246" t="s">
        <v>176</v>
      </c>
      <c r="C19" s="321"/>
      <c r="D19" s="733"/>
      <c r="E19" s="267"/>
      <c r="G19" s="53"/>
      <c r="H19" s="81"/>
      <c r="L19"/>
      <c r="M19"/>
    </row>
    <row r="20" spans="2:26" ht="15.75" x14ac:dyDescent="0.25">
      <c r="B20" s="735" t="s">
        <v>473</v>
      </c>
      <c r="C20" s="736">
        <f>SUM(C5:C19)</f>
        <v>65601.620904545925</v>
      </c>
      <c r="D20" s="736">
        <f t="shared" ref="D20:E20" si="0">SUM(D5:D19)</f>
        <v>491</v>
      </c>
      <c r="E20" s="736">
        <f t="shared" si="0"/>
        <v>9166.5982742126271</v>
      </c>
      <c r="G20" s="53"/>
      <c r="H20" s="81"/>
      <c r="L20"/>
      <c r="M20"/>
    </row>
    <row r="21" spans="2:26" x14ac:dyDescent="0.2">
      <c r="B21" s="247" t="s">
        <v>8</v>
      </c>
      <c r="C21" s="265"/>
      <c r="D21" s="117"/>
      <c r="E21" s="267"/>
      <c r="G21" s="121"/>
      <c r="H21" s="81"/>
      <c r="L21"/>
      <c r="M21"/>
    </row>
    <row r="22" spans="2:26" x14ac:dyDescent="0.2">
      <c r="B22" s="248" t="s">
        <v>91</v>
      </c>
      <c r="C22" s="264">
        <f>+G76/1000</f>
        <v>6494.7631425745503</v>
      </c>
      <c r="D22" s="118">
        <f>+E76</f>
        <v>38.299999999999997</v>
      </c>
      <c r="E22" s="267">
        <f>+C22/D22</f>
        <v>169.57606116382638</v>
      </c>
      <c r="F22" s="974" t="s">
        <v>27</v>
      </c>
      <c r="G22" s="121"/>
      <c r="H22" s="81"/>
      <c r="L22"/>
      <c r="M22"/>
    </row>
    <row r="23" spans="2:26" x14ac:dyDescent="0.2">
      <c r="B23" s="248" t="s">
        <v>92</v>
      </c>
      <c r="C23" s="264"/>
      <c r="D23" s="118"/>
      <c r="E23" s="267"/>
      <c r="F23" s="974" t="s">
        <v>28</v>
      </c>
      <c r="G23" s="121"/>
      <c r="H23" s="81"/>
      <c r="L23"/>
      <c r="M23"/>
    </row>
    <row r="24" spans="2:26" x14ac:dyDescent="0.2">
      <c r="B24" s="248" t="s">
        <v>93</v>
      </c>
      <c r="C24" s="264"/>
      <c r="D24" s="118"/>
      <c r="E24" s="267"/>
      <c r="F24" s="974" t="s">
        <v>29</v>
      </c>
      <c r="G24" s="81"/>
      <c r="H24" s="81"/>
      <c r="L24"/>
      <c r="M24"/>
    </row>
    <row r="25" spans="2:26" x14ac:dyDescent="0.2">
      <c r="B25" s="248" t="s">
        <v>134</v>
      </c>
      <c r="C25" s="264"/>
      <c r="D25" s="118"/>
      <c r="E25" s="267"/>
      <c r="F25" s="974" t="s">
        <v>160</v>
      </c>
      <c r="G25" s="81"/>
      <c r="H25" s="81"/>
      <c r="L25"/>
      <c r="M25"/>
    </row>
    <row r="26" spans="2:26" x14ac:dyDescent="0.2">
      <c r="B26" s="248" t="s">
        <v>138</v>
      </c>
      <c r="C26" s="264"/>
      <c r="D26" s="118"/>
      <c r="E26" s="267"/>
      <c r="F26" s="974" t="s">
        <v>151</v>
      </c>
      <c r="G26" s="81"/>
      <c r="H26" s="81" t="s">
        <v>11</v>
      </c>
      <c r="L26"/>
      <c r="M26"/>
    </row>
    <row r="27" spans="2:26" ht="15.75" thickBot="1" x14ac:dyDescent="0.25">
      <c r="B27" s="250" t="s">
        <v>101</v>
      </c>
      <c r="C27" s="266"/>
      <c r="D27" s="262"/>
      <c r="E27" s="268"/>
      <c r="F27" s="974" t="s">
        <v>30</v>
      </c>
      <c r="G27" s="81"/>
      <c r="H27" s="128"/>
      <c r="L27"/>
      <c r="M27"/>
    </row>
    <row r="28" spans="2:26" ht="16.5" thickBot="1" x14ac:dyDescent="0.3">
      <c r="B28" s="731" t="s">
        <v>106</v>
      </c>
      <c r="C28" s="734">
        <f>+C20+C22</f>
        <v>72096.384047120475</v>
      </c>
      <c r="D28" s="734"/>
      <c r="E28" s="73"/>
      <c r="F28" s="975"/>
      <c r="G28" s="81"/>
      <c r="H28" s="81"/>
      <c r="I28" s="128"/>
      <c r="L28"/>
      <c r="M28"/>
    </row>
    <row r="29" spans="2:26" s="31" customFormat="1" ht="16.5" thickBot="1" x14ac:dyDescent="0.3">
      <c r="C29" s="73"/>
      <c r="D29" s="123"/>
      <c r="E29" s="73"/>
      <c r="F29" s="966"/>
      <c r="G29" s="73"/>
      <c r="H29" s="74"/>
      <c r="I29" s="81"/>
      <c r="J29" s="81"/>
      <c r="K29" s="81"/>
      <c r="L29" s="81"/>
      <c r="M29" s="81"/>
    </row>
    <row r="30" spans="2:26" s="31" customFormat="1" ht="16.5" thickBot="1" x14ac:dyDescent="0.3">
      <c r="B30" s="21" t="s">
        <v>72</v>
      </c>
      <c r="C30" s="334"/>
      <c r="D30" s="335" t="s">
        <v>182</v>
      </c>
      <c r="E30" s="336"/>
      <c r="F30" s="967"/>
      <c r="G30" s="335" t="s">
        <v>183</v>
      </c>
      <c r="H30" s="336"/>
      <c r="I30" s="334"/>
      <c r="J30" s="335" t="s">
        <v>184</v>
      </c>
      <c r="K30" s="336"/>
      <c r="L30" s="334"/>
      <c r="M30" s="335" t="s">
        <v>185</v>
      </c>
      <c r="N30" s="336"/>
      <c r="O30" s="334"/>
      <c r="P30" s="335" t="s">
        <v>186</v>
      </c>
      <c r="Q30" s="336"/>
      <c r="R30" s="334"/>
      <c r="S30" s="335" t="s">
        <v>187</v>
      </c>
      <c r="T30" s="336"/>
      <c r="U30" s="334"/>
      <c r="V30" s="335" t="s">
        <v>188</v>
      </c>
      <c r="W30" s="336"/>
      <c r="X30" s="334"/>
      <c r="Y30" s="335" t="s">
        <v>189</v>
      </c>
      <c r="Z30" s="336"/>
    </row>
    <row r="31" spans="2:26" s="31" customFormat="1" ht="15.75" customHeight="1" thickBot="1" x14ac:dyDescent="0.3">
      <c r="B31" s="1059" t="s">
        <v>0</v>
      </c>
      <c r="C31" s="1061" t="s">
        <v>174</v>
      </c>
      <c r="D31" s="307" t="s">
        <v>173</v>
      </c>
      <c r="E31" s="1061" t="s">
        <v>71</v>
      </c>
      <c r="F31" s="976" t="s">
        <v>174</v>
      </c>
      <c r="G31" s="307" t="s">
        <v>173</v>
      </c>
      <c r="H31" s="329" t="s">
        <v>71</v>
      </c>
      <c r="I31" s="329" t="s">
        <v>174</v>
      </c>
      <c r="J31" s="307" t="s">
        <v>173</v>
      </c>
      <c r="K31" s="329" t="s">
        <v>71</v>
      </c>
      <c r="L31" s="329" t="s">
        <v>174</v>
      </c>
      <c r="M31" s="307" t="s">
        <v>173</v>
      </c>
      <c r="N31" s="329" t="s">
        <v>71</v>
      </c>
      <c r="O31" s="329" t="s">
        <v>174</v>
      </c>
      <c r="P31" s="307" t="s">
        <v>173</v>
      </c>
      <c r="Q31" s="329" t="s">
        <v>71</v>
      </c>
      <c r="R31" s="329" t="s">
        <v>174</v>
      </c>
      <c r="S31" s="307" t="s">
        <v>173</v>
      </c>
      <c r="T31" s="329" t="s">
        <v>71</v>
      </c>
      <c r="U31" s="329" t="s">
        <v>174</v>
      </c>
      <c r="V31" s="307" t="s">
        <v>173</v>
      </c>
      <c r="W31" s="329" t="s">
        <v>71</v>
      </c>
      <c r="X31" s="329" t="s">
        <v>174</v>
      </c>
      <c r="Y31" s="307" t="s">
        <v>173</v>
      </c>
      <c r="Z31" s="329" t="s">
        <v>71</v>
      </c>
    </row>
    <row r="32" spans="2:26" s="31" customFormat="1" ht="16.5" thickBot="1" x14ac:dyDescent="0.3">
      <c r="B32" s="1060"/>
      <c r="C32" s="1062"/>
      <c r="D32" s="251" t="s">
        <v>9</v>
      </c>
      <c r="E32" s="1062"/>
      <c r="F32" s="977"/>
      <c r="G32" s="251" t="s">
        <v>9</v>
      </c>
      <c r="H32" s="330"/>
      <c r="I32" s="330"/>
      <c r="J32" s="251" t="s">
        <v>9</v>
      </c>
      <c r="K32" s="330"/>
      <c r="L32" s="330"/>
      <c r="M32" s="251" t="s">
        <v>9</v>
      </c>
      <c r="N32" s="330"/>
      <c r="O32" s="330"/>
      <c r="P32" s="251" t="s">
        <v>9</v>
      </c>
      <c r="Q32" s="330"/>
      <c r="R32" s="330"/>
      <c r="S32" s="251" t="s">
        <v>9</v>
      </c>
      <c r="T32" s="330"/>
      <c r="U32" s="330"/>
      <c r="V32" s="251" t="s">
        <v>9</v>
      </c>
      <c r="W32" s="330"/>
      <c r="X32" s="330"/>
      <c r="Y32" s="251" t="s">
        <v>9</v>
      </c>
      <c r="Z32" s="330"/>
    </row>
    <row r="33" spans="2:26" s="31" customFormat="1" x14ac:dyDescent="0.2">
      <c r="B33" s="243" t="s">
        <v>3</v>
      </c>
      <c r="C33" s="252"/>
      <c r="D33" s="255"/>
      <c r="E33" s="252"/>
      <c r="F33" s="968"/>
      <c r="G33" s="255"/>
      <c r="H33" s="252"/>
      <c r="I33" s="252"/>
      <c r="J33" s="255"/>
      <c r="K33" s="252"/>
      <c r="L33" s="252"/>
      <c r="M33" s="255"/>
      <c r="N33" s="252"/>
      <c r="O33" s="252"/>
      <c r="P33" s="255"/>
      <c r="Q33" s="252"/>
      <c r="R33" s="252"/>
      <c r="S33" s="255"/>
      <c r="T33" s="252"/>
      <c r="U33" s="252"/>
      <c r="V33" s="255"/>
      <c r="W33" s="252"/>
      <c r="X33" s="252"/>
      <c r="Y33" s="255"/>
      <c r="Z33" s="252"/>
    </row>
    <row r="34" spans="2:26" s="31" customFormat="1" x14ac:dyDescent="0.2">
      <c r="B34" s="244" t="s">
        <v>86</v>
      </c>
      <c r="C34" s="253"/>
      <c r="D34" s="256"/>
      <c r="E34" s="253"/>
      <c r="F34" s="969"/>
      <c r="G34" s="256"/>
      <c r="H34" s="253"/>
      <c r="I34" s="253"/>
      <c r="J34" s="256"/>
      <c r="K34" s="253"/>
      <c r="L34" s="253"/>
      <c r="M34" s="256"/>
      <c r="N34" s="253"/>
      <c r="O34" s="253"/>
      <c r="P34" s="256"/>
      <c r="Q34" s="253"/>
      <c r="R34" s="253"/>
      <c r="S34" s="256"/>
      <c r="T34" s="253"/>
      <c r="U34" s="253"/>
      <c r="V34" s="256"/>
      <c r="W34" s="253"/>
      <c r="X34" s="253"/>
      <c r="Y34" s="256"/>
      <c r="Z34" s="253"/>
    </row>
    <row r="35" spans="2:26" s="31" customFormat="1" x14ac:dyDescent="0.2">
      <c r="B35" s="244" t="s">
        <v>87</v>
      </c>
      <c r="C35" s="253"/>
      <c r="D35" s="256"/>
      <c r="E35" s="253"/>
      <c r="F35" s="969"/>
      <c r="G35" s="256"/>
      <c r="H35" s="253"/>
      <c r="I35" s="253"/>
      <c r="J35" s="256"/>
      <c r="K35" s="253"/>
      <c r="L35" s="253"/>
      <c r="M35" s="256"/>
      <c r="N35" s="253"/>
      <c r="O35" s="253"/>
      <c r="P35" s="256"/>
      <c r="Q35" s="253"/>
      <c r="R35" s="253"/>
      <c r="S35" s="256"/>
      <c r="T35" s="253"/>
      <c r="U35" s="253"/>
      <c r="V35" s="256"/>
      <c r="W35" s="253"/>
      <c r="X35" s="253"/>
      <c r="Y35" s="256"/>
      <c r="Z35" s="253"/>
    </row>
    <row r="36" spans="2:26" s="31" customFormat="1" x14ac:dyDescent="0.2">
      <c r="B36" s="244" t="s">
        <v>88</v>
      </c>
      <c r="C36" s="253"/>
      <c r="D36" s="256"/>
      <c r="E36" s="253"/>
      <c r="F36" s="969"/>
      <c r="G36" s="256"/>
      <c r="H36" s="253"/>
      <c r="I36" s="253"/>
      <c r="J36" s="256"/>
      <c r="K36" s="253"/>
      <c r="L36" s="253"/>
      <c r="M36" s="256"/>
      <c r="N36" s="253"/>
      <c r="O36" s="253"/>
      <c r="P36" s="256"/>
      <c r="Q36" s="253"/>
      <c r="R36" s="253"/>
      <c r="S36" s="256"/>
      <c r="T36" s="253"/>
      <c r="U36" s="253"/>
      <c r="V36" s="256"/>
      <c r="W36" s="253"/>
      <c r="X36" s="253"/>
      <c r="Y36" s="256"/>
      <c r="Z36" s="253"/>
    </row>
    <row r="37" spans="2:26" s="31" customFormat="1" x14ac:dyDescent="0.2">
      <c r="B37" s="244" t="s">
        <v>89</v>
      </c>
      <c r="C37" s="253"/>
      <c r="D37" s="256"/>
      <c r="E37" s="253"/>
      <c r="F37" s="969"/>
      <c r="G37" s="256"/>
      <c r="H37" s="253"/>
      <c r="I37" s="253"/>
      <c r="J37" s="256"/>
      <c r="K37" s="253"/>
      <c r="L37" s="253"/>
      <c r="M37" s="256"/>
      <c r="N37" s="253"/>
      <c r="O37" s="253"/>
      <c r="P37" s="256"/>
      <c r="Q37" s="253"/>
      <c r="R37" s="253"/>
      <c r="S37" s="256"/>
      <c r="T37" s="253"/>
      <c r="U37" s="253"/>
      <c r="V37" s="256"/>
      <c r="W37" s="253"/>
      <c r="X37" s="253"/>
      <c r="Y37" s="256"/>
      <c r="Z37" s="253"/>
    </row>
    <row r="38" spans="2:26" s="31" customFormat="1" x14ac:dyDescent="0.2">
      <c r="B38" s="244" t="s">
        <v>98</v>
      </c>
      <c r="C38" s="253"/>
      <c r="D38" s="256"/>
      <c r="E38" s="253"/>
      <c r="F38" s="969"/>
      <c r="G38" s="256"/>
      <c r="H38" s="253"/>
      <c r="I38" s="253"/>
      <c r="J38" s="256"/>
      <c r="K38" s="253"/>
      <c r="L38" s="253"/>
      <c r="M38" s="256"/>
      <c r="N38" s="253"/>
      <c r="O38" s="253"/>
      <c r="P38" s="256"/>
      <c r="Q38" s="253"/>
      <c r="R38" s="253"/>
      <c r="S38" s="256"/>
      <c r="T38" s="253"/>
      <c r="U38" s="253"/>
      <c r="V38" s="256"/>
      <c r="W38" s="253"/>
      <c r="X38" s="253"/>
      <c r="Y38" s="256"/>
      <c r="Z38" s="253"/>
    </row>
    <row r="39" spans="2:26" s="31" customFormat="1" x14ac:dyDescent="0.2">
      <c r="B39" s="244" t="s">
        <v>99</v>
      </c>
      <c r="C39" s="253"/>
      <c r="D39" s="256"/>
      <c r="E39" s="253"/>
      <c r="F39" s="969"/>
      <c r="G39" s="256"/>
      <c r="H39" s="253"/>
      <c r="I39" s="253"/>
      <c r="J39" s="256"/>
      <c r="K39" s="253"/>
      <c r="L39" s="253"/>
      <c r="M39" s="256"/>
      <c r="N39" s="253"/>
      <c r="O39" s="253"/>
      <c r="P39" s="256"/>
      <c r="Q39" s="253"/>
      <c r="R39" s="253"/>
      <c r="S39" s="256"/>
      <c r="T39" s="253"/>
      <c r="U39" s="253"/>
      <c r="V39" s="256"/>
      <c r="W39" s="253"/>
      <c r="X39" s="253"/>
      <c r="Y39" s="256"/>
      <c r="Z39" s="253"/>
    </row>
    <row r="40" spans="2:26" s="31" customFormat="1" x14ac:dyDescent="0.2">
      <c r="B40" s="244" t="s">
        <v>90</v>
      </c>
      <c r="C40" s="253"/>
      <c r="D40" s="256"/>
      <c r="E40" s="253"/>
      <c r="F40" s="969"/>
      <c r="G40" s="256"/>
      <c r="H40" s="253"/>
      <c r="I40" s="253"/>
      <c r="J40" s="256"/>
      <c r="K40" s="253"/>
      <c r="L40" s="253"/>
      <c r="M40" s="256"/>
      <c r="N40" s="253"/>
      <c r="O40" s="253"/>
      <c r="P40" s="256"/>
      <c r="Q40" s="253"/>
      <c r="R40" s="253"/>
      <c r="S40" s="256"/>
      <c r="T40" s="253"/>
      <c r="U40" s="253"/>
      <c r="V40" s="256"/>
      <c r="W40" s="253"/>
      <c r="X40" s="253"/>
      <c r="Y40" s="256"/>
      <c r="Z40" s="253"/>
    </row>
    <row r="41" spans="2:26" s="31" customFormat="1" x14ac:dyDescent="0.2">
      <c r="B41" s="244" t="s">
        <v>167</v>
      </c>
      <c r="C41" s="253"/>
      <c r="D41" s="299"/>
      <c r="E41" s="253"/>
      <c r="F41" s="969"/>
      <c r="G41" s="299"/>
      <c r="H41" s="253"/>
      <c r="I41" s="253"/>
      <c r="J41" s="299"/>
      <c r="K41" s="253"/>
      <c r="L41" s="253"/>
      <c r="M41" s="299"/>
      <c r="N41" s="253"/>
      <c r="O41" s="253"/>
      <c r="P41" s="299"/>
      <c r="Q41" s="253"/>
      <c r="R41" s="253"/>
      <c r="S41" s="299"/>
      <c r="T41" s="253"/>
      <c r="U41" s="253"/>
      <c r="V41" s="299"/>
      <c r="W41" s="253"/>
      <c r="X41" s="253"/>
      <c r="Y41" s="299"/>
      <c r="Z41" s="253"/>
    </row>
    <row r="42" spans="2:26" s="31" customFormat="1" x14ac:dyDescent="0.2">
      <c r="B42" s="317" t="s">
        <v>177</v>
      </c>
      <c r="C42" s="253"/>
      <c r="D42" s="299"/>
      <c r="E42" s="253"/>
      <c r="F42" s="969"/>
      <c r="G42" s="299"/>
      <c r="H42" s="253"/>
      <c r="I42" s="253"/>
      <c r="J42" s="299"/>
      <c r="K42" s="253"/>
      <c r="L42" s="253"/>
      <c r="M42" s="299"/>
      <c r="N42" s="253"/>
      <c r="O42" s="253"/>
      <c r="P42" s="299"/>
      <c r="Q42" s="253"/>
      <c r="R42" s="253"/>
      <c r="S42" s="299"/>
      <c r="T42" s="253"/>
      <c r="U42" s="253"/>
      <c r="V42" s="299"/>
      <c r="W42" s="253"/>
      <c r="X42" s="253"/>
      <c r="Y42" s="299"/>
      <c r="Z42" s="253"/>
    </row>
    <row r="43" spans="2:26" s="31" customFormat="1" x14ac:dyDescent="0.2">
      <c r="B43" s="245" t="s">
        <v>4</v>
      </c>
      <c r="C43" s="253"/>
      <c r="D43" s="257"/>
      <c r="E43" s="253"/>
      <c r="F43" s="969"/>
      <c r="G43" s="257"/>
      <c r="H43" s="253"/>
      <c r="I43" s="253"/>
      <c r="J43" s="257"/>
      <c r="K43" s="253"/>
      <c r="L43" s="253"/>
      <c r="M43" s="257"/>
      <c r="N43" s="253"/>
      <c r="O43" s="253"/>
      <c r="P43" s="257"/>
      <c r="Q43" s="253"/>
      <c r="R43" s="253"/>
      <c r="S43" s="257"/>
      <c r="T43" s="253"/>
      <c r="U43" s="253"/>
      <c r="V43" s="257"/>
      <c r="W43" s="253"/>
      <c r="X43" s="253"/>
      <c r="Y43" s="257"/>
      <c r="Z43" s="253"/>
    </row>
    <row r="44" spans="2:26" s="31" customFormat="1" x14ac:dyDescent="0.2">
      <c r="B44" s="246" t="s">
        <v>105</v>
      </c>
      <c r="C44" s="253"/>
      <c r="D44" s="258"/>
      <c r="E44" s="253"/>
      <c r="F44" s="969"/>
      <c r="G44" s="258"/>
      <c r="H44" s="253"/>
      <c r="I44" s="253"/>
      <c r="J44" s="258"/>
      <c r="K44" s="253"/>
      <c r="L44" s="253"/>
      <c r="M44" s="258"/>
      <c r="N44" s="253"/>
      <c r="O44" s="253"/>
      <c r="P44" s="258"/>
      <c r="Q44" s="253"/>
      <c r="R44" s="253"/>
      <c r="S44" s="258"/>
      <c r="T44" s="253"/>
      <c r="U44" s="253"/>
      <c r="V44" s="258"/>
      <c r="W44" s="253"/>
      <c r="X44" s="253"/>
      <c r="Y44" s="258"/>
      <c r="Z44" s="253"/>
    </row>
    <row r="45" spans="2:26" s="31" customFormat="1" x14ac:dyDescent="0.2">
      <c r="B45" s="246" t="s">
        <v>5</v>
      </c>
      <c r="C45" s="253"/>
      <c r="D45" s="256"/>
      <c r="E45" s="253"/>
      <c r="F45" s="969"/>
      <c r="G45" s="256"/>
      <c r="H45" s="253"/>
      <c r="I45" s="253"/>
      <c r="J45" s="256"/>
      <c r="K45" s="253"/>
      <c r="L45" s="253"/>
      <c r="M45" s="256"/>
      <c r="N45" s="253"/>
      <c r="O45" s="253"/>
      <c r="P45" s="256"/>
      <c r="Q45" s="253"/>
      <c r="R45" s="253"/>
      <c r="S45" s="256"/>
      <c r="T45" s="253"/>
      <c r="U45" s="253"/>
      <c r="V45" s="256"/>
      <c r="W45" s="253"/>
      <c r="X45" s="253"/>
      <c r="Y45" s="256"/>
      <c r="Z45" s="253"/>
    </row>
    <row r="46" spans="2:26" s="31" customFormat="1" x14ac:dyDescent="0.2">
      <c r="B46" s="246" t="s">
        <v>6</v>
      </c>
      <c r="C46" s="253"/>
      <c r="D46" s="256"/>
      <c r="E46" s="253"/>
      <c r="F46" s="969"/>
      <c r="G46" s="256"/>
      <c r="H46" s="253"/>
      <c r="I46" s="253"/>
      <c r="J46" s="256"/>
      <c r="K46" s="253"/>
      <c r="L46" s="253"/>
      <c r="M46" s="256"/>
      <c r="N46" s="253"/>
      <c r="O46" s="253"/>
      <c r="P46" s="256"/>
      <c r="Q46" s="253"/>
      <c r="R46" s="253"/>
      <c r="S46" s="256"/>
      <c r="T46" s="253"/>
      <c r="U46" s="253"/>
      <c r="V46" s="256"/>
      <c r="W46" s="253"/>
      <c r="X46" s="253"/>
      <c r="Y46" s="256"/>
      <c r="Z46" s="253"/>
    </row>
    <row r="47" spans="2:26" s="31" customFormat="1" x14ac:dyDescent="0.2">
      <c r="B47" s="246" t="s">
        <v>7</v>
      </c>
      <c r="C47" s="253"/>
      <c r="D47" s="256"/>
      <c r="E47" s="253"/>
      <c r="F47" s="969"/>
      <c r="G47" s="256"/>
      <c r="H47" s="253"/>
      <c r="I47" s="253"/>
      <c r="J47" s="256"/>
      <c r="K47" s="253"/>
      <c r="L47" s="253"/>
      <c r="M47" s="256"/>
      <c r="N47" s="253"/>
      <c r="O47" s="253"/>
      <c r="P47" s="256"/>
      <c r="Q47" s="253"/>
      <c r="R47" s="253"/>
      <c r="S47" s="256"/>
      <c r="T47" s="253"/>
      <c r="U47" s="253"/>
      <c r="V47" s="256"/>
      <c r="W47" s="253"/>
      <c r="X47" s="253"/>
      <c r="Y47" s="256"/>
      <c r="Z47" s="253"/>
    </row>
    <row r="48" spans="2:26" s="31" customFormat="1" x14ac:dyDescent="0.2">
      <c r="B48" s="318" t="s">
        <v>177</v>
      </c>
      <c r="C48" s="253"/>
      <c r="D48" s="256"/>
      <c r="E48" s="253"/>
      <c r="F48" s="969"/>
      <c r="G48" s="256"/>
      <c r="H48" s="253"/>
      <c r="I48" s="253"/>
      <c r="J48" s="256"/>
      <c r="K48" s="253"/>
      <c r="L48" s="319"/>
      <c r="M48" s="253"/>
      <c r="N48" s="253"/>
      <c r="O48" s="319"/>
      <c r="P48" s="253"/>
      <c r="Q48" s="253"/>
      <c r="R48" s="319"/>
      <c r="S48" s="253"/>
      <c r="T48" s="253"/>
      <c r="U48" s="319"/>
      <c r="V48" s="253"/>
      <c r="W48" s="253"/>
      <c r="X48" s="319"/>
      <c r="Y48" s="253"/>
      <c r="Z48" s="253"/>
    </row>
    <row r="49" spans="2:26" s="31" customFormat="1" x14ac:dyDescent="0.2">
      <c r="B49" s="247" t="s">
        <v>8</v>
      </c>
      <c r="C49" s="253"/>
      <c r="D49" s="256"/>
      <c r="E49" s="253"/>
      <c r="F49" s="969"/>
      <c r="G49" s="256"/>
      <c r="H49" s="253"/>
      <c r="I49" s="253"/>
      <c r="J49" s="256"/>
      <c r="K49" s="253"/>
      <c r="L49" s="253"/>
      <c r="M49" s="256"/>
      <c r="N49" s="253"/>
      <c r="O49" s="253"/>
      <c r="P49" s="256"/>
      <c r="Q49" s="253"/>
      <c r="R49" s="253"/>
      <c r="S49" s="256"/>
      <c r="T49" s="253"/>
      <c r="U49" s="253"/>
      <c r="V49" s="256"/>
      <c r="W49" s="253"/>
      <c r="X49" s="253"/>
      <c r="Y49" s="256"/>
      <c r="Z49" s="253"/>
    </row>
    <row r="50" spans="2:26" s="31" customFormat="1" x14ac:dyDescent="0.2">
      <c r="B50" s="248" t="s">
        <v>91</v>
      </c>
      <c r="C50" s="253"/>
      <c r="D50" s="256"/>
      <c r="E50" s="253"/>
      <c r="F50" s="969"/>
      <c r="G50" s="256"/>
      <c r="H50" s="253"/>
      <c r="I50" s="253"/>
      <c r="J50" s="256"/>
      <c r="K50" s="253"/>
      <c r="L50" s="253"/>
      <c r="M50" s="256"/>
      <c r="N50" s="253"/>
      <c r="O50" s="253"/>
      <c r="P50" s="256"/>
      <c r="Q50" s="253"/>
      <c r="R50" s="253"/>
      <c r="S50" s="256"/>
      <c r="T50" s="253"/>
      <c r="U50" s="253"/>
      <c r="V50" s="256"/>
      <c r="W50" s="253"/>
      <c r="X50" s="253"/>
      <c r="Y50" s="256"/>
      <c r="Z50" s="253"/>
    </row>
    <row r="51" spans="2:26" s="31" customFormat="1" x14ac:dyDescent="0.2">
      <c r="B51" s="248" t="s">
        <v>92</v>
      </c>
      <c r="C51" s="253"/>
      <c r="D51" s="256"/>
      <c r="E51" s="253"/>
      <c r="F51" s="969"/>
      <c r="G51" s="256"/>
      <c r="H51" s="253"/>
      <c r="I51" s="253"/>
      <c r="J51" s="256"/>
      <c r="K51" s="253"/>
      <c r="L51" s="253"/>
      <c r="M51" s="256"/>
      <c r="N51" s="253"/>
      <c r="O51" s="253"/>
      <c r="P51" s="256"/>
      <c r="Q51" s="253"/>
      <c r="R51" s="253"/>
      <c r="S51" s="256"/>
      <c r="T51" s="253"/>
      <c r="U51" s="253"/>
      <c r="V51" s="256"/>
      <c r="W51" s="253"/>
      <c r="X51" s="253"/>
      <c r="Y51" s="256"/>
      <c r="Z51" s="253"/>
    </row>
    <row r="52" spans="2:26" s="31" customFormat="1" x14ac:dyDescent="0.2">
      <c r="B52" s="248" t="s">
        <v>93</v>
      </c>
      <c r="C52" s="253"/>
      <c r="D52" s="256"/>
      <c r="E52" s="253"/>
      <c r="F52" s="969"/>
      <c r="G52" s="256"/>
      <c r="H52" s="253"/>
      <c r="I52" s="253"/>
      <c r="J52" s="256"/>
      <c r="K52" s="253"/>
      <c r="L52" s="253"/>
      <c r="M52" s="256"/>
      <c r="N52" s="253"/>
      <c r="O52" s="253"/>
      <c r="P52" s="256"/>
      <c r="Q52" s="253"/>
      <c r="R52" s="253"/>
      <c r="S52" s="256"/>
      <c r="T52" s="253"/>
      <c r="U52" s="253"/>
      <c r="V52" s="256"/>
      <c r="W52" s="253"/>
      <c r="X52" s="253"/>
      <c r="Y52" s="256"/>
      <c r="Z52" s="253"/>
    </row>
    <row r="53" spans="2:26" s="31" customFormat="1" x14ac:dyDescent="0.2">
      <c r="B53" s="249" t="s">
        <v>100</v>
      </c>
      <c r="C53" s="253"/>
      <c r="D53" s="256"/>
      <c r="E53" s="253"/>
      <c r="F53" s="969"/>
      <c r="G53" s="256"/>
      <c r="H53" s="253"/>
      <c r="I53" s="253"/>
      <c r="J53" s="256"/>
      <c r="K53" s="253"/>
      <c r="L53" s="253"/>
      <c r="M53" s="256"/>
      <c r="N53" s="253"/>
      <c r="O53" s="253"/>
      <c r="P53" s="256"/>
      <c r="Q53" s="253"/>
      <c r="R53" s="253"/>
      <c r="S53" s="256"/>
      <c r="T53" s="253"/>
      <c r="U53" s="253"/>
      <c r="V53" s="256"/>
      <c r="W53" s="253"/>
      <c r="X53" s="253"/>
      <c r="Y53" s="256"/>
      <c r="Z53" s="253"/>
    </row>
    <row r="54" spans="2:26" s="31" customFormat="1" ht="15.75" thickBot="1" x14ac:dyDescent="0.25">
      <c r="B54" s="250" t="s">
        <v>101</v>
      </c>
      <c r="C54" s="254"/>
      <c r="D54" s="259"/>
      <c r="E54" s="254"/>
      <c r="F54" s="970"/>
      <c r="G54" s="259"/>
      <c r="H54" s="254"/>
      <c r="I54" s="254"/>
      <c r="J54" s="259"/>
      <c r="K54" s="254"/>
      <c r="L54" s="254"/>
      <c r="M54" s="259"/>
      <c r="N54" s="254"/>
      <c r="O54" s="254"/>
      <c r="P54" s="259"/>
      <c r="Q54" s="254"/>
      <c r="R54" s="254"/>
      <c r="S54" s="259"/>
      <c r="T54" s="254"/>
      <c r="U54" s="254"/>
      <c r="V54" s="259"/>
      <c r="W54" s="254"/>
      <c r="X54" s="254"/>
      <c r="Y54" s="259"/>
      <c r="Z54" s="254"/>
    </row>
    <row r="55" spans="2:26" ht="26.25" customHeight="1" thickBot="1" x14ac:dyDescent="0.3">
      <c r="C55" s="242">
        <f>SUM(C34:C54)</f>
        <v>0</v>
      </c>
      <c r="F55" s="978">
        <f>SUM(F34:F54)</f>
        <v>0</v>
      </c>
      <c r="I55" s="242">
        <f>SUM(I34:I54)</f>
        <v>0</v>
      </c>
      <c r="J55"/>
      <c r="K55"/>
      <c r="L55" s="242">
        <f>SUM(L34:L54)</f>
        <v>0</v>
      </c>
      <c r="N55" s="81"/>
      <c r="O55" s="242">
        <f>SUM(O34:O54)</f>
        <v>0</v>
      </c>
      <c r="P55" s="81"/>
      <c r="Q55" s="81"/>
      <c r="R55" s="242">
        <f>SUM(R34:R54)</f>
        <v>0</v>
      </c>
      <c r="S55" s="81"/>
      <c r="U55" s="242">
        <f>SUM(U34:U54)</f>
        <v>0</v>
      </c>
      <c r="V55" s="81"/>
      <c r="X55" s="242">
        <f>SUM(X34:X54)</f>
        <v>0</v>
      </c>
    </row>
    <row r="57" spans="2:26" x14ac:dyDescent="0.2">
      <c r="B57" s="23" t="s">
        <v>26</v>
      </c>
      <c r="C57" s="80"/>
      <c r="E57" s="23" t="s">
        <v>158</v>
      </c>
    </row>
    <row r="58" spans="2:26" x14ac:dyDescent="0.2">
      <c r="B58" s="23" t="s">
        <v>156</v>
      </c>
      <c r="E58" s="23" t="s">
        <v>159</v>
      </c>
    </row>
    <row r="59" spans="2:26" ht="15.75" x14ac:dyDescent="0.25">
      <c r="B59" s="23" t="s">
        <v>157</v>
      </c>
      <c r="E59" s="23" t="s">
        <v>161</v>
      </c>
      <c r="H59" s="34"/>
    </row>
    <row r="60" spans="2:26" x14ac:dyDescent="0.2">
      <c r="E60" s="23" t="s">
        <v>11</v>
      </c>
    </row>
    <row r="63" spans="2:26" x14ac:dyDescent="0.2">
      <c r="C63" s="294"/>
    </row>
    <row r="67" spans="2:10" ht="15.75" thickBot="1" x14ac:dyDescent="0.25">
      <c r="B67" s="232" t="s">
        <v>150</v>
      </c>
    </row>
    <row r="68" spans="2:10" ht="13.5" thickBot="1" x14ac:dyDescent="0.25">
      <c r="B68" s="187"/>
      <c r="C68" s="188" t="s">
        <v>145</v>
      </c>
      <c r="D68" s="189"/>
      <c r="E68" s="1056" t="s">
        <v>146</v>
      </c>
      <c r="F68" s="1057"/>
      <c r="G68" s="1057"/>
      <c r="H68" s="1058"/>
    </row>
    <row r="69" spans="2:10" ht="32.25" thickBot="1" x14ac:dyDescent="0.25">
      <c r="B69" s="82"/>
      <c r="C69" s="233" t="s">
        <v>114</v>
      </c>
      <c r="D69" s="234" t="s">
        <v>115</v>
      </c>
      <c r="E69" s="235" t="s">
        <v>116</v>
      </c>
      <c r="F69" s="979" t="s">
        <v>117</v>
      </c>
      <c r="G69" s="236" t="s">
        <v>44</v>
      </c>
      <c r="H69" s="233" t="s">
        <v>118</v>
      </c>
    </row>
    <row r="70" spans="2:10" ht="15.75" thickBot="1" x14ac:dyDescent="0.25">
      <c r="B70" s="190"/>
      <c r="C70" s="191"/>
      <c r="D70" s="191"/>
      <c r="E70" s="191"/>
      <c r="F70" s="980"/>
      <c r="G70" s="191"/>
      <c r="H70" s="192"/>
    </row>
    <row r="71" spans="2:10" ht="13.5" thickBot="1" x14ac:dyDescent="0.25">
      <c r="B71" s="1053" t="s">
        <v>147</v>
      </c>
      <c r="C71" s="1056" t="s">
        <v>148</v>
      </c>
      <c r="D71" s="1057"/>
      <c r="E71" s="1057"/>
      <c r="F71" s="1057"/>
      <c r="G71" s="1057"/>
      <c r="H71" s="1058"/>
    </row>
    <row r="72" spans="2:10" ht="25.5" x14ac:dyDescent="0.2">
      <c r="B72" s="1054"/>
      <c r="C72" s="193" t="s">
        <v>40</v>
      </c>
      <c r="D72" s="194" t="s">
        <v>109</v>
      </c>
      <c r="E72" s="205">
        <v>5.8</v>
      </c>
      <c r="F72" s="981">
        <v>17</v>
      </c>
      <c r="G72" s="195">
        <v>983541.15475019277</v>
      </c>
      <c r="H72" s="196">
        <v>107417.24137931035</v>
      </c>
    </row>
    <row r="73" spans="2:10" ht="25.5" x14ac:dyDescent="0.2">
      <c r="B73" s="1054"/>
      <c r="C73" s="197" t="s">
        <v>41</v>
      </c>
      <c r="D73" s="198" t="s">
        <v>110</v>
      </c>
      <c r="E73" s="206">
        <v>2</v>
      </c>
      <c r="F73" s="982">
        <v>6</v>
      </c>
      <c r="G73" s="195">
        <v>339152.12232765276</v>
      </c>
      <c r="H73" s="199">
        <v>107415</v>
      </c>
    </row>
    <row r="74" spans="2:10" ht="25.5" x14ac:dyDescent="0.2">
      <c r="B74" s="1054"/>
      <c r="C74" s="197" t="s">
        <v>111</v>
      </c>
      <c r="D74" s="198" t="s">
        <v>112</v>
      </c>
      <c r="E74" s="206">
        <v>0.5</v>
      </c>
      <c r="F74" s="982">
        <v>2</v>
      </c>
      <c r="G74" s="195">
        <v>84788.03058191319</v>
      </c>
      <c r="H74" s="199">
        <v>107420</v>
      </c>
    </row>
    <row r="75" spans="2:10" ht="26.25" thickBot="1" x14ac:dyDescent="0.25">
      <c r="B75" s="1055"/>
      <c r="C75" s="200" t="s">
        <v>43</v>
      </c>
      <c r="D75" s="201" t="s">
        <v>113</v>
      </c>
      <c r="E75" s="207">
        <v>30</v>
      </c>
      <c r="F75" s="983">
        <v>80</v>
      </c>
      <c r="G75" s="202">
        <v>5087281.8349147914</v>
      </c>
      <c r="H75" s="203">
        <v>107417.33333333333</v>
      </c>
    </row>
    <row r="76" spans="2:10" ht="35.25" customHeight="1" thickBot="1" x14ac:dyDescent="0.25">
      <c r="B76" s="237"/>
      <c r="C76" s="238" t="s">
        <v>149</v>
      </c>
      <c r="D76" s="238"/>
      <c r="E76" s="239">
        <f>SUM(E72:E75)</f>
        <v>38.299999999999997</v>
      </c>
      <c r="F76" s="971">
        <f>SUM(F72:F75)</f>
        <v>105</v>
      </c>
      <c r="G76" s="240">
        <f>SUM(G72:G75)</f>
        <v>6494763.1425745506</v>
      </c>
      <c r="H76" s="241">
        <f>+G76/E76</f>
        <v>169576.06116382641</v>
      </c>
      <c r="J76" s="81" t="s">
        <v>11</v>
      </c>
    </row>
    <row r="79" spans="2:10" x14ac:dyDescent="0.2">
      <c r="B79" s="131"/>
      <c r="C79" s="130"/>
      <c r="D79" s="19"/>
      <c r="E79" s="19"/>
      <c r="F79" s="984"/>
      <c r="G79" s="81"/>
      <c r="H79" s="134"/>
    </row>
    <row r="80" spans="2:10" x14ac:dyDescent="0.2">
      <c r="B80" s="131"/>
      <c r="C80" s="130"/>
      <c r="D80" s="19"/>
      <c r="E80" s="19"/>
      <c r="F80" s="984"/>
      <c r="G80" s="81"/>
      <c r="H80" s="19"/>
    </row>
    <row r="81" spans="1:8" x14ac:dyDescent="0.2">
      <c r="B81" s="131"/>
      <c r="C81" s="130"/>
      <c r="D81" s="19"/>
      <c r="E81" s="19"/>
      <c r="F81" s="985"/>
      <c r="G81" s="81"/>
      <c r="H81" s="19"/>
    </row>
    <row r="82" spans="1:8" x14ac:dyDescent="0.2">
      <c r="B82" s="131"/>
      <c r="C82" s="130"/>
      <c r="D82" s="19"/>
      <c r="E82" s="19"/>
      <c r="F82" s="984"/>
      <c r="G82" s="19"/>
      <c r="H82" s="19"/>
    </row>
    <row r="83" spans="1:8" x14ac:dyDescent="0.2">
      <c r="B83" s="131"/>
      <c r="C83" s="130"/>
      <c r="D83" s="19"/>
      <c r="E83" s="19"/>
      <c r="F83" s="984"/>
      <c r="G83" s="81"/>
      <c r="H83" s="19"/>
    </row>
    <row r="84" spans="1:8" x14ac:dyDescent="0.2">
      <c r="B84" s="131"/>
      <c r="C84" s="130"/>
      <c r="D84" s="19"/>
      <c r="E84" s="19"/>
      <c r="F84" s="984"/>
      <c r="G84" s="19"/>
      <c r="H84" s="19"/>
    </row>
    <row r="85" spans="1:8" x14ac:dyDescent="0.2">
      <c r="B85" s="129"/>
      <c r="C85" s="130"/>
      <c r="D85" s="19"/>
      <c r="E85" s="19"/>
      <c r="F85" s="984"/>
      <c r="G85" s="19"/>
      <c r="H85" s="19"/>
    </row>
    <row r="86" spans="1:8" x14ac:dyDescent="0.2">
      <c r="B86" s="131"/>
      <c r="C86" s="130"/>
      <c r="D86" s="19"/>
      <c r="E86" s="19"/>
      <c r="F86" s="984"/>
      <c r="G86" s="19"/>
      <c r="H86" s="19"/>
    </row>
    <row r="87" spans="1:8" x14ac:dyDescent="0.2">
      <c r="B87" s="131"/>
      <c r="C87" s="130"/>
      <c r="D87" s="19"/>
      <c r="E87" s="19"/>
      <c r="F87" s="984"/>
      <c r="G87" s="19"/>
      <c r="H87" s="19"/>
    </row>
    <row r="88" spans="1:8" x14ac:dyDescent="0.2">
      <c r="B88" s="19"/>
      <c r="C88" s="132"/>
      <c r="D88" s="19"/>
      <c r="E88" s="19"/>
      <c r="F88" s="984"/>
      <c r="G88" s="19"/>
      <c r="H88" s="19"/>
    </row>
    <row r="89" spans="1:8" ht="15.75" x14ac:dyDescent="0.2">
      <c r="A89" s="35"/>
      <c r="B89" s="133"/>
      <c r="C89" s="133"/>
      <c r="D89" s="133"/>
      <c r="E89" s="133"/>
      <c r="F89" s="986"/>
      <c r="G89" s="133"/>
      <c r="H89" s="19"/>
    </row>
    <row r="90" spans="1:8" x14ac:dyDescent="0.2">
      <c r="B90" s="19"/>
      <c r="C90" s="19"/>
      <c r="D90" s="19"/>
      <c r="E90" s="19"/>
      <c r="F90" s="984"/>
      <c r="G90" s="81"/>
      <c r="H90" s="19"/>
    </row>
    <row r="91" spans="1:8" x14ac:dyDescent="0.2">
      <c r="B91" s="19"/>
      <c r="C91" s="19"/>
      <c r="D91" s="19"/>
      <c r="E91" s="19"/>
      <c r="F91" s="984"/>
      <c r="G91" s="81"/>
      <c r="H91" s="19"/>
    </row>
    <row r="92" spans="1:8" x14ac:dyDescent="0.2">
      <c r="B92" s="19"/>
      <c r="C92" s="19"/>
      <c r="D92" s="19"/>
      <c r="E92" s="19"/>
      <c r="F92" s="984"/>
      <c r="G92" s="81"/>
      <c r="H92" s="19"/>
    </row>
    <row r="93" spans="1:8" x14ac:dyDescent="0.2">
      <c r="B93" s="19"/>
      <c r="C93" s="19"/>
      <c r="D93" s="19"/>
      <c r="E93" s="19"/>
      <c r="F93" s="984"/>
      <c r="G93" s="81"/>
      <c r="H93" s="19"/>
    </row>
    <row r="94" spans="1:8" ht="15.75" x14ac:dyDescent="0.25">
      <c r="B94" s="19"/>
      <c r="C94" s="19"/>
      <c r="D94" s="19"/>
      <c r="E94" s="19"/>
      <c r="F94" s="987"/>
      <c r="G94" s="81"/>
      <c r="H94" s="19"/>
    </row>
    <row r="95" spans="1:8" x14ac:dyDescent="0.2">
      <c r="B95" s="19"/>
      <c r="C95" s="19"/>
      <c r="D95" s="19"/>
      <c r="E95" s="19"/>
      <c r="F95" s="984"/>
      <c r="G95" s="19"/>
      <c r="H95" s="19"/>
    </row>
    <row r="96" spans="1:8" x14ac:dyDescent="0.2">
      <c r="B96" s="19"/>
      <c r="C96" s="19"/>
      <c r="D96" s="19"/>
      <c r="E96" s="19"/>
      <c r="F96" s="984"/>
      <c r="G96" s="19"/>
      <c r="H96" s="19"/>
    </row>
  </sheetData>
  <sheetProtection algorithmName="SHA-512" hashValue="smeKxbrkLMYwhP7tCWLqON8y6VuFk+cFfQn/l5bkzRjvE8DDter9nuCGptjFtx7bmJx7ExEtomoq5Rv4Bk/eyg==" saltValue="LuuAV9OJZHUAp7rZmsiSwA==" spinCount="100000" sheet="1" objects="1" scenarios="1"/>
  <mergeCells count="9">
    <mergeCell ref="B1:G1"/>
    <mergeCell ref="B2:B3"/>
    <mergeCell ref="C2:C3"/>
    <mergeCell ref="B71:B75"/>
    <mergeCell ref="C71:H71"/>
    <mergeCell ref="B31:B32"/>
    <mergeCell ref="C31:C32"/>
    <mergeCell ref="E31:E32"/>
    <mergeCell ref="E68:H68"/>
  </mergeCells>
  <phoneticPr fontId="0" type="noConversion"/>
  <printOptions horizontalCentered="1" verticalCentered="1"/>
  <pageMargins left="0.47244094488188981" right="0.35433070866141736" top="0.6692913385826772" bottom="0.74803149606299213" header="0" footer="0"/>
  <pageSetup scale="80" orientation="landscape" r:id="rId1"/>
  <headerFooter alignWithMargins="0">
    <oddFooter>&amp;LARCHIVO: MRN/&amp;FHOJA: &amp;A&amp;R&amp;D</oddFooter>
  </headerFooter>
  <ignoredErrors>
    <ignoredError sqref="F22:F23 F27 F24:F2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8"/>
  <sheetViews>
    <sheetView showGridLines="0" zoomScale="70" zoomScaleNormal="70" workbookViewId="0">
      <selection activeCell="M32" sqref="M32:N32"/>
    </sheetView>
  </sheetViews>
  <sheetFormatPr baseColWidth="10" defaultRowHeight="12.75" x14ac:dyDescent="0.2"/>
  <cols>
    <col min="1" max="1" width="2.85546875" style="40" customWidth="1"/>
    <col min="2" max="2" width="36.140625" style="40" customWidth="1"/>
    <col min="3" max="3" width="16.140625" style="40" customWidth="1"/>
    <col min="4" max="4" width="11.42578125" style="40"/>
    <col min="5" max="5" width="27.85546875" style="40" customWidth="1"/>
    <col min="6" max="6" width="22" style="40" customWidth="1"/>
    <col min="7" max="7" width="23" style="177" customWidth="1"/>
    <col min="8" max="8" width="34.42578125" style="40" customWidth="1"/>
    <col min="9" max="9" width="15" style="27" customWidth="1"/>
    <col min="10" max="10" width="15.7109375" style="27" customWidth="1"/>
    <col min="11" max="11" width="4" style="27" customWidth="1"/>
    <col min="12" max="12" width="15.7109375" style="40" customWidth="1"/>
    <col min="13" max="13" width="14.85546875" style="40" customWidth="1"/>
    <col min="14" max="20" width="11.42578125" style="40"/>
    <col min="21" max="26" width="24.42578125" style="40" customWidth="1"/>
    <col min="27" max="16384" width="11.42578125" style="40"/>
  </cols>
  <sheetData>
    <row r="1" spans="2:10" ht="18" x14ac:dyDescent="0.25">
      <c r="B1" s="1072" t="s">
        <v>13</v>
      </c>
      <c r="C1" s="1072"/>
      <c r="D1" s="1072"/>
      <c r="E1" s="1072"/>
      <c r="F1" s="1072"/>
      <c r="G1" s="54"/>
    </row>
    <row r="2" spans="2:10" ht="15.75" x14ac:dyDescent="0.25">
      <c r="B2" s="1072" t="s">
        <v>94</v>
      </c>
      <c r="C2" s="1072"/>
      <c r="D2" s="1072"/>
      <c r="E2" s="1072"/>
      <c r="F2" s="1072"/>
    </row>
    <row r="3" spans="2:10" x14ac:dyDescent="0.2">
      <c r="B3" s="1077" t="s">
        <v>75</v>
      </c>
      <c r="C3" s="1077"/>
      <c r="D3" s="1077"/>
      <c r="E3" s="1077"/>
      <c r="F3" s="1077"/>
      <c r="G3" s="36"/>
    </row>
    <row r="4" spans="2:10" ht="24" thickBot="1" x14ac:dyDescent="0.4">
      <c r="B4" s="1071" t="s">
        <v>80</v>
      </c>
      <c r="C4" s="1071"/>
      <c r="D4" s="1071"/>
      <c r="E4" s="1071"/>
      <c r="F4" s="1071"/>
      <c r="I4" s="353"/>
    </row>
    <row r="5" spans="2:10" ht="34.9" customHeight="1" thickBot="1" x14ac:dyDescent="0.25">
      <c r="B5" s="1075" t="s">
        <v>32</v>
      </c>
      <c r="C5" s="1073" t="s">
        <v>17</v>
      </c>
      <c r="D5" s="1074"/>
      <c r="E5" s="1069" t="s">
        <v>190</v>
      </c>
      <c r="F5" s="1070"/>
      <c r="G5" s="35"/>
      <c r="I5" s="40"/>
    </row>
    <row r="6" spans="2:10" ht="13.5" thickBot="1" x14ac:dyDescent="0.25">
      <c r="B6" s="1076"/>
      <c r="C6" s="270" t="s">
        <v>83</v>
      </c>
      <c r="D6" s="271" t="s">
        <v>70</v>
      </c>
      <c r="E6" s="271" t="s">
        <v>45</v>
      </c>
      <c r="F6" s="272" t="s">
        <v>46</v>
      </c>
      <c r="I6" s="40"/>
    </row>
    <row r="7" spans="2:10" ht="13.5" customHeight="1" x14ac:dyDescent="0.2">
      <c r="B7" s="435" t="s">
        <v>345</v>
      </c>
      <c r="C7" s="41" t="s">
        <v>81</v>
      </c>
      <c r="D7" s="494">
        <v>100</v>
      </c>
      <c r="E7" s="42">
        <f>+'LL.SANCHEZ CONEX 230'!E23</f>
        <v>3200000</v>
      </c>
      <c r="F7" s="42">
        <f t="shared" ref="F7:F13" si="0">E7/D7</f>
        <v>32000</v>
      </c>
      <c r="G7" s="1065"/>
      <c r="H7" s="1066"/>
      <c r="I7" s="40"/>
    </row>
    <row r="8" spans="2:10" x14ac:dyDescent="0.2">
      <c r="B8" s="436" t="s">
        <v>345</v>
      </c>
      <c r="C8" s="44" t="s">
        <v>81</v>
      </c>
      <c r="D8" s="496">
        <v>140</v>
      </c>
      <c r="E8" s="45">
        <f>+'LL.SANCHEZ CONEX 230'!E25</f>
        <v>5400000</v>
      </c>
      <c r="F8" s="45">
        <f t="shared" si="0"/>
        <v>38571.428571428572</v>
      </c>
      <c r="G8" s="1065"/>
      <c r="H8" s="1066"/>
      <c r="I8" s="452"/>
    </row>
    <row r="9" spans="2:10" x14ac:dyDescent="0.2">
      <c r="B9" s="436" t="s">
        <v>576</v>
      </c>
      <c r="C9" s="44" t="s">
        <v>82</v>
      </c>
      <c r="D9" s="496">
        <v>1</v>
      </c>
      <c r="E9" s="45">
        <v>6945375.4199999999</v>
      </c>
      <c r="F9" s="45">
        <f t="shared" si="0"/>
        <v>6945375.4199999999</v>
      </c>
      <c r="G9" s="1065"/>
      <c r="H9" s="1066"/>
      <c r="I9" s="40"/>
    </row>
    <row r="10" spans="2:10" x14ac:dyDescent="0.2">
      <c r="B10" s="43" t="s">
        <v>47</v>
      </c>
      <c r="C10" s="44" t="s">
        <v>82</v>
      </c>
      <c r="D10" s="495">
        <v>3</v>
      </c>
      <c r="E10" s="45">
        <f>+'VNR consulta (015 17)'!D65</f>
        <v>4453567.381736177</v>
      </c>
      <c r="F10" s="45">
        <f t="shared" si="0"/>
        <v>1484522.4605787257</v>
      </c>
      <c r="G10" s="468"/>
      <c r="I10" s="40"/>
    </row>
    <row r="11" spans="2:10" x14ac:dyDescent="0.2">
      <c r="B11" s="43" t="s">
        <v>48</v>
      </c>
      <c r="C11" s="44" t="s">
        <v>82</v>
      </c>
      <c r="D11" s="496">
        <v>1</v>
      </c>
      <c r="E11" s="45">
        <f>+'VNR consulta (015 17)'!E65</f>
        <v>1966098.9783451543</v>
      </c>
      <c r="F11" s="45">
        <f t="shared" si="0"/>
        <v>1966098.9783451543</v>
      </c>
      <c r="G11" s="437"/>
      <c r="H11" s="438"/>
      <c r="I11" s="40"/>
      <c r="J11" s="442"/>
    </row>
    <row r="12" spans="2:10" x14ac:dyDescent="0.2">
      <c r="B12" s="43" t="s">
        <v>49</v>
      </c>
      <c r="C12" s="44" t="s">
        <v>82</v>
      </c>
      <c r="D12" s="496">
        <v>1</v>
      </c>
      <c r="E12" s="45">
        <f>+'VNR consulta (015 17)'!D67</f>
        <v>840375.4114904236</v>
      </c>
      <c r="F12" s="45">
        <f t="shared" si="0"/>
        <v>840375.4114904236</v>
      </c>
      <c r="G12" s="437"/>
      <c r="H12" s="46"/>
      <c r="I12" s="433"/>
      <c r="J12" s="442"/>
    </row>
    <row r="13" spans="2:10" x14ac:dyDescent="0.2">
      <c r="B13" s="43" t="s">
        <v>50</v>
      </c>
      <c r="C13" s="44" t="s">
        <v>82</v>
      </c>
      <c r="D13" s="496">
        <v>3</v>
      </c>
      <c r="E13" s="45">
        <f>+'VNR consulta (015 17)'!E67</f>
        <v>4124071.523175756</v>
      </c>
      <c r="F13" s="45">
        <f t="shared" si="0"/>
        <v>1374690.5077252521</v>
      </c>
      <c r="G13" s="437"/>
      <c r="H13" s="438"/>
      <c r="I13" s="438"/>
      <c r="J13" s="442"/>
    </row>
    <row r="14" spans="2:10" x14ac:dyDescent="0.2">
      <c r="B14" s="436" t="s">
        <v>336</v>
      </c>
      <c r="C14" s="44"/>
      <c r="D14" s="496">
        <v>0</v>
      </c>
      <c r="E14" s="45">
        <f>+'VNR consulta (015 17)'!C43</f>
        <v>0</v>
      </c>
      <c r="F14" s="45">
        <v>0</v>
      </c>
      <c r="G14" s="437"/>
      <c r="H14" s="438"/>
      <c r="I14" s="433"/>
      <c r="J14" s="442"/>
    </row>
    <row r="15" spans="2:10" ht="12.75" customHeight="1" x14ac:dyDescent="0.2">
      <c r="B15" s="43" t="s">
        <v>51</v>
      </c>
      <c r="C15" s="44" t="s">
        <v>82</v>
      </c>
      <c r="D15" s="496">
        <v>1</v>
      </c>
      <c r="E15" s="45">
        <v>926434.75</v>
      </c>
      <c r="F15" s="45">
        <f>E15/D15</f>
        <v>926434.75</v>
      </c>
      <c r="G15" s="1063"/>
      <c r="H15" s="1064"/>
      <c r="I15" s="433"/>
      <c r="J15" s="442"/>
    </row>
    <row r="16" spans="2:10" x14ac:dyDescent="0.2">
      <c r="B16" s="43" t="s">
        <v>52</v>
      </c>
      <c r="C16" s="44" t="s">
        <v>81</v>
      </c>
      <c r="D16" s="496">
        <v>24</v>
      </c>
      <c r="E16" s="45">
        <v>810000</v>
      </c>
      <c r="F16" s="45">
        <f t="shared" ref="F16:F24" si="1">E16/D16</f>
        <v>33750</v>
      </c>
      <c r="G16" s="1063"/>
      <c r="H16" s="1064"/>
      <c r="I16" s="433"/>
      <c r="J16" s="442"/>
    </row>
    <row r="17" spans="2:26" x14ac:dyDescent="0.2">
      <c r="B17" s="43" t="s">
        <v>53</v>
      </c>
      <c r="C17" s="44" t="s">
        <v>82</v>
      </c>
      <c r="D17" s="496">
        <v>4</v>
      </c>
      <c r="E17" s="45">
        <f>+'VNR consulta (015 17)'!E42</f>
        <v>5651072.8711218843</v>
      </c>
      <c r="F17" s="45">
        <f t="shared" si="1"/>
        <v>1412768.2177804711</v>
      </c>
      <c r="G17" s="437"/>
      <c r="H17" s="46"/>
      <c r="I17" s="433"/>
      <c r="J17" s="442"/>
    </row>
    <row r="18" spans="2:26" x14ac:dyDescent="0.2">
      <c r="B18" s="43" t="s">
        <v>54</v>
      </c>
      <c r="C18" s="44" t="s">
        <v>82</v>
      </c>
      <c r="D18" s="496">
        <v>6</v>
      </c>
      <c r="E18" s="45">
        <f>+'VNR consulta (015 17)'!E63</f>
        <v>7823279.1405278025</v>
      </c>
      <c r="F18" s="45">
        <f t="shared" si="1"/>
        <v>1303879.8567546338</v>
      </c>
      <c r="G18" s="437"/>
      <c r="H18" s="46"/>
      <c r="I18" s="433"/>
      <c r="J18" s="442"/>
    </row>
    <row r="19" spans="2:26" x14ac:dyDescent="0.2">
      <c r="B19" s="43" t="s">
        <v>55</v>
      </c>
      <c r="C19" s="44" t="s">
        <v>82</v>
      </c>
      <c r="D19" s="496">
        <v>3</v>
      </c>
      <c r="E19" s="45">
        <v>12223806.970000001</v>
      </c>
      <c r="F19" s="45">
        <f t="shared" si="1"/>
        <v>4074602.3233333337</v>
      </c>
      <c r="G19" s="492"/>
      <c r="H19" s="493"/>
      <c r="I19" s="433"/>
      <c r="J19" s="442"/>
    </row>
    <row r="20" spans="2:26" x14ac:dyDescent="0.2">
      <c r="B20" s="436" t="s">
        <v>346</v>
      </c>
      <c r="C20" s="44" t="s">
        <v>81</v>
      </c>
      <c r="D20" s="496">
        <v>100</v>
      </c>
      <c r="E20" s="45">
        <v>2700000</v>
      </c>
      <c r="F20" s="45">
        <f t="shared" si="1"/>
        <v>27000</v>
      </c>
      <c r="G20" s="492"/>
      <c r="H20" s="493"/>
      <c r="I20" s="433"/>
      <c r="J20" s="442"/>
    </row>
    <row r="21" spans="2:26" x14ac:dyDescent="0.2">
      <c r="B21" s="436" t="s">
        <v>346</v>
      </c>
      <c r="C21" s="44" t="s">
        <v>81</v>
      </c>
      <c r="D21" s="496">
        <v>100</v>
      </c>
      <c r="E21" s="45">
        <v>4300000</v>
      </c>
      <c r="F21" s="45">
        <f t="shared" si="1"/>
        <v>43000</v>
      </c>
      <c r="G21" s="492"/>
      <c r="H21" s="493"/>
      <c r="I21" s="433"/>
      <c r="J21" s="442"/>
    </row>
    <row r="22" spans="2:26" x14ac:dyDescent="0.2">
      <c r="B22" s="436" t="s">
        <v>337</v>
      </c>
      <c r="C22" s="44" t="s">
        <v>82</v>
      </c>
      <c r="D22" s="496">
        <v>1</v>
      </c>
      <c r="E22" s="45">
        <f>+'VNR consulta (015 17)'!C64</f>
        <v>2303421.3466992001</v>
      </c>
      <c r="F22" s="45">
        <f>E22/D22</f>
        <v>2303421.3466992001</v>
      </c>
      <c r="G22" s="437"/>
      <c r="H22" s="46"/>
      <c r="I22" s="433"/>
      <c r="J22" s="442"/>
    </row>
    <row r="23" spans="2:26" x14ac:dyDescent="0.2">
      <c r="B23" s="43" t="s">
        <v>154</v>
      </c>
      <c r="C23" s="44" t="s">
        <v>82</v>
      </c>
      <c r="D23" s="496">
        <v>1</v>
      </c>
      <c r="E23" s="45">
        <f>+'VNR consulta (015 17)'!D44</f>
        <v>149234.44478002368</v>
      </c>
      <c r="F23" s="45">
        <f t="shared" si="1"/>
        <v>149234.44478002368</v>
      </c>
      <c r="G23" s="468"/>
      <c r="H23" s="468"/>
      <c r="I23" s="468"/>
      <c r="J23" s="442"/>
    </row>
    <row r="24" spans="2:26" ht="16.5" customHeight="1" thickBot="1" x14ac:dyDescent="0.25">
      <c r="B24" s="47" t="s">
        <v>102</v>
      </c>
      <c r="C24" s="1003" t="s">
        <v>82</v>
      </c>
      <c r="D24" s="1004">
        <v>2</v>
      </c>
      <c r="E24" s="1005">
        <f>+'VNR consulta (015 17)'!E44</f>
        <v>1784882.6666695022</v>
      </c>
      <c r="F24" s="1005">
        <f t="shared" si="1"/>
        <v>892441.33333475108</v>
      </c>
      <c r="G24" s="468"/>
      <c r="H24" s="468"/>
      <c r="I24" s="468"/>
      <c r="J24" s="491"/>
      <c r="K24" s="491"/>
    </row>
    <row r="25" spans="2:26" ht="16.5" thickBot="1" x14ac:dyDescent="0.3">
      <c r="B25" s="1067" t="s">
        <v>84</v>
      </c>
      <c r="C25" s="1067"/>
      <c r="D25" s="1068"/>
      <c r="E25" s="273">
        <f>SUM(E7:E24)</f>
        <v>65601620.904545926</v>
      </c>
      <c r="F25" s="273">
        <f>SUM(F7:F24)</f>
        <v>23848166.479393397</v>
      </c>
      <c r="G25" s="729"/>
      <c r="H25" s="993"/>
      <c r="I25" s="729"/>
      <c r="J25" s="729"/>
      <c r="K25" s="491"/>
    </row>
    <row r="26" spans="2:26" ht="13.5" thickBot="1" x14ac:dyDescent="0.25">
      <c r="F26" s="46"/>
      <c r="G26" s="729"/>
      <c r="H26" s="729"/>
      <c r="I26" s="729"/>
      <c r="J26" s="729"/>
      <c r="K26" s="491"/>
    </row>
    <row r="27" spans="2:26" ht="21" thickBot="1" x14ac:dyDescent="0.35">
      <c r="B27" s="274" t="s">
        <v>56</v>
      </c>
      <c r="C27" s="274"/>
      <c r="D27" s="274" t="s">
        <v>2</v>
      </c>
      <c r="E27" s="274" t="s">
        <v>45</v>
      </c>
      <c r="F27" s="274" t="s">
        <v>57</v>
      </c>
      <c r="G27" s="729"/>
      <c r="H27" s="729"/>
      <c r="I27" s="729"/>
      <c r="J27" s="729"/>
      <c r="K27" s="491"/>
      <c r="V27" s="434" t="s">
        <v>335</v>
      </c>
    </row>
    <row r="28" spans="2:26" ht="13.5" thickBot="1" x14ac:dyDescent="0.25">
      <c r="B28" s="48" t="str">
        <f>B7</f>
        <v>Llano Sánchez Transformador 100MVA</v>
      </c>
      <c r="C28" s="48"/>
      <c r="D28" s="58">
        <f>+D7</f>
        <v>100</v>
      </c>
      <c r="E28" s="59">
        <f>+E7</f>
        <v>3200000</v>
      </c>
      <c r="F28" s="59">
        <f>+E28/D28</f>
        <v>32000</v>
      </c>
      <c r="G28" s="27"/>
      <c r="H28" s="729"/>
      <c r="I28" s="729"/>
      <c r="J28" s="729"/>
      <c r="K28" s="491"/>
      <c r="V28" s="430" t="s">
        <v>320</v>
      </c>
      <c r="W28" s="430" t="s">
        <v>297</v>
      </c>
      <c r="X28" s="431" t="s">
        <v>321</v>
      </c>
      <c r="Y28" s="431"/>
      <c r="Z28" s="431"/>
    </row>
    <row r="29" spans="2:26" ht="13.5" thickBot="1" x14ac:dyDescent="0.25">
      <c r="B29" s="49" t="str">
        <f>B8</f>
        <v>Llano Sánchez Transformador 100MVA</v>
      </c>
      <c r="C29" s="49"/>
      <c r="D29" s="67">
        <f>+D8</f>
        <v>140</v>
      </c>
      <c r="E29" s="64">
        <f>+E8</f>
        <v>5400000</v>
      </c>
      <c r="F29" s="59">
        <f t="shared" ref="F29:F30" si="2">+E29/D29</f>
        <v>38571.428571428572</v>
      </c>
      <c r="G29" s="729"/>
      <c r="H29" s="729"/>
      <c r="I29" s="729"/>
      <c r="J29" s="729"/>
      <c r="K29" s="491"/>
      <c r="U29" s="146"/>
      <c r="V29" s="430"/>
      <c r="W29" s="430"/>
      <c r="X29" s="431" t="s">
        <v>12</v>
      </c>
      <c r="Y29" s="431" t="s">
        <v>322</v>
      </c>
      <c r="Z29" s="431" t="s">
        <v>323</v>
      </c>
    </row>
    <row r="30" spans="2:26" x14ac:dyDescent="0.2">
      <c r="B30" s="49" t="str">
        <f>B20</f>
        <v>Chorrera Transformador 100MVA</v>
      </c>
      <c r="C30" s="49"/>
      <c r="D30" s="67">
        <f>+D20</f>
        <v>100</v>
      </c>
      <c r="E30" s="64">
        <f>+E20</f>
        <v>2700000</v>
      </c>
      <c r="F30" s="59">
        <f t="shared" si="2"/>
        <v>27000</v>
      </c>
      <c r="G30" s="27"/>
      <c r="H30" s="729"/>
      <c r="I30" s="729"/>
      <c r="J30" s="729"/>
      <c r="K30" s="491"/>
      <c r="U30" s="337"/>
      <c r="V30" s="430" t="s">
        <v>324</v>
      </c>
      <c r="W30" s="430">
        <v>13042511.423302801</v>
      </c>
      <c r="X30" s="431">
        <v>11000880.043140713</v>
      </c>
      <c r="Y30" s="431">
        <v>6296770.5335651999</v>
      </c>
      <c r="Z30" s="431">
        <v>4704109.5095755132</v>
      </c>
    </row>
    <row r="31" spans="2:26" x14ac:dyDescent="0.2">
      <c r="B31" s="49" t="str">
        <f>+B21</f>
        <v>Chorrera Transformador 100MVA</v>
      </c>
      <c r="C31" s="174"/>
      <c r="D31" s="175">
        <f>+D21</f>
        <v>100</v>
      </c>
      <c r="E31" s="64">
        <f>+E21</f>
        <v>4300000</v>
      </c>
      <c r="F31" s="64"/>
      <c r="G31" s="729"/>
      <c r="H31" s="729"/>
      <c r="I31" s="729"/>
      <c r="J31" s="729"/>
      <c r="K31" s="491"/>
      <c r="U31" s="337"/>
      <c r="V31" s="430"/>
      <c r="W31" s="430"/>
      <c r="X31" s="431"/>
      <c r="Y31" s="431"/>
      <c r="Z31" s="431"/>
    </row>
    <row r="32" spans="2:26" ht="13.5" thickBot="1" x14ac:dyDescent="0.25">
      <c r="B32" s="50" t="s">
        <v>52</v>
      </c>
      <c r="C32" s="50"/>
      <c r="D32" s="75">
        <f>+D16</f>
        <v>24</v>
      </c>
      <c r="E32" s="60">
        <f>+E16</f>
        <v>810000</v>
      </c>
      <c r="F32" s="60">
        <f>E32/D32</f>
        <v>33750</v>
      </c>
      <c r="G32" s="729"/>
      <c r="H32" s="729"/>
      <c r="I32" s="729"/>
      <c r="J32" s="729"/>
      <c r="K32" s="491"/>
      <c r="U32" s="148">
        <v>10442596</v>
      </c>
      <c r="V32" s="430" t="s">
        <v>325</v>
      </c>
      <c r="W32" s="430">
        <v>7793257.5771326218</v>
      </c>
      <c r="X32" s="431">
        <v>6234606.0617060978</v>
      </c>
      <c r="Y32" s="431"/>
      <c r="Z32" s="431">
        <v>6234606.0617060978</v>
      </c>
    </row>
    <row r="33" spans="2:26" x14ac:dyDescent="0.2">
      <c r="B33" s="27"/>
      <c r="C33" s="27"/>
      <c r="D33" s="27"/>
      <c r="E33" s="51"/>
      <c r="F33" s="51"/>
      <c r="U33" s="150" t="e">
        <f>+U32/U30</f>
        <v>#DIV/0!</v>
      </c>
      <c r="V33" s="430" t="s">
        <v>326</v>
      </c>
      <c r="W33" s="430">
        <v>13408583.418864001</v>
      </c>
      <c r="X33" s="431">
        <v>11377726.075198699</v>
      </c>
      <c r="Y33" s="431">
        <v>11181420.995565601</v>
      </c>
      <c r="Z33" s="431">
        <v>196305.0796330981</v>
      </c>
    </row>
    <row r="34" spans="2:26" ht="13.5" thickBot="1" x14ac:dyDescent="0.25">
      <c r="E34" s="52"/>
      <c r="F34" s="52"/>
    </row>
    <row r="35" spans="2:26" ht="15" customHeight="1" thickBot="1" x14ac:dyDescent="0.25">
      <c r="B35" s="275" t="s">
        <v>58</v>
      </c>
      <c r="C35" s="275"/>
      <c r="D35" s="275" t="s">
        <v>59</v>
      </c>
      <c r="E35" s="275" t="s">
        <v>45</v>
      </c>
      <c r="F35" s="275" t="s">
        <v>60</v>
      </c>
      <c r="G35" s="275" t="s">
        <v>61</v>
      </c>
      <c r="H35" s="275" t="s">
        <v>67</v>
      </c>
      <c r="L35" s="136"/>
      <c r="U35" s="146"/>
      <c r="V35" s="430" t="s">
        <v>327</v>
      </c>
      <c r="W35" s="430">
        <v>6487434.8633179916</v>
      </c>
      <c r="X35" s="431">
        <v>5189947.8906543935</v>
      </c>
      <c r="Y35" s="431"/>
      <c r="Z35" s="431">
        <v>5189947.8906543935</v>
      </c>
    </row>
    <row r="36" spans="2:26" ht="15" customHeight="1" x14ac:dyDescent="0.2">
      <c r="B36" s="995" t="s">
        <v>166</v>
      </c>
      <c r="C36" s="996"/>
      <c r="D36" s="999">
        <v>1</v>
      </c>
      <c r="E36" s="997">
        <f>+E22</f>
        <v>2303421.3466992001</v>
      </c>
      <c r="F36" s="59">
        <f>+E36/D36</f>
        <v>2303421.3466992001</v>
      </c>
      <c r="G36" s="1000" t="s">
        <v>66</v>
      </c>
      <c r="H36" s="48" t="s">
        <v>11</v>
      </c>
      <c r="U36" s="146"/>
      <c r="V36" s="430"/>
      <c r="W36" s="430"/>
      <c r="X36" s="431"/>
      <c r="Y36" s="431"/>
      <c r="Z36" s="431"/>
    </row>
    <row r="37" spans="2:26" ht="13.5" thickBot="1" x14ac:dyDescent="0.25">
      <c r="B37" s="998" t="str">
        <f>+B9</f>
        <v>Llano Sánchez 230</v>
      </c>
      <c r="C37" s="998"/>
      <c r="D37" s="1001">
        <f>+D9</f>
        <v>1</v>
      </c>
      <c r="E37" s="1002">
        <f>+E9</f>
        <v>6945375.4199999999</v>
      </c>
      <c r="F37" s="60"/>
      <c r="G37" s="50"/>
      <c r="H37" s="50"/>
      <c r="U37" s="146"/>
      <c r="V37" s="430" t="s">
        <v>328</v>
      </c>
      <c r="W37" s="430">
        <v>2558971.1588577474</v>
      </c>
      <c r="X37" s="431">
        <v>2047176.927086198</v>
      </c>
      <c r="Y37" s="431"/>
      <c r="Z37" s="431">
        <v>2047176.927086198</v>
      </c>
    </row>
    <row r="38" spans="2:26" ht="13.5" thickBot="1" x14ac:dyDescent="0.25">
      <c r="B38" s="138" t="str">
        <f>B19</f>
        <v>Chorrera 230</v>
      </c>
      <c r="C38" s="138"/>
      <c r="D38" s="139">
        <f>+D19</f>
        <v>3</v>
      </c>
      <c r="E38" s="466">
        <f>+E19</f>
        <v>12223806.970000001</v>
      </c>
      <c r="F38" s="466">
        <f>+E38/D38</f>
        <v>4074602.3233333337</v>
      </c>
      <c r="G38" s="449" t="s">
        <v>66</v>
      </c>
      <c r="H38" s="138"/>
      <c r="U38" s="146"/>
      <c r="V38" s="432" t="s">
        <v>329</v>
      </c>
      <c r="W38" s="432">
        <v>6333146.9132671673</v>
      </c>
      <c r="X38" s="431">
        <v>5066517.5306137344</v>
      </c>
      <c r="Y38" s="431"/>
      <c r="Z38" s="431">
        <v>5066517.5306137344</v>
      </c>
    </row>
    <row r="39" spans="2:26" ht="13.5" thickBot="1" x14ac:dyDescent="0.25">
      <c r="E39" s="52"/>
      <c r="F39" s="52"/>
      <c r="U39" s="151">
        <v>7191366</v>
      </c>
      <c r="V39" s="432" t="s">
        <v>330</v>
      </c>
      <c r="W39" s="432">
        <v>1536662.7466114899</v>
      </c>
      <c r="X39" s="431">
        <v>1229330.1972891919</v>
      </c>
      <c r="Y39" s="431"/>
      <c r="Z39" s="431">
        <v>1229330.1972891919</v>
      </c>
    </row>
    <row r="40" spans="2:26" ht="13.5" thickBot="1" x14ac:dyDescent="0.25">
      <c r="B40" s="275" t="s">
        <v>62</v>
      </c>
      <c r="C40" s="275"/>
      <c r="D40" s="275" t="s">
        <v>59</v>
      </c>
      <c r="E40" s="275" t="s">
        <v>45</v>
      </c>
      <c r="F40" s="277" t="s">
        <v>60</v>
      </c>
      <c r="G40" s="275" t="s">
        <v>61</v>
      </c>
      <c r="H40" s="277" t="s">
        <v>67</v>
      </c>
      <c r="K40" s="136"/>
      <c r="U40" s="151">
        <v>7141394</v>
      </c>
      <c r="V40" s="432" t="s">
        <v>331</v>
      </c>
      <c r="W40" s="432">
        <v>4707024.8895701701</v>
      </c>
      <c r="X40" s="431">
        <v>3765619.9116561362</v>
      </c>
      <c r="Y40" s="431"/>
      <c r="Z40" s="431">
        <v>3765619.9116561362</v>
      </c>
    </row>
    <row r="41" spans="2:26" x14ac:dyDescent="0.2">
      <c r="B41" s="48" t="str">
        <f>B10</f>
        <v>Llano Sánchez 115</v>
      </c>
      <c r="C41" s="48"/>
      <c r="D41" s="58">
        <f>+D10</f>
        <v>3</v>
      </c>
      <c r="E41" s="59">
        <f>+E10</f>
        <v>4453567.381736177</v>
      </c>
      <c r="F41" s="141">
        <f>+E41/D41</f>
        <v>1484522.4605787257</v>
      </c>
      <c r="G41" s="450" t="s">
        <v>155</v>
      </c>
      <c r="H41" s="57"/>
      <c r="L41" s="27"/>
      <c r="U41" s="151"/>
      <c r="V41" s="432"/>
      <c r="W41" s="432"/>
      <c r="X41" s="431"/>
      <c r="Y41" s="431"/>
      <c r="Z41" s="431"/>
    </row>
    <row r="42" spans="2:26" x14ac:dyDescent="0.2">
      <c r="B42" s="49" t="str">
        <f>B12</f>
        <v>Progreso 115</v>
      </c>
      <c r="C42" s="49"/>
      <c r="D42" s="67">
        <f>+D12</f>
        <v>1</v>
      </c>
      <c r="E42" s="64">
        <f>+E12</f>
        <v>840375.4114904236</v>
      </c>
      <c r="F42" s="64">
        <f t="shared" ref="F42" si="3">+E42/D42</f>
        <v>840375.4114904236</v>
      </c>
      <c r="G42" s="178" t="s">
        <v>63</v>
      </c>
      <c r="H42" s="56"/>
      <c r="L42" s="27"/>
      <c r="U42" s="150">
        <f>+U40/U39</f>
        <v>0.99305111156906767</v>
      </c>
      <c r="V42" s="432" t="s">
        <v>332</v>
      </c>
      <c r="W42" s="432">
        <v>145699.65818309458</v>
      </c>
      <c r="X42" s="431">
        <v>116559.72654647566</v>
      </c>
      <c r="Y42" s="431"/>
      <c r="Z42" s="431">
        <v>116559.72654647566</v>
      </c>
    </row>
    <row r="43" spans="2:26" x14ac:dyDescent="0.2">
      <c r="B43" s="440" t="s">
        <v>336</v>
      </c>
      <c r="C43" s="174"/>
      <c r="D43" s="175"/>
      <c r="E43" s="988">
        <f>+E14</f>
        <v>0</v>
      </c>
      <c r="F43" s="730"/>
      <c r="G43" s="178"/>
      <c r="H43" s="176"/>
      <c r="L43" s="27"/>
      <c r="U43" s="146"/>
      <c r="V43" s="430" t="s">
        <v>333</v>
      </c>
      <c r="W43" s="430">
        <v>2073362.8108945438</v>
      </c>
      <c r="X43" s="431">
        <v>1658690.2487156352</v>
      </c>
      <c r="Y43" s="431"/>
      <c r="Z43" s="431">
        <v>1658690.2487156352</v>
      </c>
    </row>
    <row r="44" spans="2:26" x14ac:dyDescent="0.2">
      <c r="B44" s="439" t="s">
        <v>154</v>
      </c>
      <c r="C44" s="174"/>
      <c r="D44" s="175">
        <f>+D23</f>
        <v>1</v>
      </c>
      <c r="E44" s="988">
        <f>+E23</f>
        <v>149234.44478002368</v>
      </c>
      <c r="F44" s="142">
        <f>+E44/D44</f>
        <v>149234.44478002368</v>
      </c>
      <c r="G44" s="178" t="s">
        <v>63</v>
      </c>
      <c r="H44" s="176"/>
      <c r="L44" s="443"/>
      <c r="U44" s="146"/>
      <c r="V44" s="430" t="s">
        <v>334</v>
      </c>
      <c r="W44" s="430">
        <v>1752853.1511169001</v>
      </c>
      <c r="X44" s="431">
        <v>1402282.5208935202</v>
      </c>
      <c r="Y44" s="431">
        <v>1095162.1200000001</v>
      </c>
      <c r="Z44" s="431">
        <v>307120.4008935201</v>
      </c>
    </row>
    <row r="45" spans="2:26" ht="13.5" thickBot="1" x14ac:dyDescent="0.25">
      <c r="B45" s="50" t="str">
        <f>B15</f>
        <v>Charco Azul 115</v>
      </c>
      <c r="C45" s="50"/>
      <c r="D45" s="75">
        <f>+D15</f>
        <v>1</v>
      </c>
      <c r="E45" s="60">
        <f>+E15</f>
        <v>926434.75</v>
      </c>
      <c r="F45" s="63">
        <f>+E45/D45</f>
        <v>926434.75</v>
      </c>
      <c r="G45" s="179" t="s">
        <v>64</v>
      </c>
      <c r="H45" s="55"/>
      <c r="L45" s="27"/>
      <c r="U45" s="146"/>
      <c r="V45" s="430"/>
      <c r="W45" s="430"/>
      <c r="X45" s="431"/>
      <c r="Y45" s="431"/>
      <c r="Z45" s="431"/>
    </row>
    <row r="46" spans="2:26" ht="13.5" thickBot="1" x14ac:dyDescent="0.25">
      <c r="E46" s="52"/>
      <c r="F46" s="52"/>
      <c r="U46" s="152" t="s">
        <v>11</v>
      </c>
      <c r="V46" s="430" t="s">
        <v>12</v>
      </c>
      <c r="W46" s="430">
        <v>59839508.611118525</v>
      </c>
      <c r="X46" s="431">
        <v>49089337.133500792</v>
      </c>
      <c r="Y46" s="431">
        <v>18573353.649130803</v>
      </c>
      <c r="Z46" s="431">
        <v>30515983.484369993</v>
      </c>
    </row>
    <row r="47" spans="2:26" ht="13.5" thickBot="1" x14ac:dyDescent="0.25">
      <c r="B47" s="275" t="s">
        <v>65</v>
      </c>
      <c r="C47" s="275"/>
      <c r="D47" s="278" t="s">
        <v>59</v>
      </c>
      <c r="E47" s="279" t="s">
        <v>45</v>
      </c>
      <c r="F47" s="275" t="s">
        <v>60</v>
      </c>
      <c r="G47" s="276" t="s">
        <v>61</v>
      </c>
      <c r="H47" s="277" t="s">
        <v>67</v>
      </c>
      <c r="L47" s="136"/>
      <c r="U47" s="149" t="s">
        <v>11</v>
      </c>
      <c r="V47" s="147"/>
      <c r="W47" s="147"/>
      <c r="X47" s="147"/>
    </row>
    <row r="48" spans="2:26" x14ac:dyDescent="0.2">
      <c r="B48" s="48" t="str">
        <f>B11</f>
        <v>Llano Sánchez  34.5</v>
      </c>
      <c r="C48" s="48"/>
      <c r="D48" s="61">
        <f>+D11</f>
        <v>1</v>
      </c>
      <c r="E48" s="989">
        <f>+E11</f>
        <v>1966098.9783451543</v>
      </c>
      <c r="F48" s="140">
        <f>+E48/D48</f>
        <v>1966098.9783451543</v>
      </c>
      <c r="G48" s="180" t="s">
        <v>103</v>
      </c>
      <c r="H48" s="48" t="s">
        <v>69</v>
      </c>
      <c r="L48" s="27"/>
    </row>
    <row r="49" spans="2:12" x14ac:dyDescent="0.2">
      <c r="B49" s="43" t="s">
        <v>102</v>
      </c>
      <c r="C49" s="77"/>
      <c r="D49" s="78">
        <f>+D24</f>
        <v>2</v>
      </c>
      <c r="E49" s="990">
        <f>+E24</f>
        <v>1784882.6666695022</v>
      </c>
      <c r="F49" s="64">
        <f>+E49/D49</f>
        <v>892441.33333475108</v>
      </c>
      <c r="G49" s="181" t="s">
        <v>103</v>
      </c>
      <c r="H49" s="77"/>
      <c r="L49" s="27"/>
    </row>
    <row r="50" spans="2:12" x14ac:dyDescent="0.2">
      <c r="B50" s="49" t="str">
        <f>B13</f>
        <v>Progreso 34.5</v>
      </c>
      <c r="C50" s="49"/>
      <c r="D50" s="62">
        <f>+D13</f>
        <v>3</v>
      </c>
      <c r="E50" s="991">
        <f>+E13</f>
        <v>4124071.523175756</v>
      </c>
      <c r="F50" s="64">
        <f>+E50/D50</f>
        <v>1374690.5077252521</v>
      </c>
      <c r="G50" s="182" t="s">
        <v>66</v>
      </c>
      <c r="H50" s="49"/>
      <c r="L50" s="27"/>
    </row>
    <row r="51" spans="2:12" x14ac:dyDescent="0.2">
      <c r="B51" s="49" t="str">
        <f>B17</f>
        <v>Mata de Nance 34.5</v>
      </c>
      <c r="C51" s="49"/>
      <c r="D51" s="62">
        <f>+D17</f>
        <v>4</v>
      </c>
      <c r="E51" s="991">
        <f>+E17</f>
        <v>5651072.8711218843</v>
      </c>
      <c r="F51" s="64">
        <f>+E51/D51</f>
        <v>1412768.2177804711</v>
      </c>
      <c r="G51" s="182" t="s">
        <v>155</v>
      </c>
      <c r="H51" s="49"/>
      <c r="L51" s="27"/>
    </row>
    <row r="52" spans="2:12" ht="13.5" thickBot="1" x14ac:dyDescent="0.25">
      <c r="B52" s="50" t="str">
        <f>B18</f>
        <v>Chorrera 34.5</v>
      </c>
      <c r="C52" s="50"/>
      <c r="D52" s="65">
        <f>+D18</f>
        <v>6</v>
      </c>
      <c r="E52" s="992">
        <f>+E18</f>
        <v>7823279.1405278025</v>
      </c>
      <c r="F52" s="60">
        <f>+E52/D52</f>
        <v>1303879.8567546338</v>
      </c>
      <c r="G52" s="451" t="s">
        <v>342</v>
      </c>
      <c r="H52" s="50"/>
      <c r="L52" s="27"/>
    </row>
    <row r="53" spans="2:12" ht="16.5" thickBot="1" x14ac:dyDescent="0.3">
      <c r="B53" s="27"/>
      <c r="C53" s="27"/>
      <c r="D53" s="127"/>
      <c r="E53" s="280">
        <f>SUM(E28:E52)</f>
        <v>65601620.904545918</v>
      </c>
      <c r="F53" s="83" t="s">
        <v>153</v>
      </c>
      <c r="G53" s="180"/>
      <c r="H53" s="27"/>
      <c r="L53" s="27"/>
    </row>
    <row r="54" spans="2:12" x14ac:dyDescent="0.2">
      <c r="B54" s="27"/>
      <c r="C54" s="27"/>
      <c r="D54" s="27"/>
      <c r="E54" s="76"/>
      <c r="F54" s="76"/>
      <c r="G54" s="180"/>
      <c r="H54" s="27"/>
      <c r="L54" s="27"/>
    </row>
    <row r="55" spans="2:12" ht="13.5" thickBot="1" x14ac:dyDescent="0.25">
      <c r="C55" s="38" t="s">
        <v>107</v>
      </c>
      <c r="E55" s="441"/>
      <c r="L55" s="27"/>
    </row>
    <row r="56" spans="2:12" ht="13.5" thickBot="1" x14ac:dyDescent="0.25">
      <c r="B56" s="275" t="s">
        <v>58</v>
      </c>
      <c r="C56" s="275"/>
      <c r="D56" s="278" t="s">
        <v>59</v>
      </c>
      <c r="E56" s="281" t="s">
        <v>45</v>
      </c>
      <c r="F56" s="275" t="s">
        <v>60</v>
      </c>
      <c r="G56" s="275" t="s">
        <v>61</v>
      </c>
      <c r="H56" s="275" t="s">
        <v>67</v>
      </c>
      <c r="L56" s="27"/>
    </row>
    <row r="57" spans="2:12" x14ac:dyDescent="0.2">
      <c r="B57" s="282"/>
      <c r="C57" s="49"/>
      <c r="D57" s="62"/>
      <c r="E57" s="204"/>
      <c r="F57" s="64"/>
      <c r="G57" s="183"/>
      <c r="H57" s="56"/>
      <c r="L57" s="136"/>
    </row>
    <row r="58" spans="2:12" s="27" customFormat="1" x14ac:dyDescent="0.2">
      <c r="B58" s="282"/>
      <c r="C58" s="49"/>
      <c r="D58" s="62"/>
      <c r="E58" s="64"/>
      <c r="F58" s="64"/>
      <c r="G58" s="183"/>
      <c r="H58" s="56"/>
      <c r="L58" s="40"/>
    </row>
    <row r="59" spans="2:12" ht="13.5" thickBot="1" x14ac:dyDescent="0.25">
      <c r="B59" s="283"/>
      <c r="C59" s="50"/>
      <c r="D59" s="65"/>
      <c r="E59" s="60"/>
      <c r="F59" s="60"/>
      <c r="G59" s="184"/>
      <c r="H59" s="55"/>
      <c r="L59" s="27"/>
    </row>
    <row r="60" spans="2:12" ht="13.5" thickBot="1" x14ac:dyDescent="0.25">
      <c r="B60" s="27"/>
      <c r="C60" s="27"/>
      <c r="D60" s="79"/>
      <c r="E60" s="284">
        <v>0</v>
      </c>
      <c r="F60" s="83" t="s">
        <v>153</v>
      </c>
      <c r="G60" s="180"/>
      <c r="H60" s="27"/>
    </row>
    <row r="61" spans="2:12" ht="18" x14ac:dyDescent="0.25">
      <c r="G61" s="185"/>
      <c r="H61" s="37"/>
      <c r="J61" s="295"/>
    </row>
    <row r="62" spans="2:12" x14ac:dyDescent="0.2">
      <c r="B62" s="31"/>
      <c r="C62" s="31"/>
      <c r="D62" s="20"/>
      <c r="E62" s="20"/>
      <c r="F62" s="300"/>
      <c r="G62" s="185"/>
      <c r="H62" s="37"/>
    </row>
    <row r="63" spans="2:12" x14ac:dyDescent="0.2">
      <c r="B63" s="31"/>
      <c r="C63" s="31"/>
      <c r="D63" s="301"/>
      <c r="E63" s="51"/>
      <c r="F63" s="27"/>
      <c r="G63" s="186"/>
      <c r="H63" s="31"/>
    </row>
    <row r="64" spans="2:12" x14ac:dyDescent="0.2">
      <c r="B64" s="31"/>
      <c r="C64" s="31"/>
      <c r="D64" s="301"/>
      <c r="E64" s="51"/>
      <c r="F64" s="20"/>
      <c r="G64" s="185"/>
      <c r="H64" s="31"/>
    </row>
    <row r="65" spans="2:6" x14ac:dyDescent="0.2">
      <c r="B65" s="31"/>
      <c r="C65" s="31"/>
      <c r="D65" s="302"/>
      <c r="E65" s="51"/>
      <c r="F65" s="20"/>
    </row>
    <row r="66" spans="2:6" x14ac:dyDescent="0.2">
      <c r="D66" s="27"/>
      <c r="E66" s="303"/>
      <c r="F66" s="27"/>
    </row>
    <row r="67" spans="2:6" x14ac:dyDescent="0.2">
      <c r="D67" s="27"/>
      <c r="E67" s="304"/>
      <c r="F67" s="27"/>
    </row>
    <row r="68" spans="2:6" x14ac:dyDescent="0.2">
      <c r="D68" s="27"/>
      <c r="E68" s="27"/>
      <c r="F68" s="27"/>
    </row>
  </sheetData>
  <sheetProtection algorithmName="SHA-512" hashValue="RH/nr0SfT5b8lOxYX3LzGJ8APmQ6vr4tOEOmuUC1dfLUu9cejML/Prsta/fgLJGQ2v3fCkJVrKofOpMHGFn7eQ==" saltValue="niR0nC8OfT/I/HBHRwwDng==" spinCount="100000" sheet="1" objects="1" scenarios="1"/>
  <mergeCells count="10">
    <mergeCell ref="B1:F1"/>
    <mergeCell ref="B2:F2"/>
    <mergeCell ref="C5:D5"/>
    <mergeCell ref="B5:B6"/>
    <mergeCell ref="B3:F3"/>
    <mergeCell ref="G15:H16"/>
    <mergeCell ref="G7:H9"/>
    <mergeCell ref="B25:D25"/>
    <mergeCell ref="E5:F5"/>
    <mergeCell ref="B4:F4"/>
  </mergeCells>
  <phoneticPr fontId="0" type="noConversion"/>
  <printOptions horizontalCentered="1" verticalCentered="1"/>
  <pageMargins left="0.59055118110236227" right="0.47244094488188981" top="0.9055118110236221" bottom="1.1417322834645669" header="0.55118110236220474" footer="0.43307086614173229"/>
  <pageSetup scale="49" orientation="landscape" r:id="rId1"/>
  <headerFooter alignWithMargins="0">
    <oddHeader>&amp;F</oddHeader>
    <oddFooter>&amp;LHOJA: &amp;A&amp;R&amp;D</oddFooter>
  </headerFooter>
  <ignoredErrors>
    <ignoredError sqref="D49:F5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zoomScale="80" zoomScaleNormal="80" workbookViewId="0">
      <selection activeCell="Q34" sqref="Q34"/>
    </sheetView>
  </sheetViews>
  <sheetFormatPr baseColWidth="10" defaultRowHeight="12.75" x14ac:dyDescent="0.2"/>
  <cols>
    <col min="1" max="1" width="38.42578125" style="31" customWidth="1"/>
    <col min="2" max="2" width="17.85546875" style="31" customWidth="1"/>
    <col min="3" max="3" width="14.42578125" style="31" customWidth="1"/>
    <col min="4" max="4" width="13.42578125" style="31" customWidth="1"/>
    <col min="5" max="5" width="11.85546875" style="31" customWidth="1"/>
    <col min="6" max="6" width="11.42578125" style="31"/>
    <col min="7" max="7" width="12.85546875" style="31" customWidth="1"/>
    <col min="8" max="8" width="11.28515625" style="31" customWidth="1"/>
    <col min="9" max="9" width="17.5703125" style="31" customWidth="1"/>
    <col min="10" max="10" width="11.85546875" style="31" customWidth="1"/>
    <col min="11" max="11" width="23.28515625" style="31" customWidth="1"/>
    <col min="12" max="12" width="13.5703125" style="31" bestFit="1" customWidth="1"/>
    <col min="13" max="16" width="11.42578125" style="31"/>
    <col min="17" max="17" width="13.85546875" style="31" bestFit="1" customWidth="1"/>
    <col min="18" max="16384" width="11.42578125" style="31"/>
  </cols>
  <sheetData>
    <row r="1" spans="1:19" ht="18" x14ac:dyDescent="0.25">
      <c r="A1" s="1028" t="s">
        <v>13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9" ht="39.6" customHeight="1" thickBot="1" x14ac:dyDescent="0.25">
      <c r="A2" s="1084" t="s">
        <v>23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</row>
    <row r="3" spans="1:19" ht="27.6" customHeight="1" x14ac:dyDescent="0.2">
      <c r="A3" s="1085" t="s">
        <v>25</v>
      </c>
      <c r="B3" s="1086"/>
      <c r="C3" s="1086"/>
      <c r="D3" s="1086"/>
      <c r="E3" s="1093" t="s">
        <v>78</v>
      </c>
      <c r="F3" s="1094"/>
      <c r="G3" s="1094"/>
      <c r="H3" s="1094"/>
      <c r="I3" s="1094"/>
      <c r="J3" s="1094"/>
      <c r="K3" s="1095"/>
    </row>
    <row r="4" spans="1:19" ht="27.6" customHeight="1" thickBot="1" x14ac:dyDescent="0.25">
      <c r="A4" s="1087"/>
      <c r="B4" s="1088"/>
      <c r="C4" s="1088"/>
      <c r="D4" s="1088"/>
      <c r="E4" s="24"/>
      <c r="F4" s="20"/>
      <c r="G4" s="20"/>
      <c r="H4" s="20"/>
      <c r="I4" s="20"/>
      <c r="J4" s="20"/>
      <c r="K4" s="30"/>
    </row>
    <row r="5" spans="1:19" ht="27.6" customHeight="1" x14ac:dyDescent="0.2">
      <c r="A5" s="1087"/>
      <c r="B5" s="1088"/>
      <c r="C5" s="1088"/>
      <c r="D5" s="1088"/>
      <c r="E5" s="1093" t="s">
        <v>79</v>
      </c>
      <c r="F5" s="1094"/>
      <c r="G5" s="1094"/>
      <c r="H5" s="1094"/>
      <c r="I5" s="1094"/>
      <c r="J5" s="1094"/>
      <c r="K5" s="1095"/>
      <c r="Q5" s="497" t="e">
        <f>+#REF!</f>
        <v>#REF!</v>
      </c>
      <c r="R5" s="146"/>
      <c r="S5" s="146">
        <v>0.57425000000000004</v>
      </c>
    </row>
    <row r="6" spans="1:19" ht="27.6" customHeight="1" thickBot="1" x14ac:dyDescent="0.25">
      <c r="A6" s="1089"/>
      <c r="B6" s="1090"/>
      <c r="C6" s="1090"/>
      <c r="D6" s="1090"/>
      <c r="E6" s="32"/>
      <c r="F6" s="28"/>
      <c r="G6" s="28"/>
      <c r="H6" s="28"/>
      <c r="I6" s="28"/>
      <c r="J6" s="28"/>
      <c r="K6" s="29"/>
      <c r="Q6" s="146"/>
      <c r="R6" s="146"/>
      <c r="S6" s="498">
        <v>0.57499999999999996</v>
      </c>
    </row>
    <row r="7" spans="1:19" ht="18" customHeight="1" thickBot="1" x14ac:dyDescent="0.25">
      <c r="A7" s="66"/>
      <c r="B7" s="66"/>
      <c r="C7" s="66"/>
      <c r="D7" s="66"/>
      <c r="E7" s="20"/>
      <c r="F7" s="20"/>
      <c r="G7" s="20"/>
      <c r="H7" s="28"/>
      <c r="I7" s="20"/>
      <c r="J7" s="20"/>
      <c r="K7" s="20"/>
    </row>
    <row r="8" spans="1:19" ht="26.45" customHeight="1" x14ac:dyDescent="0.2">
      <c r="A8" s="1083" t="s">
        <v>24</v>
      </c>
      <c r="B8" s="1083" t="s">
        <v>17</v>
      </c>
      <c r="C8" s="1078" t="s">
        <v>1</v>
      </c>
      <c r="D8" s="1078" t="s">
        <v>173</v>
      </c>
      <c r="E8" s="1091" t="s">
        <v>85</v>
      </c>
      <c r="F8" s="1092" t="s">
        <v>131</v>
      </c>
      <c r="G8" s="1092" t="s">
        <v>132</v>
      </c>
      <c r="H8" s="1092" t="s">
        <v>133</v>
      </c>
      <c r="I8" s="1092" t="s">
        <v>76</v>
      </c>
      <c r="J8" s="87"/>
      <c r="K8" s="1083" t="s">
        <v>77</v>
      </c>
      <c r="L8" s="1082" t="s">
        <v>74</v>
      </c>
      <c r="M8" s="1083" t="s">
        <v>130</v>
      </c>
      <c r="N8" s="340"/>
      <c r="O8" s="338" t="s">
        <v>191</v>
      </c>
      <c r="Q8" s="1080" t="s">
        <v>175</v>
      </c>
    </row>
    <row r="9" spans="1:19" ht="16.899999999999999" customHeight="1" x14ac:dyDescent="0.2">
      <c r="A9" s="1083"/>
      <c r="B9" s="1083"/>
      <c r="C9" s="1079"/>
      <c r="D9" s="1079"/>
      <c r="E9" s="1091"/>
      <c r="F9" s="1092"/>
      <c r="G9" s="1092"/>
      <c r="H9" s="1092"/>
      <c r="I9" s="1092"/>
      <c r="J9" s="88"/>
      <c r="K9" s="1083"/>
      <c r="L9" s="1082"/>
      <c r="M9" s="1083"/>
      <c r="N9" s="340"/>
      <c r="O9" s="338"/>
      <c r="Q9" s="1081"/>
    </row>
    <row r="10" spans="1:19" ht="18.75" customHeight="1" x14ac:dyDescent="0.25">
      <c r="A10" s="93" t="s">
        <v>15</v>
      </c>
      <c r="B10" s="91"/>
      <c r="C10" s="308"/>
      <c r="D10" s="91"/>
      <c r="E10" s="309"/>
      <c r="F10" s="144">
        <v>1.9742400000000004E-2</v>
      </c>
      <c r="G10" s="144">
        <v>7.9074074074074064E-3</v>
      </c>
      <c r="H10" s="444">
        <v>3.5000000000000003E-2</v>
      </c>
      <c r="I10" s="144">
        <v>7.7600000000000002E-2</v>
      </c>
      <c r="J10" s="145"/>
      <c r="K10" s="92"/>
      <c r="L10" s="453">
        <f>+'IPCT VNR_FA'!C20</f>
        <v>0.53</v>
      </c>
      <c r="M10" s="92"/>
      <c r="N10" s="467"/>
      <c r="O10" s="339"/>
      <c r="Q10" s="311"/>
    </row>
    <row r="11" spans="1:19" x14ac:dyDescent="0.2">
      <c r="A11" s="96" t="s">
        <v>3</v>
      </c>
      <c r="B11" s="84"/>
      <c r="C11" s="89"/>
      <c r="D11" s="84"/>
      <c r="E11" s="89"/>
      <c r="F11" s="90"/>
      <c r="G11" s="69"/>
      <c r="H11" s="90"/>
      <c r="I11" s="97"/>
      <c r="J11" s="69"/>
      <c r="K11" s="106"/>
      <c r="L11" s="90"/>
      <c r="M11" s="97"/>
      <c r="N11" s="341"/>
      <c r="O11" s="20"/>
      <c r="Q11" s="312"/>
    </row>
    <row r="12" spans="1:19" ht="18" x14ac:dyDescent="0.25">
      <c r="A12" s="98" t="s">
        <v>86</v>
      </c>
      <c r="B12" s="26" t="str">
        <f>+[6]VNR2004!B8</f>
        <v>Miles B/./Salida</v>
      </c>
      <c r="C12" s="71">
        <f>+' VNR'!C5</f>
        <v>3750.9816450146568</v>
      </c>
      <c r="D12" s="26">
        <f>+' VNR'!D5</f>
        <v>3</v>
      </c>
      <c r="E12" s="71">
        <f>+C12/D12</f>
        <v>1250.3272150048856</v>
      </c>
      <c r="F12" s="26">
        <f>$E12*$F$10</f>
        <v>24.68446000951246</v>
      </c>
      <c r="G12" s="72">
        <f>+$E12*$G$10</f>
        <v>9.8868466816127061</v>
      </c>
      <c r="H12" s="26">
        <f>$E12*$H$10</f>
        <v>43.761452525171002</v>
      </c>
      <c r="I12" s="99">
        <f>$E12*$I$10</f>
        <v>97.025391884379133</v>
      </c>
      <c r="J12" s="70"/>
      <c r="K12" s="107">
        <f>+F12+G12+H12+I12</f>
        <v>175.35815110067529</v>
      </c>
      <c r="L12" s="108"/>
      <c r="M12" s="297">
        <f>ROUND(+K12*$L$10,2)</f>
        <v>92.94</v>
      </c>
      <c r="N12" s="342"/>
      <c r="O12" s="351">
        <v>6</v>
      </c>
      <c r="P12" s="124"/>
      <c r="Q12" s="313">
        <f>+M12*D12/12*O12</f>
        <v>139.41</v>
      </c>
    </row>
    <row r="13" spans="1:19" ht="18" x14ac:dyDescent="0.25">
      <c r="A13" s="98" t="s">
        <v>87</v>
      </c>
      <c r="B13" s="26" t="str">
        <f>+[6]VNR2004!B9</f>
        <v>Miles B/./Salida</v>
      </c>
      <c r="C13" s="71">
        <f>+' VNR'!C6</f>
        <v>17598.423534825444</v>
      </c>
      <c r="D13" s="26">
        <f>+' VNR'!D6</f>
        <v>13</v>
      </c>
      <c r="E13" s="71">
        <f t="shared" ref="E13:E15" si="0">+C13/D13</f>
        <v>1353.724887294265</v>
      </c>
      <c r="F13" s="26">
        <f t="shared" ref="F13:F26" si="1">$E13*$F$10</f>
        <v>26.725778214918304</v>
      </c>
      <c r="G13" s="72">
        <f t="shared" ref="G13:G26" si="2">+$E13*$G$10</f>
        <v>10.704454201382427</v>
      </c>
      <c r="H13" s="26">
        <f t="shared" ref="H13:H26" si="3">$E13*$H$10</f>
        <v>47.380371055299278</v>
      </c>
      <c r="I13" s="99">
        <f t="shared" ref="I13:I26" si="4">$E13*$I$10</f>
        <v>105.04905125403496</v>
      </c>
      <c r="J13" s="70"/>
      <c r="K13" s="107">
        <f t="shared" ref="K13:K18" si="5">+F13+G13+H13+I13</f>
        <v>189.85965472563498</v>
      </c>
      <c r="L13" s="108"/>
      <c r="M13" s="297">
        <f t="shared" ref="M13:M23" si="6">ROUND(+K13*$L$10,2)</f>
        <v>100.63</v>
      </c>
      <c r="N13" s="342"/>
      <c r="O13" s="351">
        <v>6</v>
      </c>
      <c r="Q13" s="313">
        <f t="shared" ref="Q13:Q15" si="7">+M13*D13/12*O13</f>
        <v>654.09500000000003</v>
      </c>
    </row>
    <row r="14" spans="1:19" ht="18" x14ac:dyDescent="0.25">
      <c r="A14" s="98" t="s">
        <v>88</v>
      </c>
      <c r="B14" s="26" t="str">
        <f>+[6]VNR2004!B10</f>
        <v>Miles B/./Salida</v>
      </c>
      <c r="C14" s="71">
        <f>+' VNR'!C7</f>
        <v>1916.0446062704473</v>
      </c>
      <c r="D14" s="26">
        <f>+' VNR'!D7</f>
        <v>3</v>
      </c>
      <c r="E14" s="71">
        <f t="shared" si="0"/>
        <v>638.68153542348239</v>
      </c>
      <c r="F14" s="26">
        <f t="shared" si="1"/>
        <v>12.609106344944561</v>
      </c>
      <c r="G14" s="72">
        <f t="shared" si="2"/>
        <v>5.0503151041819807</v>
      </c>
      <c r="H14" s="26">
        <f t="shared" si="3"/>
        <v>22.353853739821886</v>
      </c>
      <c r="I14" s="99">
        <f t="shared" si="4"/>
        <v>49.561687148862234</v>
      </c>
      <c r="J14" s="70"/>
      <c r="K14" s="107">
        <f t="shared" si="5"/>
        <v>89.574962337810661</v>
      </c>
      <c r="L14" s="108"/>
      <c r="M14" s="297">
        <f t="shared" si="6"/>
        <v>47.47</v>
      </c>
      <c r="N14" s="342"/>
      <c r="O14" s="351">
        <v>6</v>
      </c>
      <c r="Q14" s="313">
        <f t="shared" si="7"/>
        <v>71.204999999999998</v>
      </c>
    </row>
    <row r="15" spans="1:19" ht="18" x14ac:dyDescent="0.25">
      <c r="A15" s="98" t="s">
        <v>89</v>
      </c>
      <c r="B15" s="26" t="str">
        <f>+[6]VNR2004!B11</f>
        <v>Miles B/./Salida</v>
      </c>
      <c r="C15" s="71">
        <f>+' VNR'!C8</f>
        <v>4453.5673817361767</v>
      </c>
      <c r="D15" s="26">
        <f>+' VNR'!D8</f>
        <v>3</v>
      </c>
      <c r="E15" s="71">
        <f t="shared" si="0"/>
        <v>1484.5224605787255</v>
      </c>
      <c r="F15" s="26">
        <f t="shared" si="1"/>
        <v>29.308036225729435</v>
      </c>
      <c r="G15" s="72">
        <f t="shared" si="2"/>
        <v>11.738723901242883</v>
      </c>
      <c r="H15" s="26">
        <f t="shared" si="3"/>
        <v>51.958286120255394</v>
      </c>
      <c r="I15" s="99">
        <f t="shared" si="4"/>
        <v>115.19894294090911</v>
      </c>
      <c r="J15" s="70"/>
      <c r="K15" s="107">
        <f t="shared" si="5"/>
        <v>208.2039891881368</v>
      </c>
      <c r="L15" s="108"/>
      <c r="M15" s="297">
        <f t="shared" si="6"/>
        <v>110.35</v>
      </c>
      <c r="N15" s="342"/>
      <c r="O15" s="351">
        <v>6</v>
      </c>
      <c r="Q15" s="313">
        <f t="shared" si="7"/>
        <v>165.52499999999998</v>
      </c>
    </row>
    <row r="16" spans="1:19" ht="18" x14ac:dyDescent="0.25">
      <c r="A16" s="98" t="s">
        <v>98</v>
      </c>
      <c r="B16" s="68" t="s">
        <v>68</v>
      </c>
      <c r="C16" s="71">
        <f>+' VNR'!C9</f>
        <v>0</v>
      </c>
      <c r="D16" s="26">
        <f>+' VNR'!D9</f>
        <v>0</v>
      </c>
      <c r="E16" s="71">
        <f>+' VNR'!E9</f>
        <v>0</v>
      </c>
      <c r="F16" s="26">
        <f t="shared" si="1"/>
        <v>0</v>
      </c>
      <c r="G16" s="72">
        <f t="shared" si="2"/>
        <v>0</v>
      </c>
      <c r="H16" s="26">
        <f t="shared" si="3"/>
        <v>0</v>
      </c>
      <c r="I16" s="99">
        <f t="shared" si="4"/>
        <v>0</v>
      </c>
      <c r="J16" s="70"/>
      <c r="K16" s="211" t="s">
        <v>128</v>
      </c>
      <c r="L16" s="108"/>
      <c r="M16" s="298" t="s">
        <v>128</v>
      </c>
      <c r="N16" s="343"/>
      <c r="O16" s="352"/>
      <c r="Q16" s="313">
        <f>+' VNR'!O9</f>
        <v>0</v>
      </c>
    </row>
    <row r="17" spans="1:17" ht="18" x14ac:dyDescent="0.25">
      <c r="A17" s="98" t="s">
        <v>99</v>
      </c>
      <c r="B17" s="26" t="str">
        <f>+[6]VNR2004!B13</f>
        <v>Miles B/./Salida</v>
      </c>
      <c r="C17" s="71">
        <f>+' VNR'!C10+' VNR'!C39+' VNR'!F39/2</f>
        <v>0</v>
      </c>
      <c r="D17" s="26"/>
      <c r="E17" s="71"/>
      <c r="F17" s="26">
        <f t="shared" si="1"/>
        <v>0</v>
      </c>
      <c r="G17" s="72">
        <f t="shared" si="2"/>
        <v>0</v>
      </c>
      <c r="H17" s="26">
        <f t="shared" si="3"/>
        <v>0</v>
      </c>
      <c r="I17" s="99">
        <f t="shared" si="4"/>
        <v>0</v>
      </c>
      <c r="J17" s="70"/>
      <c r="K17" s="211" t="s">
        <v>128</v>
      </c>
      <c r="L17" s="108"/>
      <c r="M17" s="298" t="s">
        <v>128</v>
      </c>
      <c r="N17" s="343"/>
      <c r="O17" s="352"/>
      <c r="Q17" s="313"/>
    </row>
    <row r="18" spans="1:17" ht="18" x14ac:dyDescent="0.25">
      <c r="A18" s="119" t="s">
        <v>90</v>
      </c>
      <c r="B18" s="68" t="s">
        <v>68</v>
      </c>
      <c r="C18" s="71">
        <f>+' VNR'!C11</f>
        <v>21472.603736699202</v>
      </c>
      <c r="D18" s="26">
        <f>+' VNR'!D11</f>
        <v>5</v>
      </c>
      <c r="E18" s="71">
        <f t="shared" ref="E18" si="8">+C18/D18</f>
        <v>4294.5207473398405</v>
      </c>
      <c r="F18" s="26">
        <f t="shared" si="1"/>
        <v>84.784146402282076</v>
      </c>
      <c r="G18" s="72">
        <f t="shared" si="2"/>
        <v>33.958525168779843</v>
      </c>
      <c r="H18" s="26">
        <f t="shared" si="3"/>
        <v>150.30822615689442</v>
      </c>
      <c r="I18" s="99">
        <f t="shared" si="4"/>
        <v>333.25480999357166</v>
      </c>
      <c r="J18" s="70"/>
      <c r="K18" s="210">
        <f t="shared" si="5"/>
        <v>602.30570772152805</v>
      </c>
      <c r="L18" s="108"/>
      <c r="M18" s="297">
        <f>ROUND(+K18*$L$10,2)</f>
        <v>319.22000000000003</v>
      </c>
      <c r="N18" s="342"/>
      <c r="O18" s="351">
        <v>6</v>
      </c>
      <c r="Q18" s="313">
        <f t="shared" ref="Q18" si="9">+M18*D18/12*O18</f>
        <v>798.05000000000018</v>
      </c>
    </row>
    <row r="19" spans="1:17" ht="18" x14ac:dyDescent="0.25">
      <c r="A19" s="214" t="s">
        <v>168</v>
      </c>
      <c r="B19" s="68" t="s">
        <v>68</v>
      </c>
      <c r="C19" s="71">
        <f>+' VNR'!C12</f>
        <v>0</v>
      </c>
      <c r="D19" s="26"/>
      <c r="E19" s="71"/>
      <c r="F19" s="26"/>
      <c r="G19" s="72"/>
      <c r="H19" s="26"/>
      <c r="I19" s="99"/>
      <c r="J19" s="70"/>
      <c r="K19" s="210"/>
      <c r="L19" s="108"/>
      <c r="M19" s="297"/>
      <c r="N19" s="342"/>
      <c r="O19" s="351"/>
      <c r="Q19" s="313"/>
    </row>
    <row r="20" spans="1:17" ht="18" x14ac:dyDescent="0.25">
      <c r="A20" s="316" t="s">
        <v>4</v>
      </c>
      <c r="B20" s="99"/>
      <c r="C20" s="71"/>
      <c r="D20" s="26"/>
      <c r="E20" s="71"/>
      <c r="F20" s="26"/>
      <c r="G20" s="72"/>
      <c r="H20" s="26"/>
      <c r="I20" s="99"/>
      <c r="J20" s="70"/>
      <c r="K20" s="210"/>
      <c r="L20" s="108"/>
      <c r="M20" s="297"/>
      <c r="N20" s="342"/>
      <c r="O20" s="351"/>
      <c r="Q20" s="313"/>
    </row>
    <row r="21" spans="1:17" ht="18" x14ac:dyDescent="0.25">
      <c r="A21" s="125" t="str">
        <f>+' VNR'!B15</f>
        <v>CXTR Reductor 60/80/100 MVA</v>
      </c>
      <c r="B21" s="99" t="s">
        <v>97</v>
      </c>
      <c r="C21" s="71">
        <f>+' VNR'!C15</f>
        <v>5900</v>
      </c>
      <c r="D21" s="26">
        <f>+' VNR'!D15</f>
        <v>200</v>
      </c>
      <c r="E21" s="71">
        <f t="shared" ref="E21:E24" si="10">+C21/D21</f>
        <v>29.5</v>
      </c>
      <c r="F21" s="26">
        <f t="shared" si="1"/>
        <v>0.58240080000000016</v>
      </c>
      <c r="G21" s="72">
        <f t="shared" si="2"/>
        <v>0.23326851851851849</v>
      </c>
      <c r="H21" s="26">
        <f t="shared" si="3"/>
        <v>1.0325000000000002</v>
      </c>
      <c r="I21" s="99">
        <f t="shared" si="4"/>
        <v>2.2892000000000001</v>
      </c>
      <c r="J21" s="70"/>
      <c r="K21" s="212">
        <f>+G21+F21+H21+I21</f>
        <v>4.1373693185185187</v>
      </c>
      <c r="L21" s="108"/>
      <c r="M21" s="297">
        <f>ROUND(+K21*$L$10,2)</f>
        <v>2.19</v>
      </c>
      <c r="N21" s="342"/>
      <c r="O21" s="351">
        <v>6</v>
      </c>
      <c r="Q21" s="313">
        <f t="shared" ref="Q21:Q24" si="11">+M21*D21/12*O21</f>
        <v>219</v>
      </c>
    </row>
    <row r="22" spans="1:17" ht="18" x14ac:dyDescent="0.25">
      <c r="A22" s="126" t="s">
        <v>5</v>
      </c>
      <c r="B22" s="99" t="s">
        <v>97</v>
      </c>
      <c r="C22" s="71">
        <f>+' VNR'!C16</f>
        <v>5400</v>
      </c>
      <c r="D22" s="26">
        <f>+' VNR'!D16</f>
        <v>140</v>
      </c>
      <c r="E22" s="71">
        <f t="shared" si="10"/>
        <v>38.571428571428569</v>
      </c>
      <c r="F22" s="26">
        <f t="shared" si="1"/>
        <v>0.76149257142857152</v>
      </c>
      <c r="G22" s="72">
        <f t="shared" si="2"/>
        <v>0.30499999999999994</v>
      </c>
      <c r="H22" s="26">
        <f t="shared" si="3"/>
        <v>1.35</v>
      </c>
      <c r="I22" s="99">
        <f t="shared" si="4"/>
        <v>2.9931428571428569</v>
      </c>
      <c r="J22" s="70"/>
      <c r="K22" s="212">
        <f>+G22+F22+H22+I22</f>
        <v>5.4096354285714288</v>
      </c>
      <c r="L22" s="108"/>
      <c r="M22" s="297">
        <f t="shared" si="6"/>
        <v>2.87</v>
      </c>
      <c r="N22" s="342"/>
      <c r="O22" s="351">
        <v>6</v>
      </c>
      <c r="Q22" s="313">
        <f t="shared" si="11"/>
        <v>200.9</v>
      </c>
    </row>
    <row r="23" spans="1:17" ht="18" x14ac:dyDescent="0.25">
      <c r="A23" s="126" t="s">
        <v>6</v>
      </c>
      <c r="B23" s="99" t="s">
        <v>97</v>
      </c>
      <c r="C23" s="71">
        <f>+' VNR'!C17</f>
        <v>4300</v>
      </c>
      <c r="D23" s="26">
        <f>+' VNR'!D17</f>
        <v>100</v>
      </c>
      <c r="E23" s="71">
        <f t="shared" si="10"/>
        <v>43</v>
      </c>
      <c r="F23" s="26">
        <f t="shared" si="1"/>
        <v>0.84892320000000021</v>
      </c>
      <c r="G23" s="72">
        <f t="shared" si="2"/>
        <v>0.3400185185185185</v>
      </c>
      <c r="H23" s="26">
        <f t="shared" si="3"/>
        <v>1.5050000000000001</v>
      </c>
      <c r="I23" s="99">
        <f t="shared" si="4"/>
        <v>3.3368000000000002</v>
      </c>
      <c r="J23" s="70"/>
      <c r="K23" s="111">
        <f>+G23+F23+H23+I23</f>
        <v>6.0307417185185193</v>
      </c>
      <c r="L23" s="108"/>
      <c r="M23" s="297">
        <f t="shared" si="6"/>
        <v>3.2</v>
      </c>
      <c r="N23" s="342"/>
      <c r="O23" s="351">
        <v>6</v>
      </c>
      <c r="Q23" s="313">
        <f t="shared" si="11"/>
        <v>160</v>
      </c>
    </row>
    <row r="24" spans="1:17" ht="18" x14ac:dyDescent="0.25">
      <c r="A24" s="320" t="s">
        <v>7</v>
      </c>
      <c r="B24" s="99" t="s">
        <v>97</v>
      </c>
      <c r="C24" s="71">
        <f>+' VNR'!C18</f>
        <v>810</v>
      </c>
      <c r="D24" s="26">
        <f>+' VNR'!D18</f>
        <v>24</v>
      </c>
      <c r="E24" s="71">
        <f t="shared" si="10"/>
        <v>33.75</v>
      </c>
      <c r="F24" s="26">
        <f t="shared" si="1"/>
        <v>0.66630600000000018</v>
      </c>
      <c r="G24" s="72">
        <f t="shared" si="2"/>
        <v>0.26687499999999997</v>
      </c>
      <c r="H24" s="26">
        <f t="shared" si="3"/>
        <v>1.1812500000000001</v>
      </c>
      <c r="I24" s="99">
        <f t="shared" si="4"/>
        <v>2.6190000000000002</v>
      </c>
      <c r="J24" s="70"/>
      <c r="K24" s="111">
        <f>+G24+F24+H24+I24</f>
        <v>4.7334310000000004</v>
      </c>
      <c r="L24" s="108"/>
      <c r="M24" s="297">
        <f>ROUND(+K24*$L$10,2)</f>
        <v>2.5099999999999998</v>
      </c>
      <c r="N24" s="342"/>
      <c r="O24" s="351">
        <v>6</v>
      </c>
      <c r="P24" s="33"/>
      <c r="Q24" s="313">
        <f t="shared" si="11"/>
        <v>30.119999999999997</v>
      </c>
    </row>
    <row r="25" spans="1:17" ht="18" x14ac:dyDescent="0.25">
      <c r="A25" s="120" t="s">
        <v>8</v>
      </c>
      <c r="B25" s="213" t="s">
        <v>11</v>
      </c>
      <c r="C25" s="71">
        <f>+' VNR'!C21+' VNR'!C49+' VNR'!F49/2</f>
        <v>0</v>
      </c>
      <c r="D25" s="213"/>
      <c r="E25" s="71"/>
      <c r="F25" s="26"/>
      <c r="G25" s="72"/>
      <c r="H25" s="26"/>
      <c r="I25" s="99"/>
      <c r="J25" s="70"/>
      <c r="K25" s="111"/>
      <c r="L25" s="108"/>
      <c r="M25" s="109"/>
      <c r="N25" s="342"/>
      <c r="O25" s="351"/>
      <c r="P25" s="33"/>
      <c r="Q25" s="313"/>
    </row>
    <row r="26" spans="1:17" ht="18" x14ac:dyDescent="0.25">
      <c r="A26" s="100" t="s">
        <v>135</v>
      </c>
      <c r="B26" s="26" t="str">
        <f>+[6]VNR2004!B21</f>
        <v>Miles B/./km</v>
      </c>
      <c r="C26" s="71">
        <f>+' VNR'!C22</f>
        <v>6494.7631425745503</v>
      </c>
      <c r="D26" s="26">
        <f>+' VNR'!E76</f>
        <v>38.299999999999997</v>
      </c>
      <c r="E26" s="71">
        <f>+' VNR'!E22</f>
        <v>169.57606116382638</v>
      </c>
      <c r="F26" s="26">
        <f t="shared" si="1"/>
        <v>3.3478384299207264</v>
      </c>
      <c r="G26" s="72">
        <f t="shared" si="2"/>
        <v>1.340907002165812</v>
      </c>
      <c r="H26" s="26">
        <f t="shared" si="3"/>
        <v>5.9351621407339241</v>
      </c>
      <c r="I26" s="99">
        <f t="shared" si="4"/>
        <v>13.159102346312928</v>
      </c>
      <c r="J26" s="70"/>
      <c r="K26" s="107">
        <f t="shared" ref="K26" si="12">+F26+G26+H26+I26</f>
        <v>23.783009919133391</v>
      </c>
      <c r="L26" s="108"/>
      <c r="M26" s="297">
        <f>ROUND(+K26*$L$10,2)</f>
        <v>12.6</v>
      </c>
      <c r="N26" s="342"/>
      <c r="O26" s="351">
        <v>6</v>
      </c>
      <c r="P26" s="33"/>
      <c r="Q26" s="313">
        <f t="shared" ref="Q26" si="13">+M26*D26/12*O26</f>
        <v>241.28999999999996</v>
      </c>
    </row>
    <row r="27" spans="1:17" x14ac:dyDescent="0.2">
      <c r="A27" s="100" t="s">
        <v>139</v>
      </c>
      <c r="B27" s="26" t="str">
        <f>+[6]VNR2004!B22</f>
        <v>Miles B/./km</v>
      </c>
      <c r="C27" s="71"/>
      <c r="D27" s="26"/>
      <c r="E27" s="71"/>
      <c r="F27" s="26"/>
      <c r="G27" s="72"/>
      <c r="H27" s="26"/>
      <c r="I27" s="99"/>
      <c r="J27" s="70"/>
      <c r="K27" s="107"/>
      <c r="L27" s="108"/>
      <c r="M27" s="110" t="s">
        <v>128</v>
      </c>
      <c r="N27" s="343"/>
      <c r="O27" s="333"/>
      <c r="P27" s="33"/>
      <c r="Q27" s="313">
        <f>+' VNR'!O23</f>
        <v>0</v>
      </c>
    </row>
    <row r="28" spans="1:17" x14ac:dyDescent="0.2">
      <c r="A28" s="100" t="s">
        <v>93</v>
      </c>
      <c r="B28" s="26" t="str">
        <f>+[6]VNR2004!B23</f>
        <v>Miles B/./km</v>
      </c>
      <c r="C28" s="71"/>
      <c r="D28" s="26"/>
      <c r="E28" s="71"/>
      <c r="F28" s="26"/>
      <c r="G28" s="72"/>
      <c r="H28" s="26"/>
      <c r="I28" s="99"/>
      <c r="J28" s="70"/>
      <c r="K28" s="107"/>
      <c r="L28" s="108"/>
      <c r="M28" s="110" t="s">
        <v>128</v>
      </c>
      <c r="N28" s="343"/>
      <c r="O28" s="333"/>
      <c r="Q28" s="313">
        <f>+' VNR'!O24</f>
        <v>0</v>
      </c>
    </row>
    <row r="29" spans="1:17" x14ac:dyDescent="0.2">
      <c r="A29" s="100" t="s">
        <v>134</v>
      </c>
      <c r="B29" s="26" t="str">
        <f>+[6]VNR2004!B24</f>
        <v>Miles B/./km</v>
      </c>
      <c r="C29" s="71"/>
      <c r="D29" s="94"/>
      <c r="E29" s="143"/>
      <c r="F29" s="26"/>
      <c r="G29" s="72"/>
      <c r="H29" s="26"/>
      <c r="I29" s="99"/>
      <c r="J29" s="70"/>
      <c r="K29" s="107"/>
      <c r="L29" s="112"/>
      <c r="M29" s="110" t="s">
        <v>128</v>
      </c>
      <c r="N29" s="343"/>
      <c r="O29" s="333"/>
      <c r="Q29" s="314">
        <f>+' VNR'!K25</f>
        <v>0</v>
      </c>
    </row>
    <row r="30" spans="1:17" x14ac:dyDescent="0.2">
      <c r="A30" s="100" t="s">
        <v>138</v>
      </c>
      <c r="B30" s="68" t="s">
        <v>136</v>
      </c>
      <c r="C30" s="71"/>
      <c r="D30" s="310"/>
      <c r="E30" s="143"/>
      <c r="F30" s="94"/>
      <c r="G30" s="95"/>
      <c r="H30" s="94"/>
      <c r="I30" s="101"/>
      <c r="J30" s="70"/>
      <c r="K30" s="113"/>
      <c r="L30" s="112"/>
      <c r="M30" s="110" t="s">
        <v>128</v>
      </c>
      <c r="N30" s="343"/>
      <c r="O30" s="333"/>
      <c r="Q30" s="314">
        <f>+' VNR'!K26</f>
        <v>0</v>
      </c>
    </row>
    <row r="31" spans="1:17" ht="13.5" thickBot="1" x14ac:dyDescent="0.25">
      <c r="A31" s="102" t="s">
        <v>137</v>
      </c>
      <c r="B31" s="103" t="str">
        <f>+[6]VNR2004!B24</f>
        <v>Miles B/./km</v>
      </c>
      <c r="C31" s="103"/>
      <c r="D31" s="103"/>
      <c r="E31" s="105"/>
      <c r="F31" s="103"/>
      <c r="G31" s="104"/>
      <c r="H31" s="103"/>
      <c r="I31" s="105"/>
      <c r="J31" s="70"/>
      <c r="K31" s="114"/>
      <c r="L31" s="115"/>
      <c r="M31" s="116" t="s">
        <v>128</v>
      </c>
      <c r="N31" s="343"/>
      <c r="O31" s="333"/>
      <c r="Q31" s="315">
        <f>+' VNR'!O27</f>
        <v>0</v>
      </c>
    </row>
    <row r="32" spans="1:17" x14ac:dyDescent="0.2">
      <c r="A32" s="86"/>
      <c r="B32" s="331"/>
      <c r="C32" s="331"/>
      <c r="D32" s="331"/>
      <c r="E32" s="331"/>
      <c r="F32" s="331"/>
      <c r="G32" s="332"/>
      <c r="H32" s="331"/>
      <c r="I32" s="331"/>
      <c r="J32" s="20"/>
      <c r="K32" s="332"/>
      <c r="L32" s="27"/>
      <c r="M32" s="333"/>
      <c r="N32" s="343"/>
      <c r="O32" s="333"/>
      <c r="Q32" s="331"/>
    </row>
    <row r="33" spans="1:18" x14ac:dyDescent="0.2">
      <c r="A33" s="86"/>
      <c r="B33" s="331"/>
      <c r="C33" s="331"/>
      <c r="D33" s="331"/>
      <c r="E33" s="331"/>
      <c r="F33" s="331"/>
      <c r="G33" s="332"/>
      <c r="H33" s="331"/>
      <c r="I33" s="331"/>
      <c r="J33" s="20"/>
      <c r="K33" s="332"/>
      <c r="L33" s="27"/>
      <c r="M33" s="333"/>
      <c r="N33" s="333"/>
      <c r="O33" s="333"/>
      <c r="Q33" s="331"/>
    </row>
    <row r="34" spans="1:18" x14ac:dyDescent="0.2">
      <c r="A34" s="86"/>
      <c r="C34" s="39"/>
      <c r="P34" s="31" t="s">
        <v>12</v>
      </c>
      <c r="Q34" s="39">
        <f>SUM(Q12:Q24)</f>
        <v>2438.3050000000003</v>
      </c>
    </row>
    <row r="35" spans="1:18" x14ac:dyDescent="0.2">
      <c r="K35" s="349"/>
    </row>
    <row r="36" spans="1:18" ht="15" x14ac:dyDescent="0.35">
      <c r="K36" s="350"/>
      <c r="Q36" s="994" t="e">
        <f>+#REF!/1000</f>
        <v>#REF!</v>
      </c>
      <c r="R36" s="433" t="s">
        <v>661</v>
      </c>
    </row>
    <row r="37" spans="1:18" x14ac:dyDescent="0.2">
      <c r="Q37" s="39" t="e">
        <f>+Q34+Q36</f>
        <v>#REF!</v>
      </c>
    </row>
  </sheetData>
  <sheetProtection algorithmName="SHA-512" hashValue="DX1YMPP4ybwJXYG7AkWpiB6KI+TSmjHiW9dajwAN4n6ZouL7NIJ5gC2afyHy1Cvzz9RbHSF1wopQGyikYiW3iw==" saltValue="BZz5cXu5zSMA1OonWs1LEQ==" spinCount="100000" sheet="1" objects="1" scenarios="1"/>
  <mergeCells count="18">
    <mergeCell ref="A1:K1"/>
    <mergeCell ref="A2:K2"/>
    <mergeCell ref="A3:D6"/>
    <mergeCell ref="E8:E9"/>
    <mergeCell ref="K8:K9"/>
    <mergeCell ref="I8:I9"/>
    <mergeCell ref="H8:H9"/>
    <mergeCell ref="G8:G9"/>
    <mergeCell ref="A8:A9"/>
    <mergeCell ref="B8:B9"/>
    <mergeCell ref="E3:K3"/>
    <mergeCell ref="E5:K5"/>
    <mergeCell ref="F8:F9"/>
    <mergeCell ref="C8:C9"/>
    <mergeCell ref="D8:D9"/>
    <mergeCell ref="Q8:Q9"/>
    <mergeCell ref="L8:L9"/>
    <mergeCell ref="M8:M9"/>
  </mergeCells>
  <phoneticPr fontId="0" type="noConversion"/>
  <printOptions horizontalCentered="1" verticalCentered="1"/>
  <pageMargins left="0.62992125984251968" right="0.62992125984251968" top="1" bottom="1.3779527559055118" header="0" footer="1.0629921259842521"/>
  <pageSetup scale="65" orientation="landscape" r:id="rId1"/>
  <headerFooter alignWithMargins="0">
    <oddHeader>&amp;F</oddHeader>
    <oddFooter>&amp;L&amp;8HOJA:  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Resumen</vt:lpstr>
      <vt:lpstr> IMP Existente 2017 2021</vt:lpstr>
      <vt:lpstr>VNR consulta (015 17)</vt:lpstr>
      <vt:lpstr>IPCT VNR_FA</vt:lpstr>
      <vt:lpstr>Activos Reconocidos</vt:lpstr>
      <vt:lpstr>N de Instalaciones</vt:lpstr>
      <vt:lpstr> VNR</vt:lpstr>
      <vt:lpstr>SALIDAS Y TRANSFORMACION</vt:lpstr>
      <vt:lpstr>CX cxj Año1 </vt:lpstr>
      <vt:lpstr>CX cxj Año2</vt:lpstr>
      <vt:lpstr>CX cxj Año3</vt:lpstr>
      <vt:lpstr>CX cxj Año4</vt:lpstr>
      <vt:lpstr>CHORRERA CONEX 230</vt:lpstr>
      <vt:lpstr>LL.SANCHEZ CONEX 230</vt:lpstr>
      <vt:lpstr>CH. AZUL CONEX 115</vt:lpstr>
      <vt:lpstr>Parámetros de eficiencia</vt:lpstr>
      <vt:lpstr>' IMP Existente 2017 2021'!ActNetoHidro</vt:lpstr>
      <vt:lpstr>' IMP Existente 2017 2021'!Área_de_impresión</vt:lpstr>
      <vt:lpstr>' VNR'!Área_de_impresión</vt:lpstr>
      <vt:lpstr>'CX cxj Año1 '!Área_de_impresión</vt:lpstr>
      <vt:lpstr>'N de Instalaciones'!Área_de_impresión</vt:lpstr>
      <vt:lpstr>'Parámetros de eficiencia'!Área_de_impresión</vt:lpstr>
      <vt:lpstr>Resumen!Área_de_impresión</vt:lpstr>
      <vt:lpstr>'SALIDAS Y TRANSFORMACION'!Área_de_impresión</vt:lpstr>
      <vt:lpstr>' IMP Existente 2017 2021'!RRT</vt:lpstr>
      <vt:lpstr>'CX cxj Año1 '!Títulos_a_imprimir</vt:lpstr>
      <vt:lpstr>Resumen!Títulos_a_imprimir</vt:lpstr>
      <vt:lpstr>'VNR consulta (015 17)'!VNR_Lineas</vt:lpstr>
      <vt:lpstr>'VNR consulta (015 17)'!VNR_Subestaciones_Conexión</vt:lpstr>
      <vt:lpstr>'VNR consulta (015 17)'!VNR_Subestaciones_Estrategicas</vt:lpstr>
      <vt:lpstr>'VNR consulta (015 17)'!VNR_Subestaciones_SPT</vt:lpstr>
    </vt:vector>
  </TitlesOfParts>
  <Company>ETESA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Cargos por Conexión</dc:title>
  <dc:subject>Cálculos Preliminares con IMP en Consulta</dc:subject>
  <dc:creator>Mrivera</dc:creator>
  <dc:description>Información: VNR/Subetaciones: Luis Gomez: , VNRLíneas: Daniel Pereira&amp; Julio Ho; Calculos borrador: Ana Hernández; Revisión: Julio Ho</dc:description>
  <cp:lastModifiedBy>rebecaf</cp:lastModifiedBy>
  <cp:lastPrinted>2018-01-11T17:00:04Z</cp:lastPrinted>
  <dcterms:created xsi:type="dcterms:W3CDTF">2005-04-08T15:43:16Z</dcterms:created>
  <dcterms:modified xsi:type="dcterms:W3CDTF">2018-01-16T20:42:21Z</dcterms:modified>
</cp:coreProperties>
</file>