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becaf\Disco F\2017\Estudio Tarifario de Transmisión\Modelos\"/>
    </mc:Choice>
  </mc:AlternateContent>
  <bookViews>
    <workbookView xWindow="0" yWindow="0" windowWidth="25200" windowHeight="11085" tabRatio="924"/>
  </bookViews>
  <sheets>
    <sheet name="IMP Existente" sheetId="27" r:id="rId1"/>
    <sheet name="IMPA Indicativo" sheetId="24" r:id="rId2"/>
    <sheet name="Activos Reconocidos" sheetId="23" r:id="rId3"/>
    <sheet name="Tasa de Depreciación" sheetId="16" r:id="rId4"/>
    <sheet name="Base de Capital" sheetId="14" r:id="rId5"/>
    <sheet name="Plan de Expansión" sheetId="18" r:id="rId6"/>
    <sheet name="Tercera Línea" sheetId="29" r:id="rId7"/>
    <sheet name="VNR" sheetId="21" r:id="rId8"/>
    <sheet name="CND_HID" sheetId="19" r:id="rId9"/>
    <sheet name="GEN_OBL" sheetId="26" r:id="rId10"/>
    <sheet name="Anexo Activos_Depreciaciones" sheetId="1" r:id="rId11"/>
    <sheet name="Bienes e Instalaciones 31_12_16" sheetId="13" r:id="rId12"/>
    <sheet name="Conso Altas 2013_2016" sheetId="4" r:id="rId13"/>
    <sheet name="IMP RevTar_2013_2017" sheetId="28" r:id="rId14"/>
    <sheet name="Cuadro Informe" sheetId="20" state="hidden" r:id="rId15"/>
  </sheets>
  <definedNames>
    <definedName name="_Fill" localSheetId="9" hidden="1">#REF!</definedName>
    <definedName name="_Fill" localSheetId="0" hidden="1">#REF!</definedName>
    <definedName name="_Fill" localSheetId="1" hidden="1">#REF!</definedName>
    <definedName name="_Fill" hidden="1">#REF!</definedName>
    <definedName name="ActNetoHidro" localSheetId="0">'IMP Existente'!$D$26:$I$26</definedName>
    <definedName name="ActNetoHidro">'IMPA Indicativo'!$D$26:$I$26</definedName>
    <definedName name="_xlnm.Print_Area" localSheetId="0">'IMP Existente'!$B$62:$I$122</definedName>
    <definedName name="_xlnm.Print_Area" localSheetId="5">'Plan de Expansión'!$A$1:$S$170</definedName>
    <definedName name="DepAnualHidro">'Activos Reconocidos'!$D$255:$H$255</definedName>
    <definedName name="DepHidro">'Activos Reconocidos'!$D$255:$H$255</definedName>
    <definedName name="RRT" localSheetId="0">'IMP Existente'!$D$13</definedName>
    <definedName name="RRT">'IMPA Indicativo'!$D$13</definedName>
    <definedName name="VNR_Lineas">VNR!$Q$62</definedName>
    <definedName name="VNR_Subestaciones_Conexión">VNR!$G$46</definedName>
    <definedName name="VNR_Subestaciones_Estrategicas">VNR!$F$36</definedName>
    <definedName name="VNR_Subestaciones_SPT">VNR!$F$30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Z17" i="1" l="1"/>
  <c r="F18" i="18"/>
  <c r="E42" i="29" l="1"/>
  <c r="C42" i="29"/>
  <c r="K16" i="29"/>
  <c r="K15" i="29"/>
  <c r="K14" i="29"/>
  <c r="J17" i="29"/>
  <c r="J16" i="29"/>
  <c r="J15" i="29"/>
  <c r="J14" i="29"/>
  <c r="C41" i="29" l="1"/>
  <c r="E41" i="29" s="1"/>
  <c r="D160" i="27" l="1"/>
  <c r="D161" i="27"/>
  <c r="D162" i="27"/>
  <c r="D163" i="27"/>
  <c r="E71" i="27"/>
  <c r="E76" i="27" s="1"/>
  <c r="C150" i="23"/>
  <c r="D150" i="23"/>
  <c r="E150" i="23"/>
  <c r="F150" i="23"/>
  <c r="G150" i="23"/>
  <c r="H150" i="23"/>
  <c r="M23" i="29" l="1"/>
  <c r="M22" i="29"/>
  <c r="M21" i="29"/>
  <c r="AE13" i="18"/>
  <c r="K23" i="29"/>
  <c r="F23" i="29"/>
  <c r="D23" i="29" s="1"/>
  <c r="K22" i="29"/>
  <c r="G22" i="29"/>
  <c r="D22" i="29"/>
  <c r="E22" i="29" s="1"/>
  <c r="K21" i="29"/>
  <c r="F21" i="29"/>
  <c r="D21" i="29" s="1"/>
  <c r="J20" i="29"/>
  <c r="G20" i="29"/>
  <c r="M17" i="29"/>
  <c r="H17" i="29"/>
  <c r="G17" i="29"/>
  <c r="F17" i="29"/>
  <c r="E17" i="29"/>
  <c r="D17" i="29"/>
  <c r="C17" i="29"/>
  <c r="N16" i="29"/>
  <c r="J23" i="29" s="1"/>
  <c r="I16" i="29"/>
  <c r="I23" i="29" s="1"/>
  <c r="N15" i="29"/>
  <c r="J22" i="29" s="1"/>
  <c r="I15" i="29"/>
  <c r="I22" i="29" s="1"/>
  <c r="N14" i="29"/>
  <c r="J21" i="29" s="1"/>
  <c r="I14" i="29"/>
  <c r="K24" i="29" l="1"/>
  <c r="G21" i="29"/>
  <c r="I17" i="29"/>
  <c r="H22" i="29"/>
  <c r="L22" i="29" s="1"/>
  <c r="E23" i="29"/>
  <c r="J24" i="29"/>
  <c r="D24" i="29"/>
  <c r="G23" i="29"/>
  <c r="F24" i="29"/>
  <c r="N17" i="29"/>
  <c r="E21" i="29"/>
  <c r="E24" i="29" l="1"/>
  <c r="H23" i="29"/>
  <c r="L23" i="29" s="1"/>
  <c r="G24" i="29"/>
  <c r="H21" i="29"/>
  <c r="H24" i="29" l="1"/>
  <c r="C73" i="23" l="1"/>
  <c r="E38" i="29"/>
  <c r="E43" i="29" s="1"/>
  <c r="D38" i="29"/>
  <c r="D43" i="29" s="1"/>
  <c r="C38" i="29"/>
  <c r="I68" i="24"/>
  <c r="H68" i="24"/>
  <c r="G68" i="24"/>
  <c r="F68" i="24"/>
  <c r="E68" i="24"/>
  <c r="C43" i="29" l="1"/>
  <c r="D13" i="24"/>
  <c r="D12" i="24"/>
  <c r="I67" i="27" l="1"/>
  <c r="H67" i="27"/>
  <c r="G67" i="27"/>
  <c r="F67" i="27"/>
  <c r="D62" i="21" l="1"/>
  <c r="E55" i="21"/>
  <c r="D60" i="21" l="1"/>
  <c r="E59" i="21"/>
  <c r="E58" i="21"/>
  <c r="E57" i="21"/>
  <c r="D100" i="21" l="1"/>
  <c r="D99" i="21"/>
  <c r="D95" i="21"/>
  <c r="D96" i="21" s="1"/>
  <c r="J7" i="26" l="1"/>
  <c r="L7" i="26" s="1"/>
  <c r="N7" i="26" s="1"/>
  <c r="I7" i="26"/>
  <c r="K7" i="26" s="1"/>
  <c r="M7" i="26" s="1"/>
  <c r="H7" i="26"/>
  <c r="G7" i="26"/>
  <c r="E106" i="27" l="1"/>
  <c r="D163" i="24" l="1"/>
  <c r="D162" i="24"/>
  <c r="D161" i="24"/>
  <c r="D160" i="24"/>
  <c r="F160" i="24" s="1"/>
  <c r="K166" i="24"/>
  <c r="J166" i="24"/>
  <c r="I166" i="24"/>
  <c r="H166" i="24"/>
  <c r="G166" i="24"/>
  <c r="F166" i="24"/>
  <c r="E166" i="24"/>
  <c r="D166" i="24"/>
  <c r="E160" i="24"/>
  <c r="E169" i="27" l="1"/>
  <c r="E170" i="24" s="1"/>
  <c r="F169" i="27"/>
  <c r="F170" i="24" s="1"/>
  <c r="G169" i="27"/>
  <c r="G170" i="24" s="1"/>
  <c r="D169" i="27"/>
  <c r="D170" i="24" s="1"/>
  <c r="E168" i="27"/>
  <c r="E169" i="24" s="1"/>
  <c r="F168" i="27"/>
  <c r="F169" i="24" s="1"/>
  <c r="G168" i="27"/>
  <c r="G169" i="24" s="1"/>
  <c r="D168" i="27"/>
  <c r="D169" i="24" s="1"/>
  <c r="E167" i="27"/>
  <c r="E168" i="24" s="1"/>
  <c r="F167" i="27"/>
  <c r="F168" i="24" s="1"/>
  <c r="G167" i="27"/>
  <c r="G168" i="24" s="1"/>
  <c r="D167" i="27"/>
  <c r="D168" i="24" s="1"/>
  <c r="E166" i="27"/>
  <c r="F166" i="27"/>
  <c r="G166" i="27"/>
  <c r="D166" i="27"/>
  <c r="K165" i="27"/>
  <c r="J165" i="27"/>
  <c r="I165" i="27"/>
  <c r="H165" i="27"/>
  <c r="G165" i="27"/>
  <c r="F165" i="27"/>
  <c r="E165" i="27"/>
  <c r="D165" i="27"/>
  <c r="H46" i="28"/>
  <c r="G46" i="28"/>
  <c r="F46" i="28"/>
  <c r="E46" i="28"/>
  <c r="F171" i="27" l="1"/>
  <c r="F167" i="24"/>
  <c r="F172" i="24" s="1"/>
  <c r="D171" i="27"/>
  <c r="D167" i="24"/>
  <c r="D172" i="24" s="1"/>
  <c r="G171" i="27"/>
  <c r="G167" i="24"/>
  <c r="G172" i="24" s="1"/>
  <c r="E171" i="27"/>
  <c r="E167" i="24"/>
  <c r="E172" i="24" s="1"/>
  <c r="I98" i="27"/>
  <c r="H98" i="27"/>
  <c r="G98" i="27"/>
  <c r="F98" i="27"/>
  <c r="E98" i="27"/>
  <c r="E85" i="27"/>
  <c r="I85" i="27"/>
  <c r="H85" i="27"/>
  <c r="G85" i="27"/>
  <c r="F85" i="27"/>
  <c r="I50" i="27"/>
  <c r="H50" i="27"/>
  <c r="G50" i="27"/>
  <c r="F50" i="27"/>
  <c r="E50" i="27"/>
  <c r="I49" i="27"/>
  <c r="H49" i="27"/>
  <c r="G49" i="27"/>
  <c r="F49" i="27"/>
  <c r="E49" i="27"/>
  <c r="I38" i="27"/>
  <c r="H38" i="27"/>
  <c r="G38" i="27"/>
  <c r="G57" i="27" s="1"/>
  <c r="F38" i="27"/>
  <c r="I37" i="27"/>
  <c r="I56" i="27" s="1"/>
  <c r="H37" i="27"/>
  <c r="G37" i="27"/>
  <c r="H101" i="27" s="1"/>
  <c r="F37" i="27"/>
  <c r="I36" i="27"/>
  <c r="I55" i="27" s="1"/>
  <c r="H36" i="27"/>
  <c r="G36" i="27"/>
  <c r="H86" i="27" s="1"/>
  <c r="F36" i="27"/>
  <c r="E38" i="27"/>
  <c r="E36" i="27"/>
  <c r="F86" i="27" s="1"/>
  <c r="E37" i="27"/>
  <c r="F101" i="27" s="1"/>
  <c r="I32" i="27"/>
  <c r="H32" i="27"/>
  <c r="G32" i="27"/>
  <c r="F32" i="27"/>
  <c r="I31" i="27"/>
  <c r="H31" i="27"/>
  <c r="I87" i="27" s="1"/>
  <c r="G31" i="27"/>
  <c r="H87" i="27" s="1"/>
  <c r="F31" i="27"/>
  <c r="G87" i="27" s="1"/>
  <c r="I30" i="27"/>
  <c r="H30" i="27"/>
  <c r="G30" i="27"/>
  <c r="F30" i="27"/>
  <c r="I29" i="27"/>
  <c r="H29" i="27"/>
  <c r="G29" i="27"/>
  <c r="F29" i="27"/>
  <c r="E32" i="27"/>
  <c r="E31" i="27"/>
  <c r="F87" i="27" s="1"/>
  <c r="E30" i="27"/>
  <c r="E29" i="27"/>
  <c r="D153" i="27"/>
  <c r="D148" i="27"/>
  <c r="E141" i="27"/>
  <c r="F141" i="27" s="1"/>
  <c r="G141" i="27" s="1"/>
  <c r="H141" i="27" s="1"/>
  <c r="E113" i="27"/>
  <c r="E101" i="27"/>
  <c r="E100" i="27"/>
  <c r="E99" i="27"/>
  <c r="E97" i="27"/>
  <c r="E96" i="27"/>
  <c r="E95" i="27"/>
  <c r="E94" i="27"/>
  <c r="I93" i="27"/>
  <c r="E88" i="27"/>
  <c r="E87" i="27"/>
  <c r="E86" i="27"/>
  <c r="E84" i="27"/>
  <c r="E83" i="27"/>
  <c r="E82" i="27"/>
  <c r="E81" i="27"/>
  <c r="E62" i="27"/>
  <c r="E67" i="27" s="1"/>
  <c r="E53" i="27"/>
  <c r="D53" i="27"/>
  <c r="E48" i="27"/>
  <c r="D48" i="27"/>
  <c r="E43" i="27"/>
  <c r="D43" i="27"/>
  <c r="H56" i="27"/>
  <c r="E34" i="27"/>
  <c r="D34" i="27"/>
  <c r="E28" i="27"/>
  <c r="D28" i="27"/>
  <c r="E18" i="27"/>
  <c r="D18" i="27"/>
  <c r="I10" i="27"/>
  <c r="H10" i="27"/>
  <c r="G10" i="27"/>
  <c r="F10" i="27"/>
  <c r="I9" i="27"/>
  <c r="H9" i="27"/>
  <c r="G9" i="27"/>
  <c r="F9" i="27"/>
  <c r="F8" i="27"/>
  <c r="F71" i="27" s="1"/>
  <c r="F76" i="27" s="1"/>
  <c r="F106" i="27" l="1"/>
  <c r="E80" i="27"/>
  <c r="E118" i="27" s="1"/>
  <c r="I81" i="27"/>
  <c r="E104" i="27"/>
  <c r="E131" i="27" s="1"/>
  <c r="E150" i="27" s="1"/>
  <c r="E91" i="27"/>
  <c r="E127" i="27" s="1"/>
  <c r="E146" i="27" s="1"/>
  <c r="I95" i="27"/>
  <c r="I97" i="27"/>
  <c r="F113" i="27"/>
  <c r="F48" i="27"/>
  <c r="E56" i="27"/>
  <c r="H57" i="27"/>
  <c r="G8" i="27"/>
  <c r="H88" i="27"/>
  <c r="G55" i="27"/>
  <c r="G101" i="27"/>
  <c r="F56" i="27"/>
  <c r="G99" i="27"/>
  <c r="E57" i="27"/>
  <c r="I57" i="27"/>
  <c r="G81" i="27"/>
  <c r="E55" i="27"/>
  <c r="G83" i="27"/>
  <c r="F99" i="27"/>
  <c r="F28" i="27"/>
  <c r="G86" i="27"/>
  <c r="G88" i="27"/>
  <c r="F43" i="27"/>
  <c r="F83" i="27"/>
  <c r="F81" i="27"/>
  <c r="F53" i="27"/>
  <c r="F18" i="27"/>
  <c r="F34" i="27"/>
  <c r="I88" i="27"/>
  <c r="H55" i="27"/>
  <c r="I86" i="27"/>
  <c r="G56" i="27"/>
  <c r="H99" i="27"/>
  <c r="F57" i="27"/>
  <c r="H81" i="27"/>
  <c r="H83" i="27"/>
  <c r="F55" i="27"/>
  <c r="F62" i="27"/>
  <c r="F88" i="27"/>
  <c r="I99" i="27"/>
  <c r="I101" i="27"/>
  <c r="I83" i="27"/>
  <c r="G106" i="27" l="1"/>
  <c r="G71" i="27"/>
  <c r="G76" i="27" s="1"/>
  <c r="F80" i="27"/>
  <c r="F118" i="27" s="1"/>
  <c r="G97" i="27"/>
  <c r="G95" i="27"/>
  <c r="I84" i="27"/>
  <c r="I82" i="27"/>
  <c r="H84" i="27"/>
  <c r="H82" i="27"/>
  <c r="G113" i="27"/>
  <c r="G62" i="27"/>
  <c r="G34" i="27"/>
  <c r="G18" i="27"/>
  <c r="H8" i="27"/>
  <c r="H71" i="27" s="1"/>
  <c r="H76" i="27" s="1"/>
  <c r="G53" i="27"/>
  <c r="G48" i="27"/>
  <c r="G43" i="27"/>
  <c r="G28" i="27"/>
  <c r="H95" i="27"/>
  <c r="H97" i="27"/>
  <c r="G82" i="27"/>
  <c r="G84" i="27"/>
  <c r="E124" i="27"/>
  <c r="E140" i="27" s="1"/>
  <c r="E93" i="27"/>
  <c r="E143" i="27"/>
  <c r="F82" i="27"/>
  <c r="F84" i="27"/>
  <c r="F97" i="27"/>
  <c r="F95" i="27"/>
  <c r="F93" i="27"/>
  <c r="E14" i="19"/>
  <c r="F14" i="19" s="1"/>
  <c r="G14" i="19" s="1"/>
  <c r="H14" i="19" s="1"/>
  <c r="I14" i="19" s="1"/>
  <c r="J14" i="19" s="1"/>
  <c r="K14" i="19" s="1"/>
  <c r="L14" i="19" s="1"/>
  <c r="M14" i="19" s="1"/>
  <c r="H91" i="27" l="1"/>
  <c r="H127" i="27" s="1"/>
  <c r="H146" i="27" s="1"/>
  <c r="F124" i="27"/>
  <c r="F140" i="27" s="1"/>
  <c r="F143" i="27"/>
  <c r="G80" i="27"/>
  <c r="G118" i="27" s="1"/>
  <c r="H106" i="27"/>
  <c r="F91" i="27"/>
  <c r="F127" i="27" s="1"/>
  <c r="F146" i="27" s="1"/>
  <c r="G91" i="27"/>
  <c r="G127" i="27" s="1"/>
  <c r="G146" i="27" s="1"/>
  <c r="I91" i="27"/>
  <c r="H62" i="27"/>
  <c r="H53" i="27"/>
  <c r="H48" i="27"/>
  <c r="H43" i="27"/>
  <c r="H28" i="27"/>
  <c r="H18" i="27"/>
  <c r="H113" i="27"/>
  <c r="H34" i="27"/>
  <c r="I8" i="27"/>
  <c r="I71" i="27" s="1"/>
  <c r="I76" i="27" s="1"/>
  <c r="O12" i="18"/>
  <c r="N11" i="18"/>
  <c r="M11" i="18"/>
  <c r="L11" i="18"/>
  <c r="K11" i="18"/>
  <c r="J11" i="18"/>
  <c r="I11" i="18"/>
  <c r="H11" i="18"/>
  <c r="G11" i="18"/>
  <c r="F11" i="18"/>
  <c r="D11" i="18"/>
  <c r="C11" i="18"/>
  <c r="G93" i="27" l="1"/>
  <c r="G124" i="27"/>
  <c r="G140" i="27" s="1"/>
  <c r="G143" i="27"/>
  <c r="H80" i="27"/>
  <c r="H118" i="27" s="1"/>
  <c r="I106" i="27"/>
  <c r="D146" i="27"/>
  <c r="I62" i="27"/>
  <c r="I53" i="27"/>
  <c r="I113" i="27"/>
  <c r="I48" i="27"/>
  <c r="I43" i="27"/>
  <c r="I28" i="27"/>
  <c r="I34" i="27"/>
  <c r="I18" i="27"/>
  <c r="E11" i="18"/>
  <c r="H124" i="27" l="1"/>
  <c r="H140" i="27" s="1"/>
  <c r="H143" i="27"/>
  <c r="H93" i="27"/>
  <c r="H279" i="23"/>
  <c r="G279" i="23"/>
  <c r="F279" i="23"/>
  <c r="E279" i="23"/>
  <c r="D279" i="23"/>
  <c r="C279" i="23"/>
  <c r="H262" i="23"/>
  <c r="G262" i="23"/>
  <c r="F262" i="23"/>
  <c r="E262" i="23"/>
  <c r="D262" i="23"/>
  <c r="C262" i="23"/>
  <c r="E112" i="19" l="1"/>
  <c r="Q62" i="21" l="1"/>
  <c r="E60" i="21" l="1"/>
  <c r="E62" i="21" s="1"/>
  <c r="D98" i="21"/>
  <c r="D101" i="21"/>
  <c r="D103" i="21" s="1"/>
  <c r="C264" i="23"/>
  <c r="D264" i="23"/>
  <c r="E264" i="23"/>
  <c r="F264" i="23"/>
  <c r="G264" i="23"/>
  <c r="H264" i="23"/>
  <c r="C266" i="23"/>
  <c r="D266" i="23"/>
  <c r="E266" i="23"/>
  <c r="F266" i="23"/>
  <c r="G266" i="23"/>
  <c r="H266" i="23"/>
  <c r="C269" i="23"/>
  <c r="D90" i="19" l="1"/>
  <c r="N29" i="26" l="1"/>
  <c r="M29" i="26"/>
  <c r="L29" i="26"/>
  <c r="K29" i="26"/>
  <c r="J29" i="26"/>
  <c r="I29" i="26"/>
  <c r="H29" i="26"/>
  <c r="G29" i="26"/>
  <c r="F29" i="26"/>
  <c r="E29" i="26"/>
  <c r="D29" i="26"/>
  <c r="C29" i="26"/>
  <c r="E141" i="24" l="1"/>
  <c r="F141" i="24" s="1"/>
  <c r="G141" i="24" s="1"/>
  <c r="H141" i="24" s="1"/>
  <c r="F85" i="19" l="1"/>
  <c r="E85" i="19"/>
  <c r="D85" i="19"/>
  <c r="H85" i="19"/>
  <c r="G85" i="19"/>
  <c r="E90" i="19"/>
  <c r="F90" i="19" s="1"/>
  <c r="G90" i="19" s="1"/>
  <c r="H90" i="19" s="1"/>
  <c r="E89" i="19"/>
  <c r="G77" i="19"/>
  <c r="I77" i="19" s="1"/>
  <c r="K77" i="19" s="1"/>
  <c r="M77" i="19" s="1"/>
  <c r="F77" i="19"/>
  <c r="H77" i="19" s="1"/>
  <c r="J77" i="19" s="1"/>
  <c r="L77" i="19" s="1"/>
  <c r="H86" i="19" l="1"/>
  <c r="H91" i="19" s="1"/>
  <c r="E86" i="19"/>
  <c r="E91" i="19" s="1"/>
  <c r="E92" i="19" s="1"/>
  <c r="F86" i="19"/>
  <c r="F91" i="19" s="1"/>
  <c r="G86" i="19"/>
  <c r="G91" i="19" s="1"/>
  <c r="D86" i="19"/>
  <c r="D91" i="19" s="1"/>
  <c r="D92" i="19" s="1"/>
  <c r="F89" i="19"/>
  <c r="F92" i="19" l="1"/>
  <c r="G89" i="19"/>
  <c r="G92" i="19" s="1"/>
  <c r="H89" i="19" l="1"/>
  <c r="H92" i="19" s="1"/>
  <c r="M142" i="19" l="1"/>
  <c r="L142" i="19"/>
  <c r="K142" i="19"/>
  <c r="J142" i="19"/>
  <c r="I142" i="19"/>
  <c r="H142" i="19"/>
  <c r="G142" i="19"/>
  <c r="F142" i="19"/>
  <c r="E142" i="19"/>
  <c r="D142" i="19"/>
  <c r="M129" i="19"/>
  <c r="L129" i="19"/>
  <c r="K129" i="19"/>
  <c r="J129" i="19"/>
  <c r="I129" i="19"/>
  <c r="H129" i="19"/>
  <c r="G129" i="19"/>
  <c r="F129" i="19"/>
  <c r="E129" i="19"/>
  <c r="D129" i="19"/>
  <c r="M120" i="19"/>
  <c r="L120" i="19"/>
  <c r="K120" i="19"/>
  <c r="J120" i="19"/>
  <c r="I120" i="19"/>
  <c r="H120" i="19"/>
  <c r="G120" i="19"/>
  <c r="F120" i="19"/>
  <c r="E120" i="19"/>
  <c r="D120" i="19"/>
  <c r="M112" i="19"/>
  <c r="L112" i="19"/>
  <c r="K112" i="19"/>
  <c r="J112" i="19"/>
  <c r="I112" i="19"/>
  <c r="H112" i="19"/>
  <c r="G112" i="19"/>
  <c r="F112" i="19"/>
  <c r="D112" i="19"/>
  <c r="M100" i="19"/>
  <c r="L100" i="19"/>
  <c r="K100" i="19"/>
  <c r="K98" i="19" s="1"/>
  <c r="K146" i="19" s="1"/>
  <c r="J100" i="19"/>
  <c r="I100" i="19"/>
  <c r="H100" i="19"/>
  <c r="G100" i="19"/>
  <c r="F100" i="19"/>
  <c r="E100" i="19"/>
  <c r="D100" i="19"/>
  <c r="C144" i="19"/>
  <c r="C139" i="19"/>
  <c r="C138" i="19"/>
  <c r="C137" i="19"/>
  <c r="C136" i="19"/>
  <c r="C135" i="19"/>
  <c r="C134" i="19"/>
  <c r="C133" i="19"/>
  <c r="C132" i="19"/>
  <c r="C131" i="19"/>
  <c r="C125" i="19"/>
  <c r="C124" i="19"/>
  <c r="C123" i="19"/>
  <c r="C122" i="19"/>
  <c r="C121" i="19"/>
  <c r="C116" i="19"/>
  <c r="C115" i="19"/>
  <c r="C114" i="19"/>
  <c r="C110" i="19"/>
  <c r="C109" i="19"/>
  <c r="C108" i="19"/>
  <c r="C107" i="19"/>
  <c r="C106" i="19"/>
  <c r="C105" i="19"/>
  <c r="C104" i="19"/>
  <c r="C103" i="19"/>
  <c r="C102" i="19"/>
  <c r="C71" i="19"/>
  <c r="C70" i="19"/>
  <c r="C69" i="19"/>
  <c r="C68" i="19"/>
  <c r="C65" i="19"/>
  <c r="C64" i="19"/>
  <c r="C63" i="19"/>
  <c r="C62" i="19"/>
  <c r="C60" i="19"/>
  <c r="C59" i="19"/>
  <c r="C58" i="19"/>
  <c r="C56" i="19"/>
  <c r="C55" i="19"/>
  <c r="C54" i="19"/>
  <c r="C52" i="19"/>
  <c r="C51" i="19"/>
  <c r="C50" i="19"/>
  <c r="C49" i="19"/>
  <c r="C48" i="19"/>
  <c r="C47" i="19"/>
  <c r="C46" i="19"/>
  <c r="C44" i="19"/>
  <c r="C43" i="19"/>
  <c r="C42" i="19"/>
  <c r="C41" i="19"/>
  <c r="C39" i="19"/>
  <c r="C38" i="19"/>
  <c r="C37" i="19"/>
  <c r="C35" i="19"/>
  <c r="C67" i="19"/>
  <c r="M66" i="19"/>
  <c r="L66" i="19"/>
  <c r="K66" i="19"/>
  <c r="J66" i="19"/>
  <c r="I66" i="19"/>
  <c r="H66" i="19"/>
  <c r="G66" i="19"/>
  <c r="F66" i="19"/>
  <c r="E66" i="19"/>
  <c r="D66" i="19"/>
  <c r="M61" i="19"/>
  <c r="L61" i="19"/>
  <c r="K61" i="19"/>
  <c r="J61" i="19"/>
  <c r="I61" i="19"/>
  <c r="H61" i="19"/>
  <c r="G61" i="19"/>
  <c r="F61" i="19"/>
  <c r="E61" i="19"/>
  <c r="D61" i="19"/>
  <c r="M57" i="19"/>
  <c r="L57" i="19"/>
  <c r="K57" i="19"/>
  <c r="J57" i="19"/>
  <c r="I57" i="19"/>
  <c r="H57" i="19"/>
  <c r="G57" i="19"/>
  <c r="F57" i="19"/>
  <c r="E57" i="19"/>
  <c r="D57" i="19"/>
  <c r="C57" i="19" s="1"/>
  <c r="M53" i="19"/>
  <c r="L53" i="19"/>
  <c r="K53" i="19"/>
  <c r="J53" i="19"/>
  <c r="I53" i="19"/>
  <c r="H53" i="19"/>
  <c r="G53" i="19"/>
  <c r="F53" i="19"/>
  <c r="E53" i="19"/>
  <c r="D53" i="19"/>
  <c r="M45" i="19"/>
  <c r="L45" i="19"/>
  <c r="K45" i="19"/>
  <c r="J45" i="19"/>
  <c r="I45" i="19"/>
  <c r="H45" i="19"/>
  <c r="G45" i="19"/>
  <c r="F45" i="19"/>
  <c r="E45" i="19"/>
  <c r="D45" i="19"/>
  <c r="C45" i="19" s="1"/>
  <c r="M40" i="19"/>
  <c r="L40" i="19"/>
  <c r="K40" i="19"/>
  <c r="J40" i="19"/>
  <c r="I40" i="19"/>
  <c r="H40" i="19"/>
  <c r="G40" i="19"/>
  <c r="F40" i="19"/>
  <c r="E40" i="19"/>
  <c r="D40" i="19"/>
  <c r="M36" i="19"/>
  <c r="L36" i="19"/>
  <c r="K36" i="19"/>
  <c r="J36" i="19"/>
  <c r="I36" i="19"/>
  <c r="H36" i="19"/>
  <c r="G36" i="19"/>
  <c r="F36" i="19"/>
  <c r="E36" i="19"/>
  <c r="D36" i="19"/>
  <c r="C36" i="19" s="1"/>
  <c r="M34" i="19"/>
  <c r="L34" i="19"/>
  <c r="K34" i="19"/>
  <c r="J34" i="19"/>
  <c r="I34" i="19"/>
  <c r="H34" i="19"/>
  <c r="G34" i="19"/>
  <c r="F34" i="19"/>
  <c r="E34" i="19"/>
  <c r="D34" i="19"/>
  <c r="C40" i="19" l="1"/>
  <c r="C53" i="19"/>
  <c r="C34" i="19"/>
  <c r="C74" i="19"/>
  <c r="C66" i="19"/>
  <c r="C61" i="19"/>
  <c r="G98" i="19"/>
  <c r="G146" i="19" s="1"/>
  <c r="F98" i="19"/>
  <c r="F146" i="19" s="1"/>
  <c r="J98" i="19"/>
  <c r="J146" i="19" s="1"/>
  <c r="E98" i="19"/>
  <c r="E146" i="19" s="1"/>
  <c r="I98" i="19"/>
  <c r="I146" i="19" s="1"/>
  <c r="M98" i="19"/>
  <c r="M146" i="19" s="1"/>
  <c r="D98" i="19"/>
  <c r="D146" i="19" s="1"/>
  <c r="H98" i="19"/>
  <c r="H146" i="19" s="1"/>
  <c r="L98" i="19"/>
  <c r="L146" i="19" s="1"/>
  <c r="C112" i="19"/>
  <c r="C142" i="19"/>
  <c r="C129" i="19"/>
  <c r="C120" i="19"/>
  <c r="C100" i="19"/>
  <c r="J72" i="19"/>
  <c r="J27" i="19" s="1"/>
  <c r="F72" i="19"/>
  <c r="F27" i="19" s="1"/>
  <c r="K72" i="19"/>
  <c r="K27" i="19" s="1"/>
  <c r="G72" i="19"/>
  <c r="G27" i="19" s="1"/>
  <c r="H72" i="19"/>
  <c r="H27" i="19" s="1"/>
  <c r="L72" i="19"/>
  <c r="L27" i="19" s="1"/>
  <c r="E72" i="19"/>
  <c r="E27" i="19" s="1"/>
  <c r="I72" i="19"/>
  <c r="I27" i="19" s="1"/>
  <c r="M72" i="19"/>
  <c r="M27" i="19" s="1"/>
  <c r="D72" i="19"/>
  <c r="D27" i="19" s="1"/>
  <c r="C98" i="19" l="1"/>
  <c r="C146" i="19"/>
  <c r="C72" i="19"/>
  <c r="D17" i="19" l="1"/>
  <c r="M22" i="19" l="1"/>
  <c r="L22" i="19"/>
  <c r="K22" i="19"/>
  <c r="J22" i="19"/>
  <c r="I22" i="19"/>
  <c r="H22" i="19"/>
  <c r="G22" i="19"/>
  <c r="F22" i="19"/>
  <c r="M19" i="19"/>
  <c r="L19" i="19"/>
  <c r="K19" i="19"/>
  <c r="J19" i="19"/>
  <c r="I19" i="19"/>
  <c r="H19" i="19"/>
  <c r="G19" i="19"/>
  <c r="F19" i="19"/>
  <c r="M16" i="19"/>
  <c r="L16" i="19"/>
  <c r="K16" i="19"/>
  <c r="J16" i="19"/>
  <c r="I16" i="19"/>
  <c r="H16" i="19"/>
  <c r="G16" i="19"/>
  <c r="F16" i="19"/>
  <c r="M15" i="19"/>
  <c r="M17" i="19" s="1"/>
  <c r="L15" i="19"/>
  <c r="K15" i="19"/>
  <c r="K17" i="19" s="1"/>
  <c r="J15" i="19"/>
  <c r="I15" i="19"/>
  <c r="I17" i="19" s="1"/>
  <c r="H15" i="19"/>
  <c r="H17" i="19" s="1"/>
  <c r="G15" i="19"/>
  <c r="G17" i="19" s="1"/>
  <c r="F15" i="19"/>
  <c r="F17" i="19" s="1"/>
  <c r="E22" i="19"/>
  <c r="E19" i="19"/>
  <c r="E16" i="19"/>
  <c r="E15" i="19"/>
  <c r="D18" i="19"/>
  <c r="D20" i="19" s="1"/>
  <c r="H252" i="23"/>
  <c r="G252" i="23"/>
  <c r="F252" i="23"/>
  <c r="E252" i="23"/>
  <c r="H251" i="23"/>
  <c r="G251" i="23"/>
  <c r="F251" i="23"/>
  <c r="E251" i="23"/>
  <c r="D252" i="23"/>
  <c r="D251" i="23"/>
  <c r="H250" i="23"/>
  <c r="G250" i="23"/>
  <c r="F250" i="23"/>
  <c r="E250" i="23"/>
  <c r="D250" i="23"/>
  <c r="C250" i="23"/>
  <c r="I67" i="24"/>
  <c r="H67" i="24"/>
  <c r="G67" i="24"/>
  <c r="H12" i="26"/>
  <c r="F12" i="26" l="1"/>
  <c r="J12" i="26"/>
  <c r="G12" i="26"/>
  <c r="E12" i="26"/>
  <c r="I12" i="26"/>
  <c r="E67" i="24"/>
  <c r="F67" i="24"/>
  <c r="J17" i="19"/>
  <c r="L17" i="19"/>
  <c r="E17" i="19"/>
  <c r="D21" i="19"/>
  <c r="D23" i="19" l="1"/>
  <c r="F18" i="19"/>
  <c r="E18" i="19"/>
  <c r="E20" i="19" s="1"/>
  <c r="F20" i="19" l="1"/>
  <c r="F21" i="19" s="1"/>
  <c r="G18" i="19"/>
  <c r="D29" i="19"/>
  <c r="E21" i="19"/>
  <c r="G20" i="19" l="1"/>
  <c r="G21" i="19" s="1"/>
  <c r="E23" i="19"/>
  <c r="H18" i="19"/>
  <c r="H21" i="19" l="1"/>
  <c r="H20" i="19"/>
  <c r="F23" i="19"/>
  <c r="F29" i="19"/>
  <c r="I18" i="19"/>
  <c r="I20" i="19" s="1"/>
  <c r="E29" i="19"/>
  <c r="E114" i="27" s="1"/>
  <c r="F114" i="27" l="1"/>
  <c r="I21" i="19"/>
  <c r="G23" i="19"/>
  <c r="G29" i="19"/>
  <c r="J18" i="19"/>
  <c r="J20" i="19" l="1"/>
  <c r="J21" i="19" s="1"/>
  <c r="E135" i="27"/>
  <c r="H23" i="19"/>
  <c r="K18" i="19"/>
  <c r="K20" i="19" l="1"/>
  <c r="K21" i="19" s="1"/>
  <c r="E154" i="27"/>
  <c r="L18" i="19"/>
  <c r="H29" i="19"/>
  <c r="G114" i="27" s="1"/>
  <c r="I23" i="19"/>
  <c r="I29" i="19"/>
  <c r="L20" i="19" l="1"/>
  <c r="L21" i="19" s="1"/>
  <c r="F135" i="27"/>
  <c r="J23" i="19"/>
  <c r="J29" i="19"/>
  <c r="M18" i="19"/>
  <c r="M21" i="19" l="1"/>
  <c r="M20" i="19"/>
  <c r="H114" i="27"/>
  <c r="F154" i="27"/>
  <c r="K23" i="19"/>
  <c r="K29" i="19"/>
  <c r="G135" i="27" l="1"/>
  <c r="L23" i="19"/>
  <c r="L29" i="19"/>
  <c r="G154" i="27" l="1"/>
  <c r="M23" i="19"/>
  <c r="M29" i="19" l="1"/>
  <c r="I114" i="27" s="1"/>
  <c r="H135" i="27" l="1"/>
  <c r="I10" i="24"/>
  <c r="H10" i="24"/>
  <c r="G10" i="24"/>
  <c r="F10" i="24"/>
  <c r="I9" i="24"/>
  <c r="H9" i="24"/>
  <c r="G9" i="24"/>
  <c r="F9" i="24"/>
  <c r="D153" i="24"/>
  <c r="D148" i="24"/>
  <c r="I124" i="24"/>
  <c r="E113" i="24"/>
  <c r="E106" i="24"/>
  <c r="E101" i="24"/>
  <c r="E100" i="24"/>
  <c r="E99" i="24"/>
  <c r="E98" i="24"/>
  <c r="E97" i="24"/>
  <c r="E96" i="24"/>
  <c r="E95" i="24"/>
  <c r="E94" i="24"/>
  <c r="I93" i="24"/>
  <c r="E88" i="24"/>
  <c r="E87" i="24"/>
  <c r="E86" i="24"/>
  <c r="E85" i="24"/>
  <c r="E84" i="24"/>
  <c r="E83" i="24"/>
  <c r="E82" i="24"/>
  <c r="E81" i="24"/>
  <c r="E71" i="24"/>
  <c r="E62" i="24"/>
  <c r="E53" i="24"/>
  <c r="D53" i="24"/>
  <c r="E48" i="24"/>
  <c r="D48" i="24"/>
  <c r="E43" i="24"/>
  <c r="D43" i="24"/>
  <c r="E34" i="24"/>
  <c r="D34" i="24"/>
  <c r="E28" i="24"/>
  <c r="D28" i="24"/>
  <c r="E18" i="24"/>
  <c r="D18" i="24"/>
  <c r="F8" i="24"/>
  <c r="H154" i="27" l="1"/>
  <c r="E114" i="24"/>
  <c r="F106" i="24"/>
  <c r="E80" i="24"/>
  <c r="F62" i="24"/>
  <c r="F71" i="24"/>
  <c r="F53" i="24"/>
  <c r="F48" i="24"/>
  <c r="F113" i="24"/>
  <c r="F28" i="24"/>
  <c r="F43" i="24"/>
  <c r="E104" i="24"/>
  <c r="E131" i="24" s="1"/>
  <c r="E150" i="24" s="1"/>
  <c r="G8" i="24"/>
  <c r="F80" i="24" s="1"/>
  <c r="F18" i="24"/>
  <c r="F34" i="24"/>
  <c r="E91" i="24"/>
  <c r="E127" i="24" s="1"/>
  <c r="E146" i="24" s="1"/>
  <c r="C69" i="23"/>
  <c r="C67" i="23"/>
  <c r="D33" i="23"/>
  <c r="H29" i="23"/>
  <c r="G29" i="23"/>
  <c r="F29" i="23"/>
  <c r="E29" i="23"/>
  <c r="D29" i="23"/>
  <c r="C29" i="23"/>
  <c r="H212" i="23"/>
  <c r="G212" i="23"/>
  <c r="F212" i="23"/>
  <c r="E212" i="23"/>
  <c r="D212" i="23"/>
  <c r="H211" i="23"/>
  <c r="G211" i="23"/>
  <c r="F211" i="23"/>
  <c r="E211" i="23"/>
  <c r="D211" i="23"/>
  <c r="C211" i="23"/>
  <c r="D102" i="18"/>
  <c r="AN170" i="18"/>
  <c r="N179" i="18" s="1"/>
  <c r="AM170" i="18"/>
  <c r="M179" i="18" s="1"/>
  <c r="AL170" i="18"/>
  <c r="L179" i="18" s="1"/>
  <c r="AK170" i="18"/>
  <c r="K179" i="18" s="1"/>
  <c r="AJ170" i="18"/>
  <c r="J179" i="18" s="1"/>
  <c r="AI170" i="18"/>
  <c r="I179" i="18" s="1"/>
  <c r="AF170" i="18"/>
  <c r="F179" i="18" s="1"/>
  <c r="AE170" i="18"/>
  <c r="E179" i="18" s="1"/>
  <c r="AN169" i="18"/>
  <c r="AM169" i="18"/>
  <c r="AL169" i="18"/>
  <c r="AK169" i="18"/>
  <c r="AJ169" i="18"/>
  <c r="AI169" i="18"/>
  <c r="AH169" i="18"/>
  <c r="AG169" i="18"/>
  <c r="AF169" i="18"/>
  <c r="AE169" i="18"/>
  <c r="AN168" i="18"/>
  <c r="AM168" i="18"/>
  <c r="AL168" i="18"/>
  <c r="AK168" i="18"/>
  <c r="AJ168" i="18"/>
  <c r="AI168" i="18"/>
  <c r="AH168" i="18"/>
  <c r="AG168" i="18"/>
  <c r="AF168" i="18"/>
  <c r="AE168" i="18"/>
  <c r="AN167" i="18"/>
  <c r="AM167" i="18"/>
  <c r="AL167" i="18"/>
  <c r="AK167" i="18"/>
  <c r="AJ167" i="18"/>
  <c r="AI167" i="18"/>
  <c r="AH167" i="18"/>
  <c r="AG167" i="18"/>
  <c r="AE167" i="18"/>
  <c r="AN166" i="18"/>
  <c r="AM166" i="18"/>
  <c r="AL166" i="18"/>
  <c r="AK166" i="18"/>
  <c r="AJ166" i="18"/>
  <c r="AI166" i="18"/>
  <c r="AH166" i="18"/>
  <c r="AF166" i="18"/>
  <c r="AE166" i="18"/>
  <c r="AN165" i="18"/>
  <c r="AM165" i="18"/>
  <c r="AL165" i="18"/>
  <c r="AK165" i="18"/>
  <c r="AJ165" i="18"/>
  <c r="AI165" i="18"/>
  <c r="AH165" i="18"/>
  <c r="AE165" i="18"/>
  <c r="AN164" i="18"/>
  <c r="AM164" i="18"/>
  <c r="AL164" i="18"/>
  <c r="AK164" i="18"/>
  <c r="AJ164" i="18"/>
  <c r="AI164" i="18"/>
  <c r="AH164" i="18"/>
  <c r="AE164" i="18"/>
  <c r="AN163" i="18"/>
  <c r="AM163" i="18"/>
  <c r="AL163" i="18"/>
  <c r="AK163" i="18"/>
  <c r="AJ163" i="18"/>
  <c r="AN162" i="18"/>
  <c r="AM162" i="18"/>
  <c r="AL162" i="18"/>
  <c r="AK162" i="18"/>
  <c r="AJ162" i="18"/>
  <c r="AN161" i="18"/>
  <c r="AM161" i="18"/>
  <c r="AL161" i="18"/>
  <c r="AK161" i="18"/>
  <c r="AJ161" i="18"/>
  <c r="AN160" i="18"/>
  <c r="AM160" i="18"/>
  <c r="AL160" i="18"/>
  <c r="AK160" i="18"/>
  <c r="AJ160" i="18"/>
  <c r="AI160" i="18"/>
  <c r="AH160" i="18"/>
  <c r="AG160" i="18"/>
  <c r="AF160" i="18"/>
  <c r="AE160" i="18"/>
  <c r="AN159" i="18"/>
  <c r="AM159" i="18"/>
  <c r="AL159" i="18"/>
  <c r="AK159" i="18"/>
  <c r="AJ159" i="18"/>
  <c r="AI159" i="18"/>
  <c r="AH159" i="18"/>
  <c r="AG159" i="18"/>
  <c r="AF159" i="18"/>
  <c r="AE159" i="18"/>
  <c r="AN158" i="18"/>
  <c r="AM158" i="18"/>
  <c r="AL158" i="18"/>
  <c r="AK158" i="18"/>
  <c r="AJ158" i="18"/>
  <c r="AI158" i="18"/>
  <c r="AH158" i="18"/>
  <c r="AG158" i="18"/>
  <c r="AF158" i="18"/>
  <c r="AE158" i="18"/>
  <c r="AN157" i="18"/>
  <c r="AM157" i="18"/>
  <c r="AL157" i="18"/>
  <c r="AK157" i="18"/>
  <c r="AJ157" i="18"/>
  <c r="AI157" i="18"/>
  <c r="AH157" i="18"/>
  <c r="AN156" i="18"/>
  <c r="AM156" i="18"/>
  <c r="AL156" i="18"/>
  <c r="AK156" i="18"/>
  <c r="AJ156" i="18"/>
  <c r="AI156" i="18"/>
  <c r="AH156" i="18"/>
  <c r="AG156" i="18"/>
  <c r="AE156" i="18"/>
  <c r="AN155" i="18"/>
  <c r="AM155" i="18"/>
  <c r="AL155" i="18"/>
  <c r="AK155" i="18"/>
  <c r="AJ155" i="18"/>
  <c r="AI155" i="18"/>
  <c r="AH155" i="18"/>
  <c r="AE155" i="18"/>
  <c r="AN154" i="18"/>
  <c r="AM154" i="18"/>
  <c r="AL154" i="18"/>
  <c r="AK154" i="18"/>
  <c r="AJ154" i="18"/>
  <c r="AI154" i="18"/>
  <c r="AH154" i="18"/>
  <c r="AG154" i="18"/>
  <c r="AF154" i="18"/>
  <c r="AE154" i="18"/>
  <c r="AN153" i="18"/>
  <c r="AM153" i="18"/>
  <c r="AL153" i="18"/>
  <c r="AK153" i="18"/>
  <c r="AJ153" i="18"/>
  <c r="AI153" i="18"/>
  <c r="AH153" i="18"/>
  <c r="AG153" i="18"/>
  <c r="AE153" i="18"/>
  <c r="AN152" i="18"/>
  <c r="AM152" i="18"/>
  <c r="AL152" i="18"/>
  <c r="AK152" i="18"/>
  <c r="AJ152" i="18"/>
  <c r="AI152" i="18"/>
  <c r="AH152" i="18"/>
  <c r="AG152" i="18"/>
  <c r="AE152" i="18"/>
  <c r="AN151" i="18"/>
  <c r="AM151" i="18"/>
  <c r="AL151" i="18"/>
  <c r="AK151" i="18"/>
  <c r="AJ151" i="18"/>
  <c r="AI151" i="18"/>
  <c r="AH151" i="18"/>
  <c r="AG151" i="18"/>
  <c r="AF151" i="18"/>
  <c r="AN150" i="18"/>
  <c r="AM150" i="18"/>
  <c r="AL150" i="18"/>
  <c r="AK150" i="18"/>
  <c r="AJ150" i="18"/>
  <c r="AI150" i="18"/>
  <c r="AH150" i="18"/>
  <c r="AG150" i="18"/>
  <c r="AF150" i="18"/>
  <c r="AN149" i="18"/>
  <c r="AM149" i="18"/>
  <c r="AL149" i="18"/>
  <c r="AK149" i="18"/>
  <c r="AJ149" i="18"/>
  <c r="AI149" i="18"/>
  <c r="AH149" i="18"/>
  <c r="AE149" i="18"/>
  <c r="AN148" i="18"/>
  <c r="AM148" i="18"/>
  <c r="AL148" i="18"/>
  <c r="AK148" i="18"/>
  <c r="AJ148" i="18"/>
  <c r="AI148" i="18"/>
  <c r="AH148" i="18"/>
  <c r="AG148" i="18"/>
  <c r="AF148" i="18"/>
  <c r="AN147" i="18"/>
  <c r="AM147" i="18"/>
  <c r="AL147" i="18"/>
  <c r="AK147" i="18"/>
  <c r="AJ147" i="18"/>
  <c r="AI147" i="18"/>
  <c r="AF147" i="18"/>
  <c r="AE147" i="18"/>
  <c r="AN146" i="18"/>
  <c r="AM146" i="18"/>
  <c r="AL146" i="18"/>
  <c r="AK146" i="18"/>
  <c r="AJ146" i="18"/>
  <c r="AI146" i="18"/>
  <c r="AH146" i="18"/>
  <c r="AE146" i="18"/>
  <c r="AN145" i="18"/>
  <c r="AM145" i="18"/>
  <c r="AL145" i="18"/>
  <c r="AK145" i="18"/>
  <c r="AJ145" i="18"/>
  <c r="AI145" i="18"/>
  <c r="AH145" i="18"/>
  <c r="AG145" i="18"/>
  <c r="AN144" i="18"/>
  <c r="AM144" i="18"/>
  <c r="AL144" i="18"/>
  <c r="AK144" i="18"/>
  <c r="AJ144" i="18"/>
  <c r="AI144" i="18"/>
  <c r="AH144" i="18"/>
  <c r="AG144" i="18"/>
  <c r="AF144" i="18"/>
  <c r="AN143" i="18"/>
  <c r="AM143" i="18"/>
  <c r="AL143" i="18"/>
  <c r="AK143" i="18"/>
  <c r="AJ143" i="18"/>
  <c r="AI143" i="18"/>
  <c r="AH143" i="18"/>
  <c r="AG143" i="18"/>
  <c r="AF143" i="18"/>
  <c r="AE143" i="18"/>
  <c r="AN142" i="18"/>
  <c r="AM142" i="18"/>
  <c r="AL142" i="18"/>
  <c r="AK142" i="18"/>
  <c r="AJ142" i="18"/>
  <c r="AI142" i="18"/>
  <c r="AH142" i="18"/>
  <c r="AG142" i="18"/>
  <c r="AF142" i="18"/>
  <c r="AE142" i="18"/>
  <c r="AN141" i="18"/>
  <c r="AM141" i="18"/>
  <c r="AL141" i="18"/>
  <c r="AK141" i="18"/>
  <c r="AJ141" i="18"/>
  <c r="AF141" i="18"/>
  <c r="AE141" i="18"/>
  <c r="AN140" i="18"/>
  <c r="AM140" i="18"/>
  <c r="AL140" i="18"/>
  <c r="AK140" i="18"/>
  <c r="AJ140" i="18"/>
  <c r="AE140" i="18"/>
  <c r="AN139" i="18"/>
  <c r="AM139" i="18"/>
  <c r="AL139" i="18"/>
  <c r="AK139" i="18"/>
  <c r="AJ139" i="18"/>
  <c r="AG139" i="18"/>
  <c r="AE139" i="18"/>
  <c r="AN138" i="18"/>
  <c r="AM138" i="18"/>
  <c r="AL138" i="18"/>
  <c r="AK138" i="18"/>
  <c r="AF138" i="18"/>
  <c r="AE138" i="18"/>
  <c r="AN137" i="18"/>
  <c r="AM137" i="18"/>
  <c r="AL137" i="18"/>
  <c r="AK137" i="18"/>
  <c r="AJ137" i="18"/>
  <c r="AI137" i="18"/>
  <c r="AH137" i="18"/>
  <c r="AG137" i="18"/>
  <c r="AF137" i="18"/>
  <c r="AE137" i="18"/>
  <c r="AN136" i="18"/>
  <c r="AM136" i="18"/>
  <c r="AL136" i="18"/>
  <c r="AK136" i="18"/>
  <c r="AJ136" i="18"/>
  <c r="AI136" i="18"/>
  <c r="AE136" i="18"/>
  <c r="AN135" i="18"/>
  <c r="AM135" i="18"/>
  <c r="AL135" i="18"/>
  <c r="AK135" i="18"/>
  <c r="AJ135" i="18"/>
  <c r="AI135" i="18"/>
  <c r="AH135" i="18"/>
  <c r="AG135" i="18"/>
  <c r="AE135" i="18"/>
  <c r="AN134" i="18"/>
  <c r="AM134" i="18"/>
  <c r="AL134" i="18"/>
  <c r="AK134" i="18"/>
  <c r="AJ134" i="18"/>
  <c r="AI134" i="18"/>
  <c r="AH134" i="18"/>
  <c r="AN133" i="18"/>
  <c r="AM133" i="18"/>
  <c r="AL133" i="18"/>
  <c r="AK133" i="18"/>
  <c r="AJ133" i="18"/>
  <c r="AI133" i="18"/>
  <c r="AH133" i="18"/>
  <c r="AG133" i="18"/>
  <c r="AF133" i="18"/>
  <c r="AN132" i="18"/>
  <c r="AM132" i="18"/>
  <c r="AL132" i="18"/>
  <c r="AK132" i="18"/>
  <c r="AJ132" i="18"/>
  <c r="AI132" i="18"/>
  <c r="AH132" i="18"/>
  <c r="AE132" i="18"/>
  <c r="AN131" i="18"/>
  <c r="AM131" i="18"/>
  <c r="AL131" i="18"/>
  <c r="AK131" i="18"/>
  <c r="AJ131" i="18"/>
  <c r="AI131" i="18"/>
  <c r="AH131" i="18"/>
  <c r="AG131" i="18"/>
  <c r="AE131" i="18"/>
  <c r="AN130" i="18"/>
  <c r="AM130" i="18"/>
  <c r="AL130" i="18"/>
  <c r="AK130" i="18"/>
  <c r="AJ130" i="18"/>
  <c r="AI130" i="18"/>
  <c r="AH130" i="18"/>
  <c r="AG130" i="18"/>
  <c r="AE130" i="18"/>
  <c r="AN129" i="18"/>
  <c r="AM129" i="18"/>
  <c r="AL129" i="18"/>
  <c r="AK129" i="18"/>
  <c r="AJ129" i="18"/>
  <c r="AI129" i="18"/>
  <c r="AH129" i="18"/>
  <c r="AE129" i="18"/>
  <c r="AN128" i="18"/>
  <c r="AM128" i="18"/>
  <c r="AL128" i="18"/>
  <c r="AK128" i="18"/>
  <c r="AJ128" i="18"/>
  <c r="AI128" i="18"/>
  <c r="AH128" i="18"/>
  <c r="AG128" i="18"/>
  <c r="AF128" i="18"/>
  <c r="AE128" i="18"/>
  <c r="AN127" i="18"/>
  <c r="AM127" i="18"/>
  <c r="AL127" i="18"/>
  <c r="AK127" i="18"/>
  <c r="AJ127" i="18"/>
  <c r="AI127" i="18"/>
  <c r="AH127" i="18"/>
  <c r="AG127" i="18"/>
  <c r="AF127" i="18"/>
  <c r="AE127" i="18"/>
  <c r="AN126" i="18"/>
  <c r="AM126" i="18"/>
  <c r="AL126" i="18"/>
  <c r="AK126" i="18"/>
  <c r="AJ126" i="18"/>
  <c r="AI126" i="18"/>
  <c r="AH126" i="18"/>
  <c r="AG126" i="18"/>
  <c r="AF126" i="18"/>
  <c r="AE126" i="18"/>
  <c r="AN125" i="18"/>
  <c r="AM125" i="18"/>
  <c r="AL125" i="18"/>
  <c r="AK125" i="18"/>
  <c r="AJ125" i="18"/>
  <c r="AI125" i="18"/>
  <c r="AH125" i="18"/>
  <c r="AE125" i="18"/>
  <c r="AN124" i="18"/>
  <c r="AM124" i="18"/>
  <c r="AL124" i="18"/>
  <c r="AK124" i="18"/>
  <c r="AJ124" i="18"/>
  <c r="AI124" i="18"/>
  <c r="AH124" i="18"/>
  <c r="AG124" i="18"/>
  <c r="AN123" i="18"/>
  <c r="AM123" i="18"/>
  <c r="AL123" i="18"/>
  <c r="AK123" i="18"/>
  <c r="AJ123" i="18"/>
  <c r="AI123" i="18"/>
  <c r="AH123" i="18"/>
  <c r="AG123" i="18"/>
  <c r="AF123" i="18"/>
  <c r="AN122" i="18"/>
  <c r="AM122" i="18"/>
  <c r="AL122" i="18"/>
  <c r="AK122" i="18"/>
  <c r="AJ122" i="18"/>
  <c r="AI122" i="18"/>
  <c r="AH122" i="18"/>
  <c r="AG122" i="18"/>
  <c r="AE122" i="18"/>
  <c r="AN121" i="18"/>
  <c r="AM121" i="18"/>
  <c r="AL121" i="18"/>
  <c r="AK121" i="18"/>
  <c r="AJ121" i="18"/>
  <c r="AI121" i="18"/>
  <c r="AE121" i="18"/>
  <c r="AN120" i="18"/>
  <c r="AM120" i="18"/>
  <c r="AL120" i="18"/>
  <c r="AK120" i="18"/>
  <c r="AJ120" i="18"/>
  <c r="AI120" i="18"/>
  <c r="AH120" i="18"/>
  <c r="AG120" i="18"/>
  <c r="AE120" i="18"/>
  <c r="AN119" i="18"/>
  <c r="AM119" i="18"/>
  <c r="AL119" i="18"/>
  <c r="AK119" i="18"/>
  <c r="AJ119" i="18"/>
  <c r="AI119" i="18"/>
  <c r="AH119" i="18"/>
  <c r="AG119" i="18"/>
  <c r="AE119" i="18"/>
  <c r="AN118" i="18"/>
  <c r="AM118" i="18"/>
  <c r="AL118" i="18"/>
  <c r="AK118" i="18"/>
  <c r="AJ118" i="18"/>
  <c r="AI118" i="18"/>
  <c r="AH118" i="18"/>
  <c r="AE118" i="18"/>
  <c r="AN117" i="18"/>
  <c r="AM117" i="18"/>
  <c r="AL117" i="18"/>
  <c r="AK117" i="18"/>
  <c r="AJ117" i="18"/>
  <c r="AI117" i="18"/>
  <c r="AH117" i="18"/>
  <c r="AG117" i="18"/>
  <c r="AN116" i="18"/>
  <c r="AM116" i="18"/>
  <c r="AL116" i="18"/>
  <c r="AK116" i="18"/>
  <c r="AJ116" i="18"/>
  <c r="AI116" i="18"/>
  <c r="AH116" i="18"/>
  <c r="AG116" i="18"/>
  <c r="AN115" i="18"/>
  <c r="AM115" i="18"/>
  <c r="AL115" i="18"/>
  <c r="AK115" i="18"/>
  <c r="AJ115" i="18"/>
  <c r="AI115" i="18"/>
  <c r="AH115" i="18"/>
  <c r="AG115" i="18"/>
  <c r="AN114" i="18"/>
  <c r="AM114" i="18"/>
  <c r="AL114" i="18"/>
  <c r="AK114" i="18"/>
  <c r="AJ114" i="18"/>
  <c r="AI114" i="18"/>
  <c r="AH114" i="18"/>
  <c r="AN113" i="18"/>
  <c r="AM113" i="18"/>
  <c r="AL113" i="18"/>
  <c r="AK113" i="18"/>
  <c r="AJ113" i="18"/>
  <c r="AI113" i="18"/>
  <c r="AH113" i="18"/>
  <c r="AG113" i="18"/>
  <c r="AN112" i="18"/>
  <c r="AM112" i="18"/>
  <c r="AL112" i="18"/>
  <c r="AK112" i="18"/>
  <c r="AJ112" i="18"/>
  <c r="AI112" i="18"/>
  <c r="AH112" i="18"/>
  <c r="AN111" i="18"/>
  <c r="AM111" i="18"/>
  <c r="AL111" i="18"/>
  <c r="AK111" i="18"/>
  <c r="AJ111" i="18"/>
  <c r="AI111" i="18"/>
  <c r="AH111" i="18"/>
  <c r="AE111" i="18"/>
  <c r="AN110" i="18"/>
  <c r="AM110" i="18"/>
  <c r="AL110" i="18"/>
  <c r="AK110" i="18"/>
  <c r="AJ110" i="18"/>
  <c r="AI110" i="18"/>
  <c r="AH110" i="18"/>
  <c r="AG110" i="18"/>
  <c r="AE110" i="18"/>
  <c r="AN109" i="18"/>
  <c r="AM109" i="18"/>
  <c r="AL109" i="18"/>
  <c r="AK109" i="18"/>
  <c r="AJ109" i="18"/>
  <c r="AI109" i="18"/>
  <c r="AH109" i="18"/>
  <c r="AG109" i="18"/>
  <c r="AE109" i="18"/>
  <c r="AN108" i="18"/>
  <c r="AM108" i="18"/>
  <c r="AL108" i="18"/>
  <c r="AK108" i="18"/>
  <c r="AJ108" i="18"/>
  <c r="AI108" i="18"/>
  <c r="AH108" i="18"/>
  <c r="AG108" i="18"/>
  <c r="AF108" i="18"/>
  <c r="AN107" i="18"/>
  <c r="AM107" i="18"/>
  <c r="AL107" i="18"/>
  <c r="AK107" i="18"/>
  <c r="AJ107" i="18"/>
  <c r="AI107" i="18"/>
  <c r="AH107" i="18"/>
  <c r="AG107" i="18"/>
  <c r="AF107" i="18"/>
  <c r="AN106" i="18"/>
  <c r="AM106" i="18"/>
  <c r="AL106" i="18"/>
  <c r="AK106" i="18"/>
  <c r="AJ106" i="18"/>
  <c r="AI106" i="18"/>
  <c r="AH106" i="18"/>
  <c r="AG106" i="18"/>
  <c r="AE106" i="18"/>
  <c r="AN105" i="18"/>
  <c r="AM105" i="18"/>
  <c r="AL105" i="18"/>
  <c r="AK105" i="18"/>
  <c r="AJ105" i="18"/>
  <c r="AI105" i="18"/>
  <c r="AH105" i="18"/>
  <c r="AE105" i="18"/>
  <c r="AN104" i="18"/>
  <c r="AM104" i="18"/>
  <c r="AL104" i="18"/>
  <c r="AK104" i="18"/>
  <c r="AJ104" i="18"/>
  <c r="AI104" i="18"/>
  <c r="AH104" i="18"/>
  <c r="AE104" i="18"/>
  <c r="AN103" i="18"/>
  <c r="AM103" i="18"/>
  <c r="AL103" i="18"/>
  <c r="AK103" i="18"/>
  <c r="AJ103" i="18"/>
  <c r="AI103" i="18"/>
  <c r="AH103" i="18"/>
  <c r="AG103" i="18"/>
  <c r="AF103" i="18"/>
  <c r="AN102" i="18"/>
  <c r="AM102" i="18"/>
  <c r="AL102" i="18"/>
  <c r="AK102" i="18"/>
  <c r="AJ102" i="18"/>
  <c r="AI102" i="18"/>
  <c r="AH102" i="18"/>
  <c r="AG102" i="18"/>
  <c r="AF102" i="18"/>
  <c r="AE102" i="18"/>
  <c r="AN101" i="18"/>
  <c r="AM101" i="18"/>
  <c r="AL101" i="18"/>
  <c r="AK101" i="18"/>
  <c r="AJ101" i="18"/>
  <c r="AI101" i="18"/>
  <c r="AH101" i="18"/>
  <c r="AG101" i="18"/>
  <c r="AF101" i="18"/>
  <c r="AE101" i="18"/>
  <c r="AN100" i="18"/>
  <c r="AM100" i="18"/>
  <c r="AL100" i="18"/>
  <c r="AK100" i="18"/>
  <c r="AJ100" i="18"/>
  <c r="AI100" i="18"/>
  <c r="AH100" i="18"/>
  <c r="AG100" i="18"/>
  <c r="AF100" i="18"/>
  <c r="AE100" i="18"/>
  <c r="AN99" i="18"/>
  <c r="AM99" i="18"/>
  <c r="AL99" i="18"/>
  <c r="AK99" i="18"/>
  <c r="AJ99" i="18"/>
  <c r="AI99" i="18"/>
  <c r="AH99" i="18"/>
  <c r="AG99" i="18"/>
  <c r="AF99" i="18"/>
  <c r="AE99" i="18"/>
  <c r="AN98" i="18"/>
  <c r="AM98" i="18"/>
  <c r="AL98" i="18"/>
  <c r="AK98" i="18"/>
  <c r="AJ98" i="18"/>
  <c r="AI98" i="18"/>
  <c r="AH98" i="18"/>
  <c r="AG98" i="18"/>
  <c r="AF98" i="18"/>
  <c r="AE98" i="18"/>
  <c r="AN97" i="18"/>
  <c r="AM97" i="18"/>
  <c r="AL97" i="18"/>
  <c r="AK97" i="18"/>
  <c r="AJ97" i="18"/>
  <c r="AI97" i="18"/>
  <c r="AH97" i="18"/>
  <c r="AG97" i="18"/>
  <c r="AF97" i="18"/>
  <c r="AE97" i="18"/>
  <c r="AN96" i="18"/>
  <c r="AM96" i="18"/>
  <c r="AL96" i="18"/>
  <c r="AK96" i="18"/>
  <c r="AJ96" i="18"/>
  <c r="AI96" i="18"/>
  <c r="AH96" i="18"/>
  <c r="AE96" i="18"/>
  <c r="AN95" i="18"/>
  <c r="AM95" i="18"/>
  <c r="AL95" i="18"/>
  <c r="AK95" i="18"/>
  <c r="AJ95" i="18"/>
  <c r="AI95" i="18"/>
  <c r="AE95" i="18"/>
  <c r="AN94" i="18"/>
  <c r="AM94" i="18"/>
  <c r="AL94" i="18"/>
  <c r="AK94" i="18"/>
  <c r="AJ94" i="18"/>
  <c r="AI94" i="18"/>
  <c r="AH94" i="18"/>
  <c r="AG94" i="18"/>
  <c r="AE94" i="18"/>
  <c r="AN93" i="18"/>
  <c r="AM93" i="18"/>
  <c r="AL93" i="18"/>
  <c r="AK93" i="18"/>
  <c r="AJ93" i="18"/>
  <c r="AI93" i="18"/>
  <c r="AH93" i="18"/>
  <c r="AG93" i="18"/>
  <c r="AN92" i="18"/>
  <c r="AM92" i="18"/>
  <c r="AL92" i="18"/>
  <c r="AK92" i="18"/>
  <c r="AJ92" i="18"/>
  <c r="AI92" i="18"/>
  <c r="AH92" i="18"/>
  <c r="AG92" i="18"/>
  <c r="AN91" i="18"/>
  <c r="AM91" i="18"/>
  <c r="AL91" i="18"/>
  <c r="AK91" i="18"/>
  <c r="AJ91" i="18"/>
  <c r="AI91" i="18"/>
  <c r="AH91" i="18"/>
  <c r="AE91" i="18"/>
  <c r="AN90" i="18"/>
  <c r="AM90" i="18"/>
  <c r="AL90" i="18"/>
  <c r="AI90" i="18"/>
  <c r="AH90" i="18"/>
  <c r="AG90" i="18"/>
  <c r="AF90" i="18"/>
  <c r="AE90" i="18"/>
  <c r="AN89" i="18"/>
  <c r="AM89" i="18"/>
  <c r="AL89" i="18"/>
  <c r="AK89" i="18"/>
  <c r="AJ89" i="18"/>
  <c r="AI89" i="18"/>
  <c r="AN88" i="18"/>
  <c r="AM88" i="18"/>
  <c r="AL88" i="18"/>
  <c r="AK88" i="18"/>
  <c r="AJ88" i="18"/>
  <c r="AI88" i="18"/>
  <c r="AH88" i="18"/>
  <c r="AG88" i="18"/>
  <c r="AF88" i="18"/>
  <c r="AN87" i="18"/>
  <c r="AM87" i="18"/>
  <c r="AL87" i="18"/>
  <c r="AK87" i="18"/>
  <c r="AJ87" i="18"/>
  <c r="AI87" i="18"/>
  <c r="AH87" i="18"/>
  <c r="AE87" i="18"/>
  <c r="AN86" i="18"/>
  <c r="AM86" i="18"/>
  <c r="AL86" i="18"/>
  <c r="AK86" i="18"/>
  <c r="AJ86" i="18"/>
  <c r="AI86" i="18"/>
  <c r="AH86" i="18"/>
  <c r="AG86" i="18"/>
  <c r="AF86" i="18"/>
  <c r="AE86" i="18"/>
  <c r="AN85" i="18"/>
  <c r="AM85" i="18"/>
  <c r="AL85" i="18"/>
  <c r="AK85" i="18"/>
  <c r="AJ85" i="18"/>
  <c r="AI85" i="18"/>
  <c r="AH85" i="18"/>
  <c r="AG85" i="18"/>
  <c r="AF85" i="18"/>
  <c r="AE85" i="18"/>
  <c r="AJ84" i="18"/>
  <c r="AI84" i="18"/>
  <c r="AH84" i="18"/>
  <c r="AG84" i="18"/>
  <c r="AF84" i="18"/>
  <c r="AE84" i="18"/>
  <c r="AJ83" i="18"/>
  <c r="AI83" i="18"/>
  <c r="AH83" i="18"/>
  <c r="AG83" i="18"/>
  <c r="AF83" i="18"/>
  <c r="AE83" i="18"/>
  <c r="AJ82" i="18"/>
  <c r="AI82" i="18"/>
  <c r="AH82" i="18"/>
  <c r="AG82" i="18"/>
  <c r="AF82" i="18"/>
  <c r="AE82" i="18"/>
  <c r="AN81" i="18"/>
  <c r="AM81" i="18"/>
  <c r="AL81" i="18"/>
  <c r="AK81" i="18"/>
  <c r="AJ81" i="18"/>
  <c r="AI81" i="18"/>
  <c r="AH81" i="18"/>
  <c r="AG81" i="18"/>
  <c r="AF81" i="18"/>
  <c r="AE81" i="18"/>
  <c r="AH80" i="18"/>
  <c r="AG80" i="18"/>
  <c r="AF80" i="18"/>
  <c r="AE80" i="18"/>
  <c r="AH79" i="18"/>
  <c r="AG79" i="18"/>
  <c r="AF79" i="18"/>
  <c r="AE79" i="18"/>
  <c r="AH78" i="18"/>
  <c r="AG78" i="18"/>
  <c r="AF78" i="18"/>
  <c r="AE78" i="18"/>
  <c r="AH77" i="18"/>
  <c r="AG77" i="18"/>
  <c r="AF77" i="18"/>
  <c r="AE77" i="18"/>
  <c r="AN76" i="18"/>
  <c r="AM76" i="18"/>
  <c r="AL76" i="18"/>
  <c r="AK76" i="18"/>
  <c r="AJ76" i="18"/>
  <c r="AI76" i="18"/>
  <c r="AH76" i="18"/>
  <c r="AG76" i="18"/>
  <c r="AF76" i="18"/>
  <c r="AE76" i="18"/>
  <c r="AN75" i="18"/>
  <c r="AM75" i="18"/>
  <c r="AL75" i="18"/>
  <c r="AE75" i="18"/>
  <c r="AN74" i="18"/>
  <c r="AM74" i="18"/>
  <c r="AL74" i="18"/>
  <c r="AE74" i="18"/>
  <c r="AN73" i="18"/>
  <c r="AM73" i="18"/>
  <c r="AL73" i="18"/>
  <c r="AE73" i="18"/>
  <c r="AN72" i="18"/>
  <c r="AM72" i="18"/>
  <c r="AL72" i="18"/>
  <c r="AK72" i="18"/>
  <c r="AJ72" i="18"/>
  <c r="AI72" i="18"/>
  <c r="AH72" i="18"/>
  <c r="AG72" i="18"/>
  <c r="AF72" i="18"/>
  <c r="AE72" i="18"/>
  <c r="AN71" i="18"/>
  <c r="AM71" i="18"/>
  <c r="AL71" i="18"/>
  <c r="AK71" i="18"/>
  <c r="AG71" i="18"/>
  <c r="AF71" i="18"/>
  <c r="AE71" i="18"/>
  <c r="AN70" i="18"/>
  <c r="AM70" i="18"/>
  <c r="AL70" i="18"/>
  <c r="AK70" i="18"/>
  <c r="AJ70" i="18"/>
  <c r="AF70" i="18"/>
  <c r="AE70" i="18"/>
  <c r="AN69" i="18"/>
  <c r="AM69" i="18"/>
  <c r="AL69" i="18"/>
  <c r="AH69" i="18"/>
  <c r="AG69" i="18"/>
  <c r="AE69" i="18"/>
  <c r="AN68" i="18"/>
  <c r="AM68" i="18"/>
  <c r="AL68" i="18"/>
  <c r="AG68" i="18"/>
  <c r="AF68" i="18"/>
  <c r="AE68" i="18"/>
  <c r="AN67" i="18"/>
  <c r="AM67" i="18"/>
  <c r="AL67" i="18"/>
  <c r="AK67" i="18"/>
  <c r="AJ67" i="18"/>
  <c r="AI67" i="18"/>
  <c r="AH67" i="18"/>
  <c r="AG67" i="18"/>
  <c r="AF67" i="18"/>
  <c r="AE67" i="18"/>
  <c r="AN66" i="18"/>
  <c r="AM66" i="18"/>
  <c r="AL66" i="18"/>
  <c r="AK66" i="18"/>
  <c r="AE66" i="18"/>
  <c r="AN65" i="18"/>
  <c r="AM65" i="18"/>
  <c r="AL65" i="18"/>
  <c r="AK65" i="18"/>
  <c r="AJ65" i="18"/>
  <c r="AI65" i="18"/>
  <c r="AE65" i="18"/>
  <c r="AN64" i="18"/>
  <c r="AM64" i="18"/>
  <c r="AL64" i="18"/>
  <c r="AK64" i="18"/>
  <c r="AJ64" i="18"/>
  <c r="AI64" i="18"/>
  <c r="AH64" i="18"/>
  <c r="AG64" i="18"/>
  <c r="AN63" i="18"/>
  <c r="AM63" i="18"/>
  <c r="AL63" i="18"/>
  <c r="AF63" i="18"/>
  <c r="AE63" i="18"/>
  <c r="AN62" i="18"/>
  <c r="AM62" i="18"/>
  <c r="AL62" i="18"/>
  <c r="AK62" i="18"/>
  <c r="AE62" i="18"/>
  <c r="AN61" i="18"/>
  <c r="AM61" i="18"/>
  <c r="AL61" i="18"/>
  <c r="AK61" i="18"/>
  <c r="AE61" i="18"/>
  <c r="AN60" i="18"/>
  <c r="AM60" i="18"/>
  <c r="AL60" i="18"/>
  <c r="AF60" i="18"/>
  <c r="AE60" i="18"/>
  <c r="AN59" i="18"/>
  <c r="AM59" i="18"/>
  <c r="AL59" i="18"/>
  <c r="AK59" i="18"/>
  <c r="AE59" i="18"/>
  <c r="AN58" i="18"/>
  <c r="AM58" i="18"/>
  <c r="AL58" i="18"/>
  <c r="AK58" i="18"/>
  <c r="AJ58" i="18"/>
  <c r="AI58" i="18"/>
  <c r="AH58" i="18"/>
  <c r="AN57" i="18"/>
  <c r="AM57" i="18"/>
  <c r="AL57" i="18"/>
  <c r="AK57" i="18"/>
  <c r="AJ57" i="18"/>
  <c r="AI57" i="18"/>
  <c r="AN56" i="18"/>
  <c r="AM56" i="18"/>
  <c r="AL56" i="18"/>
  <c r="AK56" i="18"/>
  <c r="AJ56" i="18"/>
  <c r="AI56" i="18"/>
  <c r="AH56" i="18"/>
  <c r="AN55" i="18"/>
  <c r="AM55" i="18"/>
  <c r="AL55" i="18"/>
  <c r="AK55" i="18"/>
  <c r="AJ55" i="18"/>
  <c r="AN54" i="18"/>
  <c r="AM54" i="18"/>
  <c r="AL54" i="18"/>
  <c r="AK54" i="18"/>
  <c r="AJ54" i="18"/>
  <c r="AI54" i="18"/>
  <c r="AH54" i="18"/>
  <c r="AG54" i="18"/>
  <c r="AF54" i="18"/>
  <c r="AE54" i="18"/>
  <c r="AN53" i="18"/>
  <c r="AM53" i="18"/>
  <c r="AL53" i="18"/>
  <c r="AK53" i="18"/>
  <c r="AJ53" i="18"/>
  <c r="AI53" i="18"/>
  <c r="AH53" i="18"/>
  <c r="AG53" i="18"/>
  <c r="AF53" i="18"/>
  <c r="AE53" i="18"/>
  <c r="AN52" i="18"/>
  <c r="AM52" i="18"/>
  <c r="AL52" i="18"/>
  <c r="AK52" i="18"/>
  <c r="AJ52" i="18"/>
  <c r="AI52" i="18"/>
  <c r="AE52" i="18"/>
  <c r="AN51" i="18"/>
  <c r="AM51" i="18"/>
  <c r="AL51" i="18"/>
  <c r="AK51" i="18"/>
  <c r="AJ51" i="18"/>
  <c r="AI51" i="18"/>
  <c r="AE51" i="18"/>
  <c r="AN50" i="18"/>
  <c r="AM50" i="18"/>
  <c r="AL50" i="18"/>
  <c r="AK50" i="18"/>
  <c r="AJ50" i="18"/>
  <c r="AI50" i="18"/>
  <c r="AE50" i="18"/>
  <c r="AN49" i="18"/>
  <c r="AM49" i="18"/>
  <c r="AL49" i="18"/>
  <c r="AK49" i="18"/>
  <c r="AJ49" i="18"/>
  <c r="AI49" i="18"/>
  <c r="AH49" i="18"/>
  <c r="AG49" i="18"/>
  <c r="AF49" i="18"/>
  <c r="AE49" i="18"/>
  <c r="AN48" i="18"/>
  <c r="AM48" i="18"/>
  <c r="AL48" i="18"/>
  <c r="AK48" i="18"/>
  <c r="AJ48" i="18"/>
  <c r="AI48" i="18"/>
  <c r="AE48" i="18"/>
  <c r="AN47" i="18"/>
  <c r="AM47" i="18"/>
  <c r="AL47" i="18"/>
  <c r="AK47" i="18"/>
  <c r="AJ47" i="18"/>
  <c r="AI47" i="18"/>
  <c r="AE47" i="18"/>
  <c r="AN46" i="18"/>
  <c r="AM46" i="18"/>
  <c r="AL46" i="18"/>
  <c r="AK46" i="18"/>
  <c r="AJ46" i="18"/>
  <c r="AI46" i="18"/>
  <c r="AE46" i="18"/>
  <c r="AN45" i="18"/>
  <c r="AM45" i="18"/>
  <c r="AL45" i="18"/>
  <c r="AK45" i="18"/>
  <c r="AJ45" i="18"/>
  <c r="AI45" i="18"/>
  <c r="AE45" i="18"/>
  <c r="AN44" i="18"/>
  <c r="AM44" i="18"/>
  <c r="AL44" i="18"/>
  <c r="AK44" i="18"/>
  <c r="AJ44" i="18"/>
  <c r="AI44" i="18"/>
  <c r="AH44" i="18"/>
  <c r="AG44" i="18"/>
  <c r="AF44" i="18"/>
  <c r="AE44" i="18"/>
  <c r="AN43" i="18"/>
  <c r="AM43" i="18"/>
  <c r="AL43" i="18"/>
  <c r="AK43" i="18"/>
  <c r="AJ43" i="18"/>
  <c r="AI43" i="18"/>
  <c r="AN42" i="18"/>
  <c r="AM42" i="18"/>
  <c r="AL42" i="18"/>
  <c r="AK42" i="18"/>
  <c r="AJ42" i="18"/>
  <c r="AI42" i="18"/>
  <c r="AN41" i="18"/>
  <c r="AM41" i="18"/>
  <c r="AL41" i="18"/>
  <c r="AK41" i="18"/>
  <c r="AJ41" i="18"/>
  <c r="AI41" i="18"/>
  <c r="AN40" i="18"/>
  <c r="AM40" i="18"/>
  <c r="AL40" i="18"/>
  <c r="AK40" i="18"/>
  <c r="AJ40" i="18"/>
  <c r="AI40" i="18"/>
  <c r="AH40" i="18"/>
  <c r="AG40" i="18"/>
  <c r="AF40" i="18"/>
  <c r="AE40" i="18"/>
  <c r="AN39" i="18"/>
  <c r="AM39" i="18"/>
  <c r="AL39" i="18"/>
  <c r="AK39" i="18"/>
  <c r="AJ39" i="18"/>
  <c r="AI39" i="18"/>
  <c r="AE39" i="18"/>
  <c r="AN38" i="18"/>
  <c r="AM38" i="18"/>
  <c r="AL38" i="18"/>
  <c r="AK38" i="18"/>
  <c r="AJ38" i="18"/>
  <c r="AI38" i="18"/>
  <c r="AH38" i="18"/>
  <c r="AE38" i="18"/>
  <c r="AN37" i="18"/>
  <c r="AM37" i="18"/>
  <c r="AL37" i="18"/>
  <c r="AK37" i="18"/>
  <c r="AJ37" i="18"/>
  <c r="AI37" i="18"/>
  <c r="AE37" i="18"/>
  <c r="AN36" i="18"/>
  <c r="AM36" i="18"/>
  <c r="AL36" i="18"/>
  <c r="AK36" i="18"/>
  <c r="AJ36" i="18"/>
  <c r="AI36" i="18"/>
  <c r="AE36" i="18"/>
  <c r="AN35" i="18"/>
  <c r="AM35" i="18"/>
  <c r="AL35" i="18"/>
  <c r="AK35" i="18"/>
  <c r="AJ35" i="18"/>
  <c r="AI35" i="18"/>
  <c r="AE35" i="18"/>
  <c r="AN34" i="18"/>
  <c r="AM34" i="18"/>
  <c r="AL34" i="18"/>
  <c r="AK34" i="18"/>
  <c r="AJ34" i="18"/>
  <c r="AI34" i="18"/>
  <c r="AE34" i="18"/>
  <c r="AN33" i="18"/>
  <c r="AM33" i="18"/>
  <c r="AL33" i="18"/>
  <c r="AK33" i="18"/>
  <c r="AJ33" i="18"/>
  <c r="AI33" i="18"/>
  <c r="AE33" i="18"/>
  <c r="AN32" i="18"/>
  <c r="AM32" i="18"/>
  <c r="AL32" i="18"/>
  <c r="AK32" i="18"/>
  <c r="AJ32" i="18"/>
  <c r="AI32" i="18"/>
  <c r="AH32" i="18"/>
  <c r="AG32" i="18"/>
  <c r="AE32" i="18"/>
  <c r="AN31" i="18"/>
  <c r="AM31" i="18"/>
  <c r="AL31" i="18"/>
  <c r="AK31" i="18"/>
  <c r="AJ31" i="18"/>
  <c r="AI31" i="18"/>
  <c r="AH31" i="18"/>
  <c r="AG31" i="18"/>
  <c r="AE31" i="18"/>
  <c r="AN30" i="18"/>
  <c r="AM30" i="18"/>
  <c r="AL30" i="18"/>
  <c r="AK30" i="18"/>
  <c r="AJ30" i="18"/>
  <c r="AI30" i="18"/>
  <c r="AE30" i="18"/>
  <c r="AN29" i="18"/>
  <c r="AM29" i="18"/>
  <c r="AL29" i="18"/>
  <c r="AK29" i="18"/>
  <c r="AJ29" i="18"/>
  <c r="AI29" i="18"/>
  <c r="AE29" i="18"/>
  <c r="AN28" i="18"/>
  <c r="AM28" i="18"/>
  <c r="AL28" i="18"/>
  <c r="AK28" i="18"/>
  <c r="AJ28" i="18"/>
  <c r="AF28" i="18"/>
  <c r="AE28" i="18"/>
  <c r="AN27" i="18"/>
  <c r="AM27" i="18"/>
  <c r="AL27" i="18"/>
  <c r="AK27" i="18"/>
  <c r="AJ27" i="18"/>
  <c r="AI27" i="18"/>
  <c r="AH27" i="18"/>
  <c r="AG27" i="18"/>
  <c r="AF27" i="18"/>
  <c r="AE27" i="18"/>
  <c r="AN26" i="18"/>
  <c r="AM26" i="18"/>
  <c r="AL26" i="18"/>
  <c r="AK26" i="18"/>
  <c r="AJ26" i="18"/>
  <c r="AI26" i="18"/>
  <c r="AH26" i="18"/>
  <c r="AG26" i="18"/>
  <c r="AE26" i="18"/>
  <c r="AN25" i="18"/>
  <c r="AM25" i="18"/>
  <c r="AL25" i="18"/>
  <c r="AK25" i="18"/>
  <c r="AJ25" i="18"/>
  <c r="AI25" i="18"/>
  <c r="AH25" i="18"/>
  <c r="AG25" i="18"/>
  <c r="AF25" i="18"/>
  <c r="AN24" i="18"/>
  <c r="AM24" i="18"/>
  <c r="AL24" i="18"/>
  <c r="AK24" i="18"/>
  <c r="AJ24" i="18"/>
  <c r="AI24" i="18"/>
  <c r="AH24" i="18"/>
  <c r="AG24" i="18"/>
  <c r="AF24" i="18"/>
  <c r="AN23" i="18"/>
  <c r="AM23" i="18"/>
  <c r="AL23" i="18"/>
  <c r="AK23" i="18"/>
  <c r="AJ23" i="18"/>
  <c r="AI23" i="18"/>
  <c r="AH23" i="18"/>
  <c r="AE23" i="18"/>
  <c r="AN22" i="18"/>
  <c r="AM22" i="18"/>
  <c r="AL22" i="18"/>
  <c r="AK22" i="18"/>
  <c r="AJ22" i="18"/>
  <c r="AI22" i="18"/>
  <c r="AH22" i="18"/>
  <c r="AG22" i="18"/>
  <c r="AF22" i="18"/>
  <c r="AE22" i="18"/>
  <c r="AN21" i="18"/>
  <c r="AM21" i="18"/>
  <c r="AL21" i="18"/>
  <c r="AK21" i="18"/>
  <c r="AJ21" i="18"/>
  <c r="AI21" i="18"/>
  <c r="AH21" i="18"/>
  <c r="AG21" i="18"/>
  <c r="AE21" i="18"/>
  <c r="AN20" i="18"/>
  <c r="AM20" i="18"/>
  <c r="AL20" i="18"/>
  <c r="AK20" i="18"/>
  <c r="AJ20" i="18"/>
  <c r="AI20" i="18"/>
  <c r="AH20" i="18"/>
  <c r="AG20" i="18"/>
  <c r="AE20" i="18"/>
  <c r="AN19" i="18"/>
  <c r="AM19" i="18"/>
  <c r="AL19" i="18"/>
  <c r="AK19" i="18"/>
  <c r="AJ19" i="18"/>
  <c r="AI19" i="18"/>
  <c r="AH19" i="18"/>
  <c r="AG19" i="18"/>
  <c r="AE19" i="18"/>
  <c r="AN18" i="18"/>
  <c r="AM18" i="18"/>
  <c r="AL18" i="18"/>
  <c r="AK18" i="18"/>
  <c r="AJ18" i="18"/>
  <c r="AI18" i="18"/>
  <c r="AH18" i="18"/>
  <c r="AG18" i="18"/>
  <c r="AF18" i="18"/>
  <c r="AE18" i="18"/>
  <c r="AN17" i="18"/>
  <c r="AM17" i="18"/>
  <c r="AL17" i="18"/>
  <c r="AK17" i="18"/>
  <c r="AJ17" i="18"/>
  <c r="AI17" i="18"/>
  <c r="AH17" i="18"/>
  <c r="AG17" i="18"/>
  <c r="AN16" i="18"/>
  <c r="AM16" i="18"/>
  <c r="AL16" i="18"/>
  <c r="AK16" i="18"/>
  <c r="AJ16" i="18"/>
  <c r="AI16" i="18"/>
  <c r="AH16" i="18"/>
  <c r="AG16" i="18"/>
  <c r="AN15" i="18"/>
  <c r="AM15" i="18"/>
  <c r="AL15" i="18"/>
  <c r="AK15" i="18"/>
  <c r="AJ15" i="18"/>
  <c r="AI15" i="18"/>
  <c r="AH15" i="18"/>
  <c r="AG15" i="18"/>
  <c r="AN14" i="18"/>
  <c r="AM14" i="18"/>
  <c r="AL14" i="18"/>
  <c r="AK14" i="18"/>
  <c r="AJ14" i="18"/>
  <c r="AI14" i="18"/>
  <c r="AH14" i="18"/>
  <c r="AG14" i="18"/>
  <c r="AN13" i="18"/>
  <c r="AM13" i="18"/>
  <c r="AL13" i="18"/>
  <c r="AK13" i="18"/>
  <c r="AJ13" i="18"/>
  <c r="AI13" i="18"/>
  <c r="AH13" i="18"/>
  <c r="AG13" i="18"/>
  <c r="AN11" i="18"/>
  <c r="N176" i="18" s="1"/>
  <c r="AM11" i="18"/>
  <c r="M176" i="18" s="1"/>
  <c r="AL11" i="18"/>
  <c r="L176" i="18" s="1"/>
  <c r="AK11" i="18"/>
  <c r="K176" i="18" s="1"/>
  <c r="AJ11" i="18"/>
  <c r="J176" i="18" s="1"/>
  <c r="AI11" i="18"/>
  <c r="I176" i="18" s="1"/>
  <c r="AH11" i="18"/>
  <c r="H176" i="18" s="1"/>
  <c r="AG11" i="18"/>
  <c r="G176" i="18" s="1"/>
  <c r="AE6" i="18"/>
  <c r="AE57" i="18" s="1"/>
  <c r="N49" i="18"/>
  <c r="M49" i="18"/>
  <c r="L49" i="18"/>
  <c r="K49" i="18"/>
  <c r="J49" i="18"/>
  <c r="I49" i="18"/>
  <c r="H49" i="18"/>
  <c r="G49" i="18"/>
  <c r="E49" i="18"/>
  <c r="F49" i="18"/>
  <c r="N44" i="18"/>
  <c r="M44" i="18"/>
  <c r="L44" i="18"/>
  <c r="K44" i="18"/>
  <c r="J44" i="18"/>
  <c r="I44" i="18"/>
  <c r="H44" i="18"/>
  <c r="G44" i="18"/>
  <c r="E44" i="18"/>
  <c r="F44" i="18"/>
  <c r="V6" i="18"/>
  <c r="W6" i="18" s="1"/>
  <c r="X6" i="18" s="1"/>
  <c r="Y6" i="18" s="1"/>
  <c r="Z6" i="18" s="1"/>
  <c r="AA6" i="18" s="1"/>
  <c r="AB6" i="18" s="1"/>
  <c r="AC6" i="18" s="1"/>
  <c r="AD6" i="18" s="1"/>
  <c r="AN6" i="18" s="1"/>
  <c r="D154" i="27" l="1"/>
  <c r="AE11" i="18"/>
  <c r="E176" i="18" s="1"/>
  <c r="K181" i="18"/>
  <c r="J180" i="18"/>
  <c r="AE24" i="18"/>
  <c r="AE93" i="18"/>
  <c r="I181" i="18"/>
  <c r="H176" i="23" s="1"/>
  <c r="I38" i="24" s="1"/>
  <c r="I57" i="24" s="1"/>
  <c r="AE14" i="18"/>
  <c r="AE43" i="18"/>
  <c r="AE55" i="18"/>
  <c r="AE89" i="18"/>
  <c r="AE103" i="18"/>
  <c r="M180" i="18"/>
  <c r="N180" i="18"/>
  <c r="F114" i="24"/>
  <c r="AE16" i="18"/>
  <c r="M181" i="18"/>
  <c r="E143" i="24"/>
  <c r="E124" i="24"/>
  <c r="E140" i="24" s="1"/>
  <c r="E118" i="24"/>
  <c r="E93" i="24"/>
  <c r="F124" i="24"/>
  <c r="F140" i="24" s="1"/>
  <c r="F118" i="24"/>
  <c r="F93" i="24"/>
  <c r="F143" i="24"/>
  <c r="G71" i="24"/>
  <c r="G53" i="24"/>
  <c r="G113" i="24"/>
  <c r="H8" i="24"/>
  <c r="G80" i="24" s="1"/>
  <c r="G106" i="24"/>
  <c r="G43" i="24"/>
  <c r="G28" i="24"/>
  <c r="G62" i="24"/>
  <c r="G48" i="24"/>
  <c r="G34" i="24"/>
  <c r="G18" i="24"/>
  <c r="AN82" i="18"/>
  <c r="AN78" i="18"/>
  <c r="AN77" i="18"/>
  <c r="AN84" i="18"/>
  <c r="AN83" i="18"/>
  <c r="AN80" i="18"/>
  <c r="AN79" i="18"/>
  <c r="AJ6" i="18"/>
  <c r="AF6" i="18"/>
  <c r="J181" i="18"/>
  <c r="N181" i="18"/>
  <c r="AM6" i="18"/>
  <c r="AI6" i="18"/>
  <c r="AL6" i="18"/>
  <c r="AH6" i="18"/>
  <c r="AE41" i="18"/>
  <c r="L181" i="18"/>
  <c r="AE162" i="18"/>
  <c r="AE150" i="18"/>
  <c r="AE148" i="18"/>
  <c r="AE144" i="18"/>
  <c r="AE134" i="18"/>
  <c r="AE124" i="18"/>
  <c r="AE116" i="18"/>
  <c r="AE114" i="18"/>
  <c r="AE112" i="18"/>
  <c r="AE108" i="18"/>
  <c r="AE92" i="18"/>
  <c r="AE88" i="18"/>
  <c r="AE64" i="18"/>
  <c r="AE58" i="18"/>
  <c r="AE56" i="18"/>
  <c r="AE42" i="18"/>
  <c r="AE163" i="18"/>
  <c r="AE161" i="18"/>
  <c r="AE157" i="18"/>
  <c r="AE151" i="18"/>
  <c r="AE145" i="18"/>
  <c r="AE133" i="18"/>
  <c r="AE123" i="18"/>
  <c r="AE117" i="18"/>
  <c r="AE115" i="18"/>
  <c r="AE113" i="18"/>
  <c r="AE107" i="18"/>
  <c r="AK6" i="18"/>
  <c r="AG6" i="18"/>
  <c r="AE15" i="18"/>
  <c r="AE17" i="18"/>
  <c r="AE25" i="18"/>
  <c r="K180" i="18"/>
  <c r="L180" i="18"/>
  <c r="N169" i="18"/>
  <c r="O170" i="18"/>
  <c r="N143" i="18"/>
  <c r="N160" i="18"/>
  <c r="O167" i="18"/>
  <c r="O166" i="18"/>
  <c r="O165" i="18"/>
  <c r="O164" i="18"/>
  <c r="O163" i="18"/>
  <c r="O162" i="18"/>
  <c r="O161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87" i="18"/>
  <c r="N86" i="18"/>
  <c r="N178" i="18" s="1"/>
  <c r="O84" i="18"/>
  <c r="O83" i="18"/>
  <c r="O82" i="18"/>
  <c r="O80" i="18"/>
  <c r="O79" i="18"/>
  <c r="O78" i="18"/>
  <c r="O77" i="18"/>
  <c r="O75" i="18"/>
  <c r="O74" i="18"/>
  <c r="O73" i="18"/>
  <c r="O71" i="18"/>
  <c r="O70" i="18"/>
  <c r="O69" i="18"/>
  <c r="O68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N81" i="18"/>
  <c r="M81" i="18"/>
  <c r="L81" i="18"/>
  <c r="J81" i="18"/>
  <c r="I81" i="18"/>
  <c r="H81" i="18"/>
  <c r="G81" i="18"/>
  <c r="F81" i="18"/>
  <c r="E81" i="18"/>
  <c r="D81" i="18"/>
  <c r="C81" i="18"/>
  <c r="K81" i="18"/>
  <c r="N76" i="18"/>
  <c r="M76" i="18"/>
  <c r="L76" i="18"/>
  <c r="K76" i="18"/>
  <c r="J76" i="18"/>
  <c r="H76" i="18"/>
  <c r="G76" i="18"/>
  <c r="F76" i="18"/>
  <c r="E76" i="18"/>
  <c r="D76" i="18"/>
  <c r="C76" i="18"/>
  <c r="I76" i="18"/>
  <c r="N72" i="18"/>
  <c r="M72" i="18"/>
  <c r="L72" i="18"/>
  <c r="K72" i="18"/>
  <c r="J72" i="18"/>
  <c r="I72" i="18"/>
  <c r="H72" i="18"/>
  <c r="G72" i="18"/>
  <c r="E72" i="18"/>
  <c r="D72" i="18"/>
  <c r="C72" i="18"/>
  <c r="F72" i="18"/>
  <c r="N67" i="18"/>
  <c r="N54" i="18" s="1"/>
  <c r="M67" i="18"/>
  <c r="M54" i="18" s="1"/>
  <c r="L67" i="18"/>
  <c r="L54" i="18" s="1"/>
  <c r="K67" i="18"/>
  <c r="K54" i="18" s="1"/>
  <c r="J67" i="18"/>
  <c r="I67" i="18"/>
  <c r="H67" i="18"/>
  <c r="G67" i="18"/>
  <c r="E67" i="18"/>
  <c r="D67" i="18"/>
  <c r="D54" i="18" s="1"/>
  <c r="C67" i="18"/>
  <c r="C54" i="18" s="1"/>
  <c r="F67" i="18"/>
  <c r="F54" i="18" s="1"/>
  <c r="N40" i="18"/>
  <c r="M40" i="18"/>
  <c r="L40" i="18"/>
  <c r="K40" i="18"/>
  <c r="J40" i="18"/>
  <c r="I40" i="18"/>
  <c r="H40" i="18"/>
  <c r="G40" i="18"/>
  <c r="E40" i="18"/>
  <c r="D40" i="18"/>
  <c r="C40" i="18"/>
  <c r="F40" i="18"/>
  <c r="N22" i="18"/>
  <c r="M22" i="18"/>
  <c r="L22" i="18"/>
  <c r="K22" i="18"/>
  <c r="J22" i="18"/>
  <c r="I22" i="18"/>
  <c r="H22" i="18"/>
  <c r="G22" i="18"/>
  <c r="F22" i="18"/>
  <c r="E22" i="18"/>
  <c r="C22" i="18"/>
  <c r="D22" i="18"/>
  <c r="N18" i="18"/>
  <c r="M18" i="18"/>
  <c r="M10" i="18" s="1"/>
  <c r="L18" i="18"/>
  <c r="K18" i="18"/>
  <c r="J18" i="18"/>
  <c r="I18" i="18"/>
  <c r="H30" i="23" s="1"/>
  <c r="H31" i="23" s="1"/>
  <c r="H18" i="18"/>
  <c r="G18" i="18"/>
  <c r="F30" i="23" s="1"/>
  <c r="F31" i="23" s="1"/>
  <c r="E18" i="18"/>
  <c r="D18" i="18"/>
  <c r="C18" i="18"/>
  <c r="E30" i="23"/>
  <c r="J10" i="18"/>
  <c r="G30" i="23"/>
  <c r="G31" i="23" s="1"/>
  <c r="AF20" i="18" l="1"/>
  <c r="AF11" i="18"/>
  <c r="AF21" i="18"/>
  <c r="E31" i="23"/>
  <c r="G54" i="18"/>
  <c r="C24" i="23"/>
  <c r="C68" i="23" s="1"/>
  <c r="E180" i="18"/>
  <c r="H54" i="18"/>
  <c r="C10" i="18"/>
  <c r="E135" i="24"/>
  <c r="E154" i="24" s="1"/>
  <c r="O72" i="18"/>
  <c r="G69" i="23"/>
  <c r="H35" i="27" s="1"/>
  <c r="J54" i="18"/>
  <c r="G114" i="24"/>
  <c r="O81" i="18"/>
  <c r="O76" i="18"/>
  <c r="O67" i="18"/>
  <c r="I54" i="18"/>
  <c r="G124" i="24"/>
  <c r="G140" i="24" s="1"/>
  <c r="G118" i="24"/>
  <c r="G93" i="24"/>
  <c r="G143" i="24"/>
  <c r="H113" i="24"/>
  <c r="H106" i="24"/>
  <c r="H62" i="24"/>
  <c r="H71" i="24"/>
  <c r="H43" i="24"/>
  <c r="H28" i="24"/>
  <c r="H53" i="24"/>
  <c r="H48" i="24"/>
  <c r="H34" i="24"/>
  <c r="H18" i="24"/>
  <c r="I8" i="24"/>
  <c r="H80" i="24" s="1"/>
  <c r="N10" i="18"/>
  <c r="G10" i="18"/>
  <c r="E54" i="18"/>
  <c r="F10" i="18"/>
  <c r="K10" i="18"/>
  <c r="AH163" i="18"/>
  <c r="AH95" i="18"/>
  <c r="AH75" i="18"/>
  <c r="AH74" i="18"/>
  <c r="AH71" i="18"/>
  <c r="AH65" i="18"/>
  <c r="AH51" i="18"/>
  <c r="AH46" i="18"/>
  <c r="AH162" i="18"/>
  <c r="AH141" i="18"/>
  <c r="AH140" i="18"/>
  <c r="AH139" i="18"/>
  <c r="AH136" i="18"/>
  <c r="AH89" i="18"/>
  <c r="AH73" i="18"/>
  <c r="AH70" i="18"/>
  <c r="AH63" i="18"/>
  <c r="AH62" i="18"/>
  <c r="AH59" i="18"/>
  <c r="AH55" i="18"/>
  <c r="AH50" i="18"/>
  <c r="AH48" i="18"/>
  <c r="AH43" i="18"/>
  <c r="AH37" i="18"/>
  <c r="AH35" i="18"/>
  <c r="AH33" i="18"/>
  <c r="AH29" i="18"/>
  <c r="AH147" i="18"/>
  <c r="H181" i="18" s="1"/>
  <c r="G176" i="23" s="1"/>
  <c r="AH138" i="18"/>
  <c r="AH121" i="18"/>
  <c r="AH66" i="18"/>
  <c r="AH52" i="18"/>
  <c r="AH45" i="18"/>
  <c r="AH42" i="18"/>
  <c r="AH39" i="18"/>
  <c r="AH170" i="18"/>
  <c r="H179" i="18" s="1"/>
  <c r="AH161" i="18"/>
  <c r="H180" i="18" s="1"/>
  <c r="AH68" i="18"/>
  <c r="AH61" i="18"/>
  <c r="AH60" i="18"/>
  <c r="AH57" i="18"/>
  <c r="AH47" i="18"/>
  <c r="AH41" i="18"/>
  <c r="AH36" i="18"/>
  <c r="AH34" i="18"/>
  <c r="AH30" i="18"/>
  <c r="AH28" i="18"/>
  <c r="H10" i="18"/>
  <c r="AG165" i="18"/>
  <c r="AG163" i="18"/>
  <c r="AG161" i="18"/>
  <c r="AG157" i="18"/>
  <c r="AG155" i="18"/>
  <c r="AG149" i="18"/>
  <c r="AG147" i="18"/>
  <c r="AG141" i="18"/>
  <c r="AG129" i="18"/>
  <c r="AG125" i="18"/>
  <c r="AG121" i="18"/>
  <c r="AG111" i="18"/>
  <c r="AG105" i="18"/>
  <c r="AG95" i="18"/>
  <c r="AG91" i="18"/>
  <c r="AG89" i="18"/>
  <c r="AG87" i="18"/>
  <c r="AG75" i="18"/>
  <c r="AG73" i="18"/>
  <c r="AG65" i="18"/>
  <c r="AG63" i="18"/>
  <c r="AG61" i="18"/>
  <c r="AG59" i="18"/>
  <c r="AG57" i="18"/>
  <c r="AG55" i="18"/>
  <c r="AG51" i="18"/>
  <c r="AG47" i="18"/>
  <c r="AG45" i="18"/>
  <c r="AG43" i="18"/>
  <c r="AG41" i="18"/>
  <c r="AG39" i="18"/>
  <c r="AG170" i="18"/>
  <c r="G179" i="18" s="1"/>
  <c r="AG166" i="18"/>
  <c r="AG164" i="18"/>
  <c r="AG162" i="18"/>
  <c r="AG146" i="18"/>
  <c r="AG140" i="18"/>
  <c r="AG138" i="18"/>
  <c r="AG136" i="18"/>
  <c r="AG134" i="18"/>
  <c r="AG132" i="18"/>
  <c r="AG118" i="18"/>
  <c r="AG114" i="18"/>
  <c r="AG112" i="18"/>
  <c r="AG60" i="18"/>
  <c r="AG38" i="18"/>
  <c r="AG36" i="18"/>
  <c r="AG34" i="18"/>
  <c r="AG30" i="18"/>
  <c r="AG28" i="18"/>
  <c r="AG74" i="18"/>
  <c r="AG56" i="18"/>
  <c r="AG46" i="18"/>
  <c r="AG70" i="18"/>
  <c r="AG62" i="18"/>
  <c r="AG50" i="18"/>
  <c r="AG48" i="18"/>
  <c r="AG37" i="18"/>
  <c r="AG35" i="18"/>
  <c r="AG33" i="18"/>
  <c r="AG29" i="18"/>
  <c r="AG23" i="18"/>
  <c r="AG104" i="18"/>
  <c r="AG96" i="18"/>
  <c r="AG66" i="18"/>
  <c r="AG58" i="18"/>
  <c r="AG52" i="18"/>
  <c r="AG42" i="18"/>
  <c r="AL80" i="18"/>
  <c r="AL83" i="18"/>
  <c r="AL82" i="18"/>
  <c r="AL79" i="18"/>
  <c r="AL78" i="18"/>
  <c r="AL77" i="18"/>
  <c r="AL84" i="18"/>
  <c r="AI162" i="18"/>
  <c r="AI140" i="18"/>
  <c r="AI138" i="18"/>
  <c r="AI80" i="18"/>
  <c r="AI78" i="18"/>
  <c r="AI74" i="18"/>
  <c r="AI70" i="18"/>
  <c r="AI68" i="18"/>
  <c r="AI66" i="18"/>
  <c r="AI62" i="18"/>
  <c r="AI60" i="18"/>
  <c r="AI163" i="18"/>
  <c r="AI161" i="18"/>
  <c r="AI141" i="18"/>
  <c r="AI139" i="18"/>
  <c r="AI77" i="18"/>
  <c r="AI73" i="18"/>
  <c r="AI63" i="18"/>
  <c r="AI59" i="18"/>
  <c r="AI55" i="18"/>
  <c r="AI69" i="18"/>
  <c r="AI61" i="18"/>
  <c r="AI28" i="18"/>
  <c r="AI79" i="18"/>
  <c r="AI75" i="18"/>
  <c r="AI71" i="18"/>
  <c r="F69" i="23"/>
  <c r="G35" i="27" s="1"/>
  <c r="AJ69" i="18"/>
  <c r="AJ62" i="18"/>
  <c r="AJ138" i="18"/>
  <c r="AJ90" i="18"/>
  <c r="AJ66" i="18"/>
  <c r="AJ61" i="18"/>
  <c r="AJ80" i="18"/>
  <c r="AJ79" i="18"/>
  <c r="AJ75" i="18"/>
  <c r="AJ71" i="18"/>
  <c r="AJ68" i="18"/>
  <c r="AJ60" i="18"/>
  <c r="AJ78" i="18"/>
  <c r="AJ77" i="18"/>
  <c r="AJ74" i="18"/>
  <c r="AJ73" i="18"/>
  <c r="AJ63" i="18"/>
  <c r="AJ59" i="18"/>
  <c r="D10" i="18"/>
  <c r="L10" i="18"/>
  <c r="E10" i="18"/>
  <c r="I10" i="18"/>
  <c r="AK83" i="18"/>
  <c r="AK79" i="18"/>
  <c r="AK77" i="18"/>
  <c r="AK75" i="18"/>
  <c r="AK73" i="18"/>
  <c r="AK69" i="18"/>
  <c r="AK63" i="18"/>
  <c r="AK90" i="18"/>
  <c r="AK84" i="18"/>
  <c r="AK80" i="18"/>
  <c r="AK68" i="18"/>
  <c r="AK60" i="18"/>
  <c r="AK82" i="18"/>
  <c r="AK78" i="18"/>
  <c r="AK74" i="18"/>
  <c r="E181" i="18"/>
  <c r="D176" i="23" s="1"/>
  <c r="H69" i="23"/>
  <c r="AM84" i="18"/>
  <c r="AM82" i="18"/>
  <c r="AM80" i="18"/>
  <c r="AM78" i="18"/>
  <c r="AM83" i="18"/>
  <c r="AM79" i="18"/>
  <c r="AM77" i="18"/>
  <c r="AF164" i="18"/>
  <c r="AF162" i="18"/>
  <c r="AF165" i="18"/>
  <c r="AF161" i="18"/>
  <c r="AF155" i="18"/>
  <c r="AF153" i="18"/>
  <c r="AF146" i="18"/>
  <c r="AF135" i="18"/>
  <c r="AF131" i="18"/>
  <c r="AF124" i="18"/>
  <c r="AF118" i="18"/>
  <c r="AF115" i="18"/>
  <c r="AF114" i="18"/>
  <c r="AF104" i="18"/>
  <c r="AF96" i="18"/>
  <c r="AF87" i="18"/>
  <c r="AF69" i="18"/>
  <c r="AF66" i="18"/>
  <c r="AF61" i="18"/>
  <c r="AF58" i="18"/>
  <c r="AF57" i="18"/>
  <c r="AF52" i="18"/>
  <c r="AF47" i="18"/>
  <c r="AF42" i="18"/>
  <c r="AF41" i="18"/>
  <c r="AF149" i="18"/>
  <c r="AF134" i="18"/>
  <c r="AF120" i="18"/>
  <c r="AF113" i="18"/>
  <c r="AF112" i="18"/>
  <c r="AF111" i="18"/>
  <c r="AF109" i="18"/>
  <c r="AF106" i="18"/>
  <c r="AF95" i="18"/>
  <c r="AF93" i="18"/>
  <c r="AF75" i="18"/>
  <c r="AF65" i="18"/>
  <c r="AF51" i="18"/>
  <c r="AF38" i="18"/>
  <c r="AF36" i="18"/>
  <c r="AF34" i="18"/>
  <c r="AF32" i="18"/>
  <c r="AF30" i="18"/>
  <c r="AF26" i="18"/>
  <c r="AF16" i="18"/>
  <c r="AF14" i="18"/>
  <c r="AF167" i="18"/>
  <c r="AF157" i="18"/>
  <c r="AF152" i="18"/>
  <c r="AF145" i="18"/>
  <c r="AF140" i="18"/>
  <c r="AF136" i="18"/>
  <c r="AF132" i="18"/>
  <c r="AF130" i="18"/>
  <c r="AF125" i="18"/>
  <c r="AF122" i="18"/>
  <c r="AF117" i="18"/>
  <c r="AF105" i="18"/>
  <c r="AF89" i="18"/>
  <c r="AF74" i="18"/>
  <c r="AF73" i="18"/>
  <c r="AF59" i="18"/>
  <c r="AF56" i="18"/>
  <c r="AF55" i="18"/>
  <c r="AF46" i="18"/>
  <c r="AF43" i="18"/>
  <c r="AF163" i="18"/>
  <c r="AF156" i="18"/>
  <c r="AF139" i="18"/>
  <c r="AF129" i="18"/>
  <c r="AF121" i="18"/>
  <c r="AF119" i="18"/>
  <c r="AF116" i="18"/>
  <c r="AF110" i="18"/>
  <c r="AF94" i="18"/>
  <c r="AF92" i="18"/>
  <c r="AF91" i="18"/>
  <c r="AF64" i="18"/>
  <c r="AF62" i="18"/>
  <c r="AF50" i="18"/>
  <c r="AF48" i="18"/>
  <c r="AF45" i="18"/>
  <c r="AF39" i="18"/>
  <c r="AF37" i="18"/>
  <c r="AF35" i="18"/>
  <c r="AF33" i="18"/>
  <c r="AF31" i="18"/>
  <c r="AF29" i="18"/>
  <c r="AF23" i="18"/>
  <c r="AF19" i="18"/>
  <c r="AF17" i="18"/>
  <c r="AF15" i="18"/>
  <c r="AF13" i="18"/>
  <c r="H205" i="23"/>
  <c r="G205" i="23"/>
  <c r="F205" i="23"/>
  <c r="E205" i="23"/>
  <c r="D205" i="23"/>
  <c r="C205" i="23"/>
  <c r="H200" i="23"/>
  <c r="G200" i="23"/>
  <c r="F200" i="23"/>
  <c r="E200" i="23"/>
  <c r="D200" i="23"/>
  <c r="D206" i="23" s="1"/>
  <c r="H155" i="23"/>
  <c r="G155" i="23"/>
  <c r="F155" i="23"/>
  <c r="E155" i="23"/>
  <c r="D155" i="23"/>
  <c r="C155" i="23"/>
  <c r="AI242" i="23"/>
  <c r="E237" i="23"/>
  <c r="E240" i="23" s="1"/>
  <c r="E236" i="23"/>
  <c r="E239" i="23" s="1"/>
  <c r="H239" i="23" s="1"/>
  <c r="H234" i="23"/>
  <c r="G234" i="23"/>
  <c r="F234" i="23"/>
  <c r="H233" i="23"/>
  <c r="G233" i="23"/>
  <c r="F233" i="23"/>
  <c r="H217" i="23"/>
  <c r="G217" i="23"/>
  <c r="F217" i="23"/>
  <c r="E217" i="23"/>
  <c r="D217" i="23"/>
  <c r="C202" i="23"/>
  <c r="H199" i="23"/>
  <c r="G199" i="23"/>
  <c r="F199" i="23"/>
  <c r="E199" i="23"/>
  <c r="D199" i="23"/>
  <c r="C199" i="23"/>
  <c r="C197" i="23"/>
  <c r="D46" i="27" s="1"/>
  <c r="H196" i="23"/>
  <c r="G196" i="23"/>
  <c r="F196" i="23"/>
  <c r="E196" i="23"/>
  <c r="D196" i="23"/>
  <c r="C193" i="23"/>
  <c r="H191" i="23"/>
  <c r="G191" i="23"/>
  <c r="F191" i="23"/>
  <c r="E191" i="23"/>
  <c r="D191" i="23"/>
  <c r="C191" i="23"/>
  <c r="C186" i="23"/>
  <c r="D178" i="23"/>
  <c r="H177" i="23"/>
  <c r="G177" i="23"/>
  <c r="F177" i="23"/>
  <c r="E177" i="23"/>
  <c r="D177" i="23"/>
  <c r="C148" i="23"/>
  <c r="H139" i="23"/>
  <c r="G139" i="23"/>
  <c r="F139" i="23"/>
  <c r="E139" i="23"/>
  <c r="D139" i="23"/>
  <c r="C137" i="23"/>
  <c r="H128" i="23"/>
  <c r="G128" i="23"/>
  <c r="F128" i="23"/>
  <c r="E128" i="23"/>
  <c r="D128" i="23"/>
  <c r="C126" i="23"/>
  <c r="H120" i="23"/>
  <c r="G120" i="23"/>
  <c r="F120" i="23"/>
  <c r="E120" i="23"/>
  <c r="D120" i="23"/>
  <c r="H117" i="23"/>
  <c r="G117" i="23"/>
  <c r="F117" i="23"/>
  <c r="E117" i="23"/>
  <c r="D117" i="23"/>
  <c r="C114" i="23"/>
  <c r="H108" i="23"/>
  <c r="G108" i="23"/>
  <c r="F108" i="23"/>
  <c r="E108" i="23"/>
  <c r="E110" i="23" s="1"/>
  <c r="D108" i="23"/>
  <c r="H106" i="23"/>
  <c r="G106" i="23"/>
  <c r="G221" i="23" s="1"/>
  <c r="F106" i="23"/>
  <c r="E106" i="23"/>
  <c r="D106" i="23"/>
  <c r="D112" i="23" s="1"/>
  <c r="H105" i="23"/>
  <c r="G105" i="23"/>
  <c r="F105" i="23"/>
  <c r="E105" i="23"/>
  <c r="D105" i="23"/>
  <c r="C76" i="23"/>
  <c r="C203" i="23" s="1"/>
  <c r="D83" i="23"/>
  <c r="H82" i="23"/>
  <c r="G82" i="23"/>
  <c r="F82" i="23"/>
  <c r="E82" i="23"/>
  <c r="D82" i="23"/>
  <c r="D84" i="23" s="1"/>
  <c r="H65" i="23"/>
  <c r="G65" i="23"/>
  <c r="F65" i="23"/>
  <c r="E65" i="23"/>
  <c r="D65" i="23"/>
  <c r="C65" i="23"/>
  <c r="C63" i="23"/>
  <c r="H61" i="23"/>
  <c r="G61" i="23"/>
  <c r="F61" i="23"/>
  <c r="E61" i="23"/>
  <c r="D61" i="23"/>
  <c r="C61" i="23"/>
  <c r="D53" i="23"/>
  <c r="D52" i="23"/>
  <c r="D56" i="23" s="1"/>
  <c r="E52" i="23" s="1"/>
  <c r="E56" i="23" s="1"/>
  <c r="D110" i="23" l="1"/>
  <c r="D111" i="23" s="1"/>
  <c r="D179" i="23"/>
  <c r="D182" i="23" s="1"/>
  <c r="F176" i="18"/>
  <c r="E107" i="27"/>
  <c r="E108" i="27"/>
  <c r="E268" i="23"/>
  <c r="H268" i="23"/>
  <c r="D268" i="23"/>
  <c r="G268" i="23"/>
  <c r="F268" i="23"/>
  <c r="I35" i="27"/>
  <c r="I54" i="27" s="1"/>
  <c r="G54" i="27"/>
  <c r="D20" i="24"/>
  <c r="D20" i="27"/>
  <c r="H35" i="24"/>
  <c r="H54" i="24" s="1"/>
  <c r="H54" i="27"/>
  <c r="I180" i="18"/>
  <c r="G181" i="18"/>
  <c r="F176" i="23" s="1"/>
  <c r="G38" i="24" s="1"/>
  <c r="G57" i="24" s="1"/>
  <c r="H114" i="24"/>
  <c r="G135" i="24" s="1"/>
  <c r="G154" i="24" s="1"/>
  <c r="E69" i="23"/>
  <c r="F35" i="27" s="1"/>
  <c r="F135" i="24"/>
  <c r="F154" i="24" s="1"/>
  <c r="E206" i="23"/>
  <c r="F206" i="23" s="1"/>
  <c r="G206" i="23" s="1"/>
  <c r="H206" i="23" s="1"/>
  <c r="O54" i="18"/>
  <c r="H38" i="24"/>
  <c r="H57" i="24" s="1"/>
  <c r="I35" i="24"/>
  <c r="I54" i="24" s="1"/>
  <c r="G35" i="24"/>
  <c r="E38" i="24"/>
  <c r="E57" i="24" s="1"/>
  <c r="H124" i="24"/>
  <c r="H140" i="24" s="1"/>
  <c r="H118" i="24"/>
  <c r="H93" i="24"/>
  <c r="H143" i="24"/>
  <c r="G193" i="23"/>
  <c r="I106" i="24"/>
  <c r="I62" i="24"/>
  <c r="I71" i="24"/>
  <c r="I53" i="24"/>
  <c r="I48" i="24"/>
  <c r="I113" i="24"/>
  <c r="I34" i="24"/>
  <c r="I18" i="24"/>
  <c r="I43" i="24"/>
  <c r="I28" i="24"/>
  <c r="D46" i="24"/>
  <c r="F180" i="18"/>
  <c r="G180" i="18"/>
  <c r="F181" i="18"/>
  <c r="E176" i="23" s="1"/>
  <c r="G237" i="23"/>
  <c r="G236" i="23"/>
  <c r="H237" i="23"/>
  <c r="H236" i="23"/>
  <c r="H193" i="23"/>
  <c r="E193" i="23"/>
  <c r="D193" i="23"/>
  <c r="F193" i="23"/>
  <c r="E112" i="23"/>
  <c r="F52" i="23"/>
  <c r="F56" i="23" s="1"/>
  <c r="D87" i="23"/>
  <c r="H221" i="23"/>
  <c r="H220" i="23"/>
  <c r="E243" i="23"/>
  <c r="G240" i="23"/>
  <c r="F240" i="23"/>
  <c r="H240" i="23"/>
  <c r="E242" i="23"/>
  <c r="G239" i="23"/>
  <c r="F239" i="23"/>
  <c r="F236" i="23"/>
  <c r="F237" i="23"/>
  <c r="F110" i="23" l="1"/>
  <c r="D113" i="23"/>
  <c r="F35" i="24"/>
  <c r="F54" i="24" s="1"/>
  <c r="I114" i="24"/>
  <c r="H135" i="24" s="1"/>
  <c r="H154" i="24" s="1"/>
  <c r="D154" i="24" s="1"/>
  <c r="F38" i="24"/>
  <c r="F57" i="24" s="1"/>
  <c r="G54" i="24"/>
  <c r="E107" i="24"/>
  <c r="E108" i="24"/>
  <c r="E221" i="23"/>
  <c r="F220" i="23" s="1"/>
  <c r="E111" i="23"/>
  <c r="G243" i="23"/>
  <c r="F243" i="23"/>
  <c r="H243" i="23"/>
  <c r="F112" i="23"/>
  <c r="D221" i="23"/>
  <c r="E220" i="23" s="1"/>
  <c r="F221" i="23"/>
  <c r="G220" i="23" s="1"/>
  <c r="G52" i="23"/>
  <c r="G56" i="23" s="1"/>
  <c r="G242" i="23"/>
  <c r="F242" i="23"/>
  <c r="H242" i="23"/>
  <c r="G110" i="23" l="1"/>
  <c r="D114" i="23"/>
  <c r="E113" i="23"/>
  <c r="F54" i="27"/>
  <c r="F111" i="23"/>
  <c r="G112" i="23"/>
  <c r="H52" i="23"/>
  <c r="H56" i="23" s="1"/>
  <c r="H110" i="23" l="1"/>
  <c r="E114" i="23"/>
  <c r="F113" i="23"/>
  <c r="F114" i="23" s="1"/>
  <c r="G111" i="23"/>
  <c r="H112" i="23"/>
  <c r="G113" i="23" l="1"/>
  <c r="G114" i="23" s="1"/>
  <c r="H111" i="23"/>
  <c r="H113" i="23" l="1"/>
  <c r="H114" i="23" s="1"/>
  <c r="D138" i="21"/>
  <c r="D139" i="21"/>
  <c r="D137" i="21"/>
  <c r="D136" i="21"/>
  <c r="D132" i="21"/>
  <c r="B60" i="14" l="1"/>
  <c r="B59" i="14"/>
  <c r="B58" i="14"/>
  <c r="B57" i="14"/>
  <c r="B56" i="14"/>
  <c r="B55" i="14"/>
  <c r="B54" i="14"/>
  <c r="B53" i="14"/>
  <c r="B52" i="14"/>
  <c r="N137" i="18" l="1"/>
  <c r="M137" i="18"/>
  <c r="L137" i="18"/>
  <c r="K137" i="18"/>
  <c r="J137" i="18"/>
  <c r="I137" i="18"/>
  <c r="H137" i="18"/>
  <c r="G137" i="18"/>
  <c r="G177" i="18" s="1"/>
  <c r="F137" i="18"/>
  <c r="E137" i="18"/>
  <c r="D137" i="18"/>
  <c r="C137" i="18"/>
  <c r="N102" i="18"/>
  <c r="M102" i="18"/>
  <c r="L102" i="18"/>
  <c r="L177" i="18" s="1"/>
  <c r="K102" i="18"/>
  <c r="J102" i="18"/>
  <c r="I102" i="18"/>
  <c r="H102" i="18"/>
  <c r="G102" i="18"/>
  <c r="F102" i="18"/>
  <c r="E102" i="18"/>
  <c r="C102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F86" i="18"/>
  <c r="G86" i="18"/>
  <c r="H86" i="18"/>
  <c r="I86" i="18"/>
  <c r="J86" i="18"/>
  <c r="K86" i="18"/>
  <c r="L86" i="18"/>
  <c r="M86" i="18"/>
  <c r="D86" i="18"/>
  <c r="C86" i="18"/>
  <c r="E86" i="18"/>
  <c r="C143" i="18"/>
  <c r="G143" i="18"/>
  <c r="H143" i="18"/>
  <c r="I143" i="18"/>
  <c r="J143" i="18"/>
  <c r="K143" i="18"/>
  <c r="L143" i="18"/>
  <c r="M143" i="18"/>
  <c r="C160" i="18"/>
  <c r="D160" i="18"/>
  <c r="E160" i="18"/>
  <c r="F160" i="18"/>
  <c r="G160" i="18"/>
  <c r="H160" i="18"/>
  <c r="I160" i="18"/>
  <c r="J160" i="18"/>
  <c r="K160" i="18"/>
  <c r="L160" i="18"/>
  <c r="M160" i="18"/>
  <c r="C169" i="18"/>
  <c r="D169" i="18"/>
  <c r="E169" i="18"/>
  <c r="F169" i="18"/>
  <c r="G169" i="18"/>
  <c r="H169" i="18"/>
  <c r="I169" i="18"/>
  <c r="J169" i="18"/>
  <c r="K169" i="18"/>
  <c r="L169" i="18"/>
  <c r="M169" i="18"/>
  <c r="N177" i="18" l="1"/>
  <c r="E177" i="18"/>
  <c r="D119" i="23" s="1"/>
  <c r="H101" i="18"/>
  <c r="H177" i="18"/>
  <c r="G119" i="23" s="1"/>
  <c r="G213" i="23" s="1"/>
  <c r="K101" i="18"/>
  <c r="K175" i="18" s="1"/>
  <c r="K177" i="18"/>
  <c r="I101" i="18"/>
  <c r="I177" i="18"/>
  <c r="M101" i="18"/>
  <c r="M175" i="18" s="1"/>
  <c r="M177" i="18"/>
  <c r="F101" i="18"/>
  <c r="F177" i="18"/>
  <c r="E119" i="23" s="1"/>
  <c r="E213" i="23" s="1"/>
  <c r="J101" i="18"/>
  <c r="J175" i="18" s="1"/>
  <c r="J177" i="18"/>
  <c r="O137" i="18"/>
  <c r="O102" i="18"/>
  <c r="O160" i="18"/>
  <c r="M178" i="18"/>
  <c r="I178" i="18"/>
  <c r="I175" i="18"/>
  <c r="E178" i="18"/>
  <c r="L178" i="18"/>
  <c r="H178" i="18"/>
  <c r="H175" i="18"/>
  <c r="E101" i="18"/>
  <c r="H119" i="23"/>
  <c r="H213" i="23" s="1"/>
  <c r="O86" i="18"/>
  <c r="K178" i="18"/>
  <c r="G178" i="18"/>
  <c r="J178" i="18"/>
  <c r="F178" i="18"/>
  <c r="N101" i="18"/>
  <c r="N175" i="18" s="1"/>
  <c r="N182" i="18" s="1"/>
  <c r="F119" i="23"/>
  <c r="F213" i="23" s="1"/>
  <c r="O169" i="18"/>
  <c r="L101" i="18"/>
  <c r="L175" i="18" s="1"/>
  <c r="G101" i="18"/>
  <c r="D101" i="18"/>
  <c r="D133" i="21"/>
  <c r="D134" i="21" s="1"/>
  <c r="C101" i="18"/>
  <c r="D143" i="18"/>
  <c r="E143" i="18"/>
  <c r="D269" i="23" s="1"/>
  <c r="F143" i="18"/>
  <c r="F175" i="18" s="1"/>
  <c r="D75" i="20"/>
  <c r="C75" i="20"/>
  <c r="D62" i="20"/>
  <c r="C62" i="20"/>
  <c r="D213" i="23" l="1"/>
  <c r="D122" i="23"/>
  <c r="D125" i="23" s="1"/>
  <c r="L182" i="18"/>
  <c r="N8" i="18"/>
  <c r="G175" i="18"/>
  <c r="G182" i="18" s="1"/>
  <c r="E269" i="23"/>
  <c r="F269" i="23" s="1"/>
  <c r="G269" i="23" s="1"/>
  <c r="H269" i="23" s="1"/>
  <c r="F182" i="18"/>
  <c r="O143" i="18"/>
  <c r="K182" i="18"/>
  <c r="F141" i="23"/>
  <c r="F215" i="23" s="1"/>
  <c r="F130" i="23"/>
  <c r="H182" i="18"/>
  <c r="E175" i="18"/>
  <c r="E182" i="18" s="1"/>
  <c r="M182" i="18"/>
  <c r="G130" i="23"/>
  <c r="G141" i="23"/>
  <c r="G215" i="23" s="1"/>
  <c r="D130" i="23"/>
  <c r="D154" i="23" s="1"/>
  <c r="D141" i="23"/>
  <c r="E141" i="23"/>
  <c r="E215" i="23" s="1"/>
  <c r="E130" i="23"/>
  <c r="I182" i="18"/>
  <c r="J182" i="18"/>
  <c r="H141" i="23"/>
  <c r="H215" i="23" s="1"/>
  <c r="H130" i="23"/>
  <c r="O101" i="18"/>
  <c r="H214" i="23" l="1"/>
  <c r="H154" i="23"/>
  <c r="G214" i="23"/>
  <c r="G154" i="23"/>
  <c r="E214" i="23"/>
  <c r="E154" i="23"/>
  <c r="F214" i="23"/>
  <c r="F154" i="23"/>
  <c r="D215" i="23"/>
  <c r="D214" i="23"/>
  <c r="D7" i="18"/>
  <c r="A9" i="18"/>
  <c r="A10" i="18" s="1"/>
  <c r="A11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O14" i="18"/>
  <c r="O15" i="18"/>
  <c r="O16" i="18"/>
  <c r="O17" i="18"/>
  <c r="O19" i="18"/>
  <c r="O20" i="18"/>
  <c r="O21" i="18"/>
  <c r="E7" i="18" l="1"/>
  <c r="F7" i="18" s="1"/>
  <c r="E6" i="18"/>
  <c r="F6" i="18" s="1"/>
  <c r="G6" i="18" s="1"/>
  <c r="H6" i="18" s="1"/>
  <c r="I6" i="18" s="1"/>
  <c r="J6" i="18" s="1"/>
  <c r="K6" i="18" s="1"/>
  <c r="L6" i="18" s="1"/>
  <c r="M6" i="18" s="1"/>
  <c r="N6" i="18" s="1"/>
  <c r="A49" i="18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K8" i="18"/>
  <c r="H8" i="18"/>
  <c r="G8" i="18"/>
  <c r="L8" i="18"/>
  <c r="I8" i="18"/>
  <c r="F8" i="18"/>
  <c r="O18" i="18"/>
  <c r="O13" i="18"/>
  <c r="J8" i="18"/>
  <c r="M8" i="18"/>
  <c r="O11" i="18"/>
  <c r="AZ31" i="1"/>
  <c r="BA31" i="1" s="1"/>
  <c r="AZ30" i="1"/>
  <c r="AZ29" i="1"/>
  <c r="AZ28" i="1"/>
  <c r="AZ27" i="1"/>
  <c r="BA27" i="1" s="1"/>
  <c r="AZ26" i="1"/>
  <c r="AZ25" i="1"/>
  <c r="BA25" i="1" s="1"/>
  <c r="AZ24" i="1"/>
  <c r="BA24" i="1" s="1"/>
  <c r="AZ23" i="1"/>
  <c r="BA23" i="1" s="1"/>
  <c r="AZ22" i="1"/>
  <c r="AZ21" i="1"/>
  <c r="AZ20" i="1"/>
  <c r="BA20" i="1" s="1"/>
  <c r="AZ19" i="1"/>
  <c r="BA19" i="1" s="1"/>
  <c r="AZ18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Z11" i="1"/>
  <c r="Y17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BA30" i="1"/>
  <c r="BA29" i="1"/>
  <c r="BA28" i="1"/>
  <c r="BA26" i="1"/>
  <c r="BA22" i="1"/>
  <c r="BA21" i="1"/>
  <c r="BA18" i="1"/>
  <c r="G7" i="18" l="1"/>
  <c r="A79" i="18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E8" i="18"/>
  <c r="D8" i="18"/>
  <c r="H7" i="18" l="1"/>
  <c r="A139" i="18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C194" i="23"/>
  <c r="D45" i="27" s="1"/>
  <c r="D21" i="23"/>
  <c r="D24" i="23" s="1"/>
  <c r="C25" i="23"/>
  <c r="E224" i="23"/>
  <c r="C8" i="18"/>
  <c r="O8" i="18" s="1"/>
  <c r="O10" i="18"/>
  <c r="I7" i="18" l="1"/>
  <c r="D45" i="24"/>
  <c r="C66" i="23"/>
  <c r="D24" i="27" s="1"/>
  <c r="C26" i="23"/>
  <c r="E159" i="23"/>
  <c r="H227" i="23"/>
  <c r="F227" i="23"/>
  <c r="D230" i="23"/>
  <c r="E227" i="23"/>
  <c r="G227" i="23"/>
  <c r="E21" i="23"/>
  <c r="E24" i="23" s="1"/>
  <c r="F224" i="23"/>
  <c r="F159" i="23"/>
  <c r="H159" i="23"/>
  <c r="H224" i="23"/>
  <c r="G224" i="23"/>
  <c r="G159" i="23"/>
  <c r="J7" i="18" l="1"/>
  <c r="F37" i="24"/>
  <c r="F36" i="24"/>
  <c r="H37" i="24"/>
  <c r="G37" i="24"/>
  <c r="I37" i="24"/>
  <c r="I56" i="24" s="1"/>
  <c r="H36" i="24"/>
  <c r="G36" i="24"/>
  <c r="I36" i="24"/>
  <c r="I55" i="24" s="1"/>
  <c r="D24" i="24"/>
  <c r="D227" i="23"/>
  <c r="F21" i="23"/>
  <c r="F24" i="23" s="1"/>
  <c r="D224" i="23"/>
  <c r="D159" i="23"/>
  <c r="K7" i="18" l="1"/>
  <c r="I99" i="24"/>
  <c r="H56" i="24"/>
  <c r="I101" i="24"/>
  <c r="H86" i="24"/>
  <c r="H88" i="24"/>
  <c r="G55" i="24"/>
  <c r="G86" i="24"/>
  <c r="F55" i="24"/>
  <c r="G88" i="24"/>
  <c r="E37" i="24"/>
  <c r="E36" i="24"/>
  <c r="I86" i="24"/>
  <c r="I88" i="24"/>
  <c r="H55" i="24"/>
  <c r="H99" i="24"/>
  <c r="H101" i="24"/>
  <c r="G56" i="24"/>
  <c r="G101" i="24"/>
  <c r="F56" i="24"/>
  <c r="G99" i="24"/>
  <c r="G21" i="23"/>
  <c r="G24" i="23" s="1"/>
  <c r="L7" i="18" l="1"/>
  <c r="G95" i="24"/>
  <c r="G97" i="24"/>
  <c r="I82" i="24"/>
  <c r="I84" i="24"/>
  <c r="F99" i="24"/>
  <c r="F101" i="24"/>
  <c r="E56" i="24"/>
  <c r="H82" i="24"/>
  <c r="H84" i="24"/>
  <c r="I95" i="24"/>
  <c r="I97" i="24"/>
  <c r="H97" i="24"/>
  <c r="H95" i="24"/>
  <c r="F88" i="24"/>
  <c r="E55" i="24"/>
  <c r="F86" i="24"/>
  <c r="G82" i="24"/>
  <c r="G84" i="24"/>
  <c r="H21" i="23"/>
  <c r="H24" i="23" s="1"/>
  <c r="B18" i="14"/>
  <c r="R8" i="14"/>
  <c r="Q8" i="14"/>
  <c r="P8" i="14"/>
  <c r="O8" i="14"/>
  <c r="AP41" i="1"/>
  <c r="AR41" i="1" s="1"/>
  <c r="AG41" i="1"/>
  <c r="AI41" i="1" s="1"/>
  <c r="X41" i="1"/>
  <c r="Z41" i="1" s="1"/>
  <c r="Q41" i="1"/>
  <c r="P41" i="1" s="1"/>
  <c r="AZ87" i="1"/>
  <c r="AT87" i="1"/>
  <c r="AX87" i="1"/>
  <c r="AW87" i="1"/>
  <c r="AV87" i="1"/>
  <c r="AZ80" i="1"/>
  <c r="AT80" i="1"/>
  <c r="AX80" i="1"/>
  <c r="AW80" i="1"/>
  <c r="AV80" i="1"/>
  <c r="BA76" i="1"/>
  <c r="AZ76" i="1"/>
  <c r="AY76" i="1"/>
  <c r="AX76" i="1"/>
  <c r="AW76" i="1"/>
  <c r="AV76" i="1"/>
  <c r="AU76" i="1"/>
  <c r="AT76" i="1"/>
  <c r="BA63" i="1"/>
  <c r="AZ63" i="1"/>
  <c r="AY63" i="1"/>
  <c r="AX63" i="1"/>
  <c r="AW63" i="1"/>
  <c r="AV63" i="1"/>
  <c r="AU63" i="1"/>
  <c r="AT63" i="1"/>
  <c r="AZ53" i="1"/>
  <c r="AX53" i="1"/>
  <c r="AW53" i="1"/>
  <c r="AV53" i="1"/>
  <c r="AU53" i="1"/>
  <c r="AT53" i="1"/>
  <c r="AY52" i="1"/>
  <c r="BA52" i="1" s="1"/>
  <c r="AY51" i="1"/>
  <c r="BA51" i="1" s="1"/>
  <c r="AY50" i="1"/>
  <c r="BA50" i="1" s="1"/>
  <c r="AY49" i="1"/>
  <c r="BA49" i="1" s="1"/>
  <c r="AY48" i="1"/>
  <c r="BA48" i="1" s="1"/>
  <c r="AY47" i="1"/>
  <c r="BA47" i="1" s="1"/>
  <c r="AY46" i="1"/>
  <c r="BA46" i="1" s="1"/>
  <c r="AZ44" i="1"/>
  <c r="AX44" i="1"/>
  <c r="AW44" i="1"/>
  <c r="AV44" i="1"/>
  <c r="AU44" i="1"/>
  <c r="AT44" i="1"/>
  <c r="AY43" i="1"/>
  <c r="BA43" i="1" s="1"/>
  <c r="AY42" i="1"/>
  <c r="BA42" i="1" s="1"/>
  <c r="BA41" i="1"/>
  <c r="AY40" i="1"/>
  <c r="BA40" i="1" s="1"/>
  <c r="AY39" i="1"/>
  <c r="BA39" i="1" s="1"/>
  <c r="AY38" i="1"/>
  <c r="BA38" i="1" s="1"/>
  <c r="AY37" i="1"/>
  <c r="BA37" i="1" s="1"/>
  <c r="AY36" i="1"/>
  <c r="BA36" i="1" s="1"/>
  <c r="AY35" i="1"/>
  <c r="BA35" i="1" s="1"/>
  <c r="AY34" i="1"/>
  <c r="AZ32" i="1"/>
  <c r="AX32" i="1"/>
  <c r="AW32" i="1"/>
  <c r="AV32" i="1"/>
  <c r="AU32" i="1"/>
  <c r="BA13" i="1"/>
  <c r="AZ13" i="1"/>
  <c r="K89" i="1" s="1"/>
  <c r="AY13" i="1"/>
  <c r="AX13" i="1"/>
  <c r="AW13" i="1"/>
  <c r="AV13" i="1"/>
  <c r="AU13" i="1"/>
  <c r="AT13" i="1"/>
  <c r="M8" i="14"/>
  <c r="L8" i="14"/>
  <c r="K8" i="14"/>
  <c r="J8" i="14"/>
  <c r="M7" i="18" l="1"/>
  <c r="D100" i="23"/>
  <c r="F99" i="23"/>
  <c r="E101" i="23"/>
  <c r="D101" i="23"/>
  <c r="F100" i="23"/>
  <c r="G100" i="23"/>
  <c r="D99" i="23"/>
  <c r="F101" i="23"/>
  <c r="G101" i="23"/>
  <c r="E100" i="23"/>
  <c r="E99" i="23"/>
  <c r="H99" i="23"/>
  <c r="H100" i="23"/>
  <c r="H101" i="23"/>
  <c r="G99" i="23"/>
  <c r="F82" i="24"/>
  <c r="F84" i="24"/>
  <c r="F95" i="24"/>
  <c r="F97" i="24"/>
  <c r="G17" i="1"/>
  <c r="G88" i="1"/>
  <c r="G84" i="1"/>
  <c r="G80" i="1"/>
  <c r="G76" i="1"/>
  <c r="G72" i="1"/>
  <c r="G68" i="1"/>
  <c r="G64" i="1"/>
  <c r="G87" i="1"/>
  <c r="G83" i="1"/>
  <c r="G79" i="1"/>
  <c r="G75" i="1"/>
  <c r="G71" i="1"/>
  <c r="G67" i="1"/>
  <c r="G63" i="1"/>
  <c r="G25" i="1"/>
  <c r="G33" i="1"/>
  <c r="G37" i="1"/>
  <c r="G45" i="1"/>
  <c r="G53" i="1"/>
  <c r="G61" i="1"/>
  <c r="G77" i="1"/>
  <c r="G18" i="1"/>
  <c r="G22" i="1"/>
  <c r="G26" i="1"/>
  <c r="G30" i="1"/>
  <c r="G34" i="1"/>
  <c r="G38" i="1"/>
  <c r="G42" i="1"/>
  <c r="G46" i="1"/>
  <c r="G50" i="1"/>
  <c r="G54" i="1"/>
  <c r="G58" i="1"/>
  <c r="G62" i="1"/>
  <c r="G70" i="1"/>
  <c r="G78" i="1"/>
  <c r="G86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G19" i="1"/>
  <c r="G23" i="1"/>
  <c r="G27" i="1"/>
  <c r="G31" i="1"/>
  <c r="G35" i="1"/>
  <c r="G39" i="1"/>
  <c r="G43" i="1"/>
  <c r="G47" i="1"/>
  <c r="G51" i="1"/>
  <c r="G55" i="1"/>
  <c r="G59" i="1"/>
  <c r="G65" i="1"/>
  <c r="G73" i="1"/>
  <c r="G81" i="1"/>
  <c r="G89" i="1"/>
  <c r="K41" i="1"/>
  <c r="G21" i="1"/>
  <c r="G29" i="1"/>
  <c r="G41" i="1"/>
  <c r="G49" i="1"/>
  <c r="G57" i="1"/>
  <c r="G69" i="1"/>
  <c r="G85" i="1"/>
  <c r="G20" i="1"/>
  <c r="G24" i="1"/>
  <c r="G28" i="1"/>
  <c r="G32" i="1"/>
  <c r="G36" i="1"/>
  <c r="G40" i="1"/>
  <c r="G44" i="1"/>
  <c r="G48" i="1"/>
  <c r="G52" i="1"/>
  <c r="G56" i="1"/>
  <c r="G60" i="1"/>
  <c r="G66" i="1"/>
  <c r="G74" i="1"/>
  <c r="G82" i="1"/>
  <c r="AZ82" i="1"/>
  <c r="AZ89" i="1" s="1"/>
  <c r="AX82" i="1"/>
  <c r="AX89" i="1" s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AY53" i="1"/>
  <c r="BA53" i="1"/>
  <c r="AY44" i="1"/>
  <c r="AY86" i="1"/>
  <c r="BA86" i="1" s="1"/>
  <c r="BA34" i="1"/>
  <c r="BA44" i="1" s="1"/>
  <c r="AY84" i="1"/>
  <c r="AY85" i="1"/>
  <c r="BA85" i="1" s="1"/>
  <c r="AV82" i="1"/>
  <c r="AV89" i="1" s="1"/>
  <c r="AW82" i="1"/>
  <c r="AW89" i="1" s="1"/>
  <c r="AY79" i="1"/>
  <c r="BA79" i="1" s="1"/>
  <c r="BA80" i="1" s="1"/>
  <c r="AU80" i="1"/>
  <c r="AU82" i="1" s="1"/>
  <c r="AU87" i="1"/>
  <c r="AR13" i="1"/>
  <c r="AQ13" i="1"/>
  <c r="J41" i="1" s="1"/>
  <c r="AP13" i="1"/>
  <c r="AO13" i="1"/>
  <c r="AN13" i="1"/>
  <c r="AM13" i="1"/>
  <c r="AL13" i="1"/>
  <c r="AK13" i="1"/>
  <c r="E94" i="23" l="1"/>
  <c r="D94" i="23"/>
  <c r="F94" i="23"/>
  <c r="D93" i="23"/>
  <c r="H94" i="23"/>
  <c r="H95" i="23"/>
  <c r="D95" i="23"/>
  <c r="G95" i="23"/>
  <c r="F93" i="23"/>
  <c r="G93" i="23"/>
  <c r="G94" i="23"/>
  <c r="E95" i="23"/>
  <c r="F95" i="23"/>
  <c r="E93" i="23"/>
  <c r="H93" i="23"/>
  <c r="G103" i="23"/>
  <c r="G140" i="23" s="1"/>
  <c r="G230" i="23" s="1"/>
  <c r="H229" i="23" s="1"/>
  <c r="G202" i="23"/>
  <c r="G203" i="23"/>
  <c r="G102" i="23"/>
  <c r="G129" i="23" s="1"/>
  <c r="H226" i="23" s="1"/>
  <c r="H245" i="23" s="1"/>
  <c r="E202" i="23"/>
  <c r="E103" i="23"/>
  <c r="E140" i="23" s="1"/>
  <c r="E230" i="23" s="1"/>
  <c r="F229" i="23" s="1"/>
  <c r="E203" i="23"/>
  <c r="E102" i="23"/>
  <c r="E129" i="23" s="1"/>
  <c r="F226" i="23" s="1"/>
  <c r="F245" i="23" s="1"/>
  <c r="D202" i="23"/>
  <c r="D208" i="23" s="1"/>
  <c r="D203" i="23"/>
  <c r="D209" i="23" s="1"/>
  <c r="D103" i="23"/>
  <c r="D140" i="23" s="1"/>
  <c r="D102" i="23"/>
  <c r="D129" i="23" s="1"/>
  <c r="H102" i="23"/>
  <c r="H129" i="23" s="1"/>
  <c r="H203" i="23"/>
  <c r="H202" i="23"/>
  <c r="H103" i="23"/>
  <c r="H140" i="23" s="1"/>
  <c r="H230" i="23" s="1"/>
  <c r="F203" i="23"/>
  <c r="F202" i="23"/>
  <c r="F103" i="23"/>
  <c r="F140" i="23" s="1"/>
  <c r="F230" i="23" s="1"/>
  <c r="G229" i="23" s="1"/>
  <c r="F102" i="23"/>
  <c r="F129" i="23" s="1"/>
  <c r="G226" i="23" s="1"/>
  <c r="G245" i="23" s="1"/>
  <c r="N7" i="18"/>
  <c r="F81" i="23"/>
  <c r="D175" i="23"/>
  <c r="G79" i="23"/>
  <c r="H81" i="23"/>
  <c r="E175" i="23"/>
  <c r="D81" i="23"/>
  <c r="G80" i="23"/>
  <c r="F80" i="23"/>
  <c r="H80" i="23"/>
  <c r="E80" i="23"/>
  <c r="F175" i="23"/>
  <c r="E81" i="23"/>
  <c r="H175" i="23"/>
  <c r="D80" i="23"/>
  <c r="G175" i="23"/>
  <c r="H79" i="23"/>
  <c r="F79" i="23"/>
  <c r="D79" i="23"/>
  <c r="G81" i="23"/>
  <c r="E79" i="23"/>
  <c r="F88" i="1"/>
  <c r="F22" i="1"/>
  <c r="F41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AY87" i="1"/>
  <c r="BA84" i="1"/>
  <c r="BA87" i="1" s="1"/>
  <c r="AY80" i="1"/>
  <c r="F28" i="1"/>
  <c r="F45" i="1"/>
  <c r="F61" i="1"/>
  <c r="F77" i="1"/>
  <c r="F19" i="1"/>
  <c r="F32" i="1"/>
  <c r="F49" i="1"/>
  <c r="F65" i="1"/>
  <c r="F81" i="1"/>
  <c r="F20" i="1"/>
  <c r="F36" i="1"/>
  <c r="F53" i="1"/>
  <c r="F69" i="1"/>
  <c r="F85" i="1"/>
  <c r="F24" i="1"/>
  <c r="F40" i="1"/>
  <c r="F57" i="1"/>
  <c r="F73" i="1"/>
  <c r="F89" i="1"/>
  <c r="F17" i="1"/>
  <c r="F21" i="1"/>
  <c r="F25" i="1"/>
  <c r="F29" i="1"/>
  <c r="F33" i="1"/>
  <c r="F37" i="1"/>
  <c r="F42" i="1"/>
  <c r="F46" i="1"/>
  <c r="F50" i="1"/>
  <c r="F54" i="1"/>
  <c r="F58" i="1"/>
  <c r="F62" i="1"/>
  <c r="F66" i="1"/>
  <c r="F70" i="1"/>
  <c r="F74" i="1"/>
  <c r="F78" i="1"/>
  <c r="F82" i="1"/>
  <c r="F86" i="1"/>
  <c r="F18" i="1"/>
  <c r="F26" i="1"/>
  <c r="F30" i="1"/>
  <c r="F34" i="1"/>
  <c r="F38" i="1"/>
  <c r="F43" i="1"/>
  <c r="F47" i="1"/>
  <c r="F51" i="1"/>
  <c r="F55" i="1"/>
  <c r="F59" i="1"/>
  <c r="F63" i="1"/>
  <c r="F67" i="1"/>
  <c r="F71" i="1"/>
  <c r="F75" i="1"/>
  <c r="F79" i="1"/>
  <c r="F83" i="1"/>
  <c r="F87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F23" i="1"/>
  <c r="F27" i="1"/>
  <c r="F31" i="1"/>
  <c r="F35" i="1"/>
  <c r="F39" i="1"/>
  <c r="F44" i="1"/>
  <c r="F48" i="1"/>
  <c r="F52" i="1"/>
  <c r="F56" i="1"/>
  <c r="F60" i="1"/>
  <c r="F64" i="1"/>
  <c r="F68" i="1"/>
  <c r="F72" i="1"/>
  <c r="F76" i="1"/>
  <c r="F80" i="1"/>
  <c r="F84" i="1"/>
  <c r="AQ87" i="1"/>
  <c r="AN87" i="1"/>
  <c r="AK87" i="1"/>
  <c r="AP86" i="1"/>
  <c r="AR86" i="1" s="1"/>
  <c r="AP85" i="1"/>
  <c r="AR85" i="1" s="1"/>
  <c r="AO87" i="1"/>
  <c r="AM87" i="1"/>
  <c r="AP84" i="1"/>
  <c r="AQ80" i="1"/>
  <c r="AL80" i="1"/>
  <c r="AK80" i="1"/>
  <c r="AO80" i="1"/>
  <c r="AN80" i="1"/>
  <c r="AM80" i="1"/>
  <c r="AP79" i="1"/>
  <c r="AQ76" i="1"/>
  <c r="AO76" i="1"/>
  <c r="AN76" i="1"/>
  <c r="AM76" i="1"/>
  <c r="AK76" i="1"/>
  <c r="AP75" i="1"/>
  <c r="AR75" i="1" s="1"/>
  <c r="AP74" i="1"/>
  <c r="AR74" i="1" s="1"/>
  <c r="AL73" i="1"/>
  <c r="AP73" i="1" s="1"/>
  <c r="AR73" i="1" s="1"/>
  <c r="AL72" i="1"/>
  <c r="AP72" i="1" s="1"/>
  <c r="AR72" i="1" s="1"/>
  <c r="AL71" i="1"/>
  <c r="AP70" i="1"/>
  <c r="AR70" i="1" s="1"/>
  <c r="AP69" i="1"/>
  <c r="AR69" i="1" s="1"/>
  <c r="AP68" i="1"/>
  <c r="AR68" i="1" s="1"/>
  <c r="AP67" i="1"/>
  <c r="AR67" i="1" s="1"/>
  <c r="AP66" i="1"/>
  <c r="AR66" i="1" s="1"/>
  <c r="AQ63" i="1"/>
  <c r="AO63" i="1"/>
  <c r="AN63" i="1"/>
  <c r="AM63" i="1"/>
  <c r="AL63" i="1"/>
  <c r="AK63" i="1"/>
  <c r="AP62" i="1"/>
  <c r="AR62" i="1" s="1"/>
  <c r="AP61" i="1"/>
  <c r="AR61" i="1" s="1"/>
  <c r="AP60" i="1"/>
  <c r="AR60" i="1" s="1"/>
  <c r="AP59" i="1"/>
  <c r="AR59" i="1" s="1"/>
  <c r="AP58" i="1"/>
  <c r="AR58" i="1" s="1"/>
  <c r="AP57" i="1"/>
  <c r="AR57" i="1" s="1"/>
  <c r="AP56" i="1"/>
  <c r="AP55" i="1"/>
  <c r="AR55" i="1" s="1"/>
  <c r="AQ53" i="1"/>
  <c r="AO53" i="1"/>
  <c r="AN53" i="1"/>
  <c r="AM53" i="1"/>
  <c r="AL53" i="1"/>
  <c r="AK53" i="1"/>
  <c r="AP52" i="1"/>
  <c r="AR52" i="1" s="1"/>
  <c r="AP51" i="1"/>
  <c r="AR51" i="1" s="1"/>
  <c r="AP50" i="1"/>
  <c r="AR50" i="1" s="1"/>
  <c r="AP49" i="1"/>
  <c r="AR49" i="1" s="1"/>
  <c r="AP48" i="1"/>
  <c r="AR48" i="1" s="1"/>
  <c r="AP47" i="1"/>
  <c r="AR47" i="1" s="1"/>
  <c r="AP46" i="1"/>
  <c r="AQ44" i="1"/>
  <c r="AO44" i="1"/>
  <c r="AN44" i="1"/>
  <c r="AM44" i="1"/>
  <c r="AL44" i="1"/>
  <c r="AK44" i="1"/>
  <c r="AP43" i="1"/>
  <c r="AR43" i="1" s="1"/>
  <c r="AP42" i="1"/>
  <c r="AR42" i="1" s="1"/>
  <c r="AP40" i="1"/>
  <c r="AR40" i="1" s="1"/>
  <c r="AP39" i="1"/>
  <c r="AR39" i="1" s="1"/>
  <c r="AP38" i="1"/>
  <c r="AR38" i="1" s="1"/>
  <c r="AP37" i="1"/>
  <c r="AR37" i="1" s="1"/>
  <c r="AP36" i="1"/>
  <c r="AR36" i="1" s="1"/>
  <c r="AP35" i="1"/>
  <c r="AR35" i="1" s="1"/>
  <c r="AP34" i="1"/>
  <c r="AQ32" i="1"/>
  <c r="AO32" i="1"/>
  <c r="AN32" i="1"/>
  <c r="AM32" i="1"/>
  <c r="AL32" i="1"/>
  <c r="AI13" i="1"/>
  <c r="AH13" i="1"/>
  <c r="I41" i="1" s="1"/>
  <c r="AG13" i="1"/>
  <c r="E41" i="1" s="1"/>
  <c r="AF13" i="1"/>
  <c r="AE13" i="1"/>
  <c r="AD13" i="1"/>
  <c r="AC13" i="1"/>
  <c r="AB13" i="1"/>
  <c r="AH87" i="1"/>
  <c r="AF87" i="1"/>
  <c r="AE87" i="1"/>
  <c r="AD87" i="1"/>
  <c r="AC87" i="1"/>
  <c r="AB87" i="1"/>
  <c r="AG86" i="1"/>
  <c r="AI86" i="1" s="1"/>
  <c r="AG85" i="1"/>
  <c r="AI85" i="1" s="1"/>
  <c r="AG84" i="1"/>
  <c r="AI84" i="1" s="1"/>
  <c r="AH80" i="1"/>
  <c r="AF80" i="1"/>
  <c r="AE80" i="1"/>
  <c r="AD80" i="1"/>
  <c r="AC80" i="1"/>
  <c r="AB80" i="1"/>
  <c r="AG79" i="1"/>
  <c r="AI79" i="1" s="1"/>
  <c r="AI80" i="1" s="1"/>
  <c r="AH76" i="1"/>
  <c r="AF76" i="1"/>
  <c r="AE76" i="1"/>
  <c r="AD76" i="1"/>
  <c r="AC76" i="1"/>
  <c r="AB76" i="1"/>
  <c r="AG75" i="1"/>
  <c r="AI75" i="1" s="1"/>
  <c r="AG74" i="1"/>
  <c r="AI74" i="1" s="1"/>
  <c r="AG73" i="1"/>
  <c r="AI73" i="1" s="1"/>
  <c r="AG72" i="1"/>
  <c r="AI72" i="1" s="1"/>
  <c r="AG71" i="1"/>
  <c r="AI71" i="1" s="1"/>
  <c r="AG70" i="1"/>
  <c r="AI70" i="1" s="1"/>
  <c r="AG69" i="1"/>
  <c r="AI69" i="1" s="1"/>
  <c r="AG68" i="1"/>
  <c r="AI68" i="1" s="1"/>
  <c r="AG67" i="1"/>
  <c r="AI67" i="1" s="1"/>
  <c r="AG66" i="1"/>
  <c r="AH63" i="1"/>
  <c r="AF63" i="1"/>
  <c r="AE63" i="1"/>
  <c r="AD63" i="1"/>
  <c r="AC63" i="1"/>
  <c r="AB63" i="1"/>
  <c r="AG62" i="1"/>
  <c r="AI62" i="1" s="1"/>
  <c r="AG61" i="1"/>
  <c r="AI61" i="1" s="1"/>
  <c r="AG60" i="1"/>
  <c r="AI60" i="1" s="1"/>
  <c r="AG59" i="1"/>
  <c r="AI59" i="1" s="1"/>
  <c r="AG58" i="1"/>
  <c r="AI58" i="1" s="1"/>
  <c r="AG57" i="1"/>
  <c r="AI57" i="1" s="1"/>
  <c r="AG56" i="1"/>
  <c r="AI56" i="1" s="1"/>
  <c r="AG55" i="1"/>
  <c r="AH53" i="1"/>
  <c r="AF53" i="1"/>
  <c r="AE53" i="1"/>
  <c r="AD53" i="1"/>
  <c r="AC53" i="1"/>
  <c r="AB53" i="1"/>
  <c r="AG52" i="1"/>
  <c r="AI52" i="1" s="1"/>
  <c r="AG51" i="1"/>
  <c r="AI51" i="1" s="1"/>
  <c r="AG50" i="1"/>
  <c r="AI50" i="1" s="1"/>
  <c r="AG49" i="1"/>
  <c r="AI49" i="1" s="1"/>
  <c r="AG48" i="1"/>
  <c r="AI48" i="1" s="1"/>
  <c r="AG47" i="1"/>
  <c r="AI47" i="1" s="1"/>
  <c r="AG46" i="1"/>
  <c r="AI46" i="1" s="1"/>
  <c r="AH44" i="1"/>
  <c r="AF44" i="1"/>
  <c r="AE44" i="1"/>
  <c r="AD44" i="1"/>
  <c r="AC44" i="1"/>
  <c r="AB44" i="1"/>
  <c r="AG43" i="1"/>
  <c r="AI43" i="1" s="1"/>
  <c r="AG42" i="1"/>
  <c r="AI42" i="1" s="1"/>
  <c r="AG40" i="1"/>
  <c r="AI40" i="1" s="1"/>
  <c r="AG39" i="1"/>
  <c r="AI39" i="1" s="1"/>
  <c r="AG38" i="1"/>
  <c r="AI38" i="1" s="1"/>
  <c r="AG37" i="1"/>
  <c r="AI37" i="1" s="1"/>
  <c r="AG36" i="1"/>
  <c r="AI36" i="1" s="1"/>
  <c r="AG35" i="1"/>
  <c r="AI35" i="1" s="1"/>
  <c r="AG34" i="1"/>
  <c r="AI34" i="1" s="1"/>
  <c r="AH32" i="1"/>
  <c r="AF32" i="1"/>
  <c r="AE32" i="1"/>
  <c r="AD32" i="1"/>
  <c r="AC32" i="1"/>
  <c r="P33" i="1"/>
  <c r="B29" i="14"/>
  <c r="P89" i="1"/>
  <c r="P88" i="1"/>
  <c r="P87" i="1"/>
  <c r="P86" i="1"/>
  <c r="P85" i="1"/>
  <c r="P84" i="1"/>
  <c r="P83" i="1"/>
  <c r="P82" i="1"/>
  <c r="P81" i="1"/>
  <c r="P78" i="1"/>
  <c r="P77" i="1"/>
  <c r="P65" i="1"/>
  <c r="P64" i="1"/>
  <c r="P54" i="1"/>
  <c r="P45" i="1"/>
  <c r="B86" i="14"/>
  <c r="B83" i="14"/>
  <c r="B82" i="14"/>
  <c r="B81" i="14"/>
  <c r="B79" i="14"/>
  <c r="B77" i="14"/>
  <c r="B76" i="14"/>
  <c r="B73" i="14"/>
  <c r="B72" i="14"/>
  <c r="B71" i="14"/>
  <c r="B70" i="14"/>
  <c r="B69" i="14"/>
  <c r="B68" i="14"/>
  <c r="B67" i="14"/>
  <c r="B66" i="14"/>
  <c r="B65" i="14"/>
  <c r="B64" i="14"/>
  <c r="B63" i="14"/>
  <c r="B49" i="14"/>
  <c r="B48" i="14"/>
  <c r="B47" i="14"/>
  <c r="B46" i="14"/>
  <c r="B45" i="14"/>
  <c r="B44" i="14"/>
  <c r="B43" i="14"/>
  <c r="B42" i="14"/>
  <c r="B39" i="14"/>
  <c r="B38" i="14"/>
  <c r="B37" i="14"/>
  <c r="B36" i="14"/>
  <c r="B35" i="14"/>
  <c r="B34" i="14"/>
  <c r="B33" i="14"/>
  <c r="B32" i="14"/>
  <c r="B31" i="14"/>
  <c r="B30" i="14"/>
  <c r="B27" i="14"/>
  <c r="B26" i="14"/>
  <c r="B25" i="14"/>
  <c r="B24" i="14"/>
  <c r="B23" i="14"/>
  <c r="B22" i="14"/>
  <c r="B21" i="14"/>
  <c r="B20" i="14"/>
  <c r="B19" i="14"/>
  <c r="B17" i="14"/>
  <c r="B16" i="14"/>
  <c r="B15" i="14"/>
  <c r="B14" i="14"/>
  <c r="B13" i="14"/>
  <c r="B12" i="14"/>
  <c r="Q80" i="1"/>
  <c r="P80" i="1" s="1"/>
  <c r="Q79" i="1"/>
  <c r="P79" i="1" s="1"/>
  <c r="Q76" i="1"/>
  <c r="P76" i="1" s="1"/>
  <c r="Q75" i="1"/>
  <c r="P75" i="1" s="1"/>
  <c r="Q74" i="1"/>
  <c r="P74" i="1" s="1"/>
  <c r="Q73" i="1"/>
  <c r="P73" i="1" s="1"/>
  <c r="Q72" i="1"/>
  <c r="P72" i="1" s="1"/>
  <c r="Q71" i="1"/>
  <c r="P71" i="1" s="1"/>
  <c r="Q70" i="1"/>
  <c r="P70" i="1" s="1"/>
  <c r="Q69" i="1"/>
  <c r="P69" i="1" s="1"/>
  <c r="Q68" i="1"/>
  <c r="P68" i="1" s="1"/>
  <c r="Q67" i="1"/>
  <c r="P67" i="1" s="1"/>
  <c r="Q66" i="1"/>
  <c r="P66" i="1" s="1"/>
  <c r="Q63" i="1"/>
  <c r="P63" i="1" s="1"/>
  <c r="Q62" i="1"/>
  <c r="P62" i="1" s="1"/>
  <c r="Q61" i="1"/>
  <c r="P61" i="1" s="1"/>
  <c r="Q60" i="1"/>
  <c r="P60" i="1" s="1"/>
  <c r="Q59" i="1"/>
  <c r="P59" i="1" s="1"/>
  <c r="Q58" i="1"/>
  <c r="P58" i="1" s="1"/>
  <c r="Q57" i="1"/>
  <c r="P57" i="1" s="1"/>
  <c r="Q56" i="1"/>
  <c r="P56" i="1" s="1"/>
  <c r="Q55" i="1"/>
  <c r="P55" i="1" s="1"/>
  <c r="Q53" i="1"/>
  <c r="P53" i="1" s="1"/>
  <c r="Q52" i="1"/>
  <c r="P52" i="1" s="1"/>
  <c r="Q51" i="1"/>
  <c r="P51" i="1" s="1"/>
  <c r="Q50" i="1"/>
  <c r="P50" i="1" s="1"/>
  <c r="Q49" i="1"/>
  <c r="P49" i="1" s="1"/>
  <c r="Q48" i="1"/>
  <c r="P48" i="1" s="1"/>
  <c r="Q47" i="1"/>
  <c r="P47" i="1" s="1"/>
  <c r="Q46" i="1"/>
  <c r="P46" i="1" s="1"/>
  <c r="Q44" i="1"/>
  <c r="P44" i="1" s="1"/>
  <c r="Q43" i="1"/>
  <c r="P43" i="1" s="1"/>
  <c r="Q42" i="1"/>
  <c r="P42" i="1" s="1"/>
  <c r="Q40" i="1"/>
  <c r="P40" i="1" s="1"/>
  <c r="Q39" i="1"/>
  <c r="P39" i="1" s="1"/>
  <c r="Q38" i="1"/>
  <c r="P38" i="1" s="1"/>
  <c r="Q37" i="1"/>
  <c r="P37" i="1" s="1"/>
  <c r="Q36" i="1"/>
  <c r="P36" i="1" s="1"/>
  <c r="Q35" i="1"/>
  <c r="P35" i="1" s="1"/>
  <c r="Q34" i="1"/>
  <c r="P34" i="1" s="1"/>
  <c r="Q32" i="1"/>
  <c r="P32" i="1" s="1"/>
  <c r="Q31" i="1"/>
  <c r="P31" i="1" s="1"/>
  <c r="Q30" i="1"/>
  <c r="P30" i="1" s="1"/>
  <c r="Q29" i="1"/>
  <c r="P29" i="1" s="1"/>
  <c r="Q28" i="1"/>
  <c r="P28" i="1" s="1"/>
  <c r="Q27" i="1"/>
  <c r="P27" i="1" s="1"/>
  <c r="Q26" i="1"/>
  <c r="P26" i="1" s="1"/>
  <c r="Q25" i="1"/>
  <c r="P25" i="1" s="1"/>
  <c r="Q24" i="1"/>
  <c r="P24" i="1" s="1"/>
  <c r="Q23" i="1"/>
  <c r="P23" i="1" s="1"/>
  <c r="Q22" i="1"/>
  <c r="P22" i="1" s="1"/>
  <c r="Q21" i="1"/>
  <c r="P21" i="1" s="1"/>
  <c r="Q20" i="1"/>
  <c r="P20" i="1" s="1"/>
  <c r="Q19" i="1"/>
  <c r="P19" i="1" s="1"/>
  <c r="Q18" i="1"/>
  <c r="P18" i="1" s="1"/>
  <c r="Q17" i="1"/>
  <c r="P17" i="1" s="1"/>
  <c r="H8" i="14"/>
  <c r="G8" i="14"/>
  <c r="F8" i="14"/>
  <c r="E8" i="14"/>
  <c r="D8" i="14"/>
  <c r="F96" i="23" l="1"/>
  <c r="F98" i="23" s="1"/>
  <c r="F201" i="23" s="1"/>
  <c r="E209" i="23"/>
  <c r="D96" i="23"/>
  <c r="D98" i="23" s="1"/>
  <c r="E96" i="23"/>
  <c r="E98" i="23" s="1"/>
  <c r="G96" i="23"/>
  <c r="G98" i="23" s="1"/>
  <c r="H96" i="23"/>
  <c r="H98" i="23" s="1"/>
  <c r="F94" i="27"/>
  <c r="F96" i="27"/>
  <c r="D146" i="23"/>
  <c r="E229" i="23"/>
  <c r="D135" i="23"/>
  <c r="D153" i="23" s="1"/>
  <c r="E226" i="23"/>
  <c r="E245" i="23" s="1"/>
  <c r="F209" i="23"/>
  <c r="G209" i="23" s="1"/>
  <c r="H209" i="23" s="1"/>
  <c r="D86" i="23"/>
  <c r="D85" i="23"/>
  <c r="E83" i="23" s="1"/>
  <c r="D181" i="23"/>
  <c r="E179" i="23" s="1"/>
  <c r="D180" i="23"/>
  <c r="E178" i="23" s="1"/>
  <c r="D197" i="23"/>
  <c r="E46" i="27" s="1"/>
  <c r="E208" i="23"/>
  <c r="E49" i="24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R22" i="14"/>
  <c r="R17" i="14"/>
  <c r="R13" i="14"/>
  <c r="R26" i="14"/>
  <c r="R19" i="14"/>
  <c r="R15" i="14"/>
  <c r="R20" i="14"/>
  <c r="R24" i="14"/>
  <c r="M30" i="14"/>
  <c r="M48" i="14"/>
  <c r="M42" i="14"/>
  <c r="R18" i="14"/>
  <c r="R16" i="14"/>
  <c r="R21" i="14"/>
  <c r="R25" i="14"/>
  <c r="M45" i="14"/>
  <c r="M73" i="14"/>
  <c r="F11" i="16" s="1"/>
  <c r="M82" i="14"/>
  <c r="M66" i="14"/>
  <c r="M70" i="14"/>
  <c r="L18" i="14"/>
  <c r="M39" i="14"/>
  <c r="M36" i="14"/>
  <c r="R14" i="14"/>
  <c r="R23" i="14"/>
  <c r="M37" i="14"/>
  <c r="M43" i="14"/>
  <c r="M67" i="14"/>
  <c r="L49" i="14"/>
  <c r="L70" i="14"/>
  <c r="L82" i="14"/>
  <c r="M18" i="14"/>
  <c r="L45" i="14"/>
  <c r="L66" i="14"/>
  <c r="M86" i="14"/>
  <c r="L83" i="14"/>
  <c r="M79" i="14"/>
  <c r="P77" i="14"/>
  <c r="R77" i="14"/>
  <c r="R83" i="14"/>
  <c r="P83" i="14"/>
  <c r="Q83" i="14"/>
  <c r="R39" i="14"/>
  <c r="R49" i="14"/>
  <c r="R73" i="14"/>
  <c r="D19" i="20" s="1"/>
  <c r="R81" i="14"/>
  <c r="P81" i="14"/>
  <c r="L76" i="14"/>
  <c r="M83" i="14"/>
  <c r="M77" i="14"/>
  <c r="L60" i="14"/>
  <c r="M60" i="14"/>
  <c r="C259" i="23" s="1"/>
  <c r="R60" i="14"/>
  <c r="C258" i="23" s="1"/>
  <c r="P76" i="14"/>
  <c r="R76" i="14"/>
  <c r="P82" i="14"/>
  <c r="Q82" i="14"/>
  <c r="R82" i="14"/>
  <c r="L39" i="14"/>
  <c r="E10" i="16" s="1"/>
  <c r="L73" i="14"/>
  <c r="L77" i="14"/>
  <c r="L81" i="14"/>
  <c r="M49" i="14"/>
  <c r="M76" i="14"/>
  <c r="M81" i="14"/>
  <c r="L32" i="14"/>
  <c r="L36" i="14"/>
  <c r="L12" i="14"/>
  <c r="Q63" i="14"/>
  <c r="R63" i="14"/>
  <c r="M63" i="14"/>
  <c r="Q64" i="14"/>
  <c r="R64" i="14"/>
  <c r="P64" i="14"/>
  <c r="R68" i="14"/>
  <c r="P68" i="14"/>
  <c r="R72" i="14"/>
  <c r="Q72" i="14"/>
  <c r="P72" i="14"/>
  <c r="L63" i="14"/>
  <c r="L67" i="14"/>
  <c r="L71" i="14"/>
  <c r="M68" i="14"/>
  <c r="Q71" i="14"/>
  <c r="P71" i="14"/>
  <c r="R71" i="14"/>
  <c r="R65" i="14"/>
  <c r="P65" i="14"/>
  <c r="Q65" i="14"/>
  <c r="R69" i="14"/>
  <c r="P69" i="14"/>
  <c r="Q69" i="14"/>
  <c r="L64" i="14"/>
  <c r="L68" i="14"/>
  <c r="L72" i="14"/>
  <c r="M65" i="14"/>
  <c r="M71" i="14"/>
  <c r="Q67" i="14"/>
  <c r="P67" i="14"/>
  <c r="R67" i="14"/>
  <c r="P66" i="14"/>
  <c r="R66" i="14"/>
  <c r="Q66" i="14"/>
  <c r="R70" i="14"/>
  <c r="P70" i="14"/>
  <c r="Q70" i="14"/>
  <c r="L65" i="14"/>
  <c r="L69" i="14"/>
  <c r="M69" i="14"/>
  <c r="M72" i="14"/>
  <c r="M64" i="14"/>
  <c r="R52" i="14"/>
  <c r="L52" i="14"/>
  <c r="Q52" i="14"/>
  <c r="M52" i="14"/>
  <c r="R56" i="14"/>
  <c r="P56" i="14"/>
  <c r="L56" i="14"/>
  <c r="M56" i="14"/>
  <c r="Q56" i="14"/>
  <c r="Q59" i="14"/>
  <c r="M59" i="14"/>
  <c r="R59" i="14"/>
  <c r="P59" i="14"/>
  <c r="L59" i="14"/>
  <c r="R53" i="14"/>
  <c r="P53" i="14"/>
  <c r="L53" i="14"/>
  <c r="M53" i="14"/>
  <c r="R57" i="14"/>
  <c r="Q57" i="14"/>
  <c r="M57" i="14"/>
  <c r="P57" i="14"/>
  <c r="L57" i="14"/>
  <c r="Q55" i="14"/>
  <c r="M55" i="14"/>
  <c r="R55" i="14"/>
  <c r="P55" i="14"/>
  <c r="L55" i="14"/>
  <c r="M54" i="14"/>
  <c r="Q54" i="14"/>
  <c r="R54" i="14"/>
  <c r="P54" i="14"/>
  <c r="L54" i="14"/>
  <c r="M58" i="14"/>
  <c r="Q58" i="14"/>
  <c r="R58" i="14"/>
  <c r="P58" i="14"/>
  <c r="L58" i="14"/>
  <c r="R44" i="14"/>
  <c r="P44" i="14"/>
  <c r="Q44" i="14"/>
  <c r="R48" i="14"/>
  <c r="P48" i="14"/>
  <c r="Q48" i="14"/>
  <c r="L42" i="14"/>
  <c r="L46" i="14"/>
  <c r="P43" i="14"/>
  <c r="Q43" i="14"/>
  <c r="R43" i="14"/>
  <c r="P47" i="14"/>
  <c r="Q47" i="14"/>
  <c r="R47" i="14"/>
  <c r="P45" i="14"/>
  <c r="R45" i="14"/>
  <c r="Q45" i="14"/>
  <c r="L43" i="14"/>
  <c r="L47" i="14"/>
  <c r="M47" i="14"/>
  <c r="P42" i="14"/>
  <c r="R42" i="14"/>
  <c r="P46" i="14"/>
  <c r="Q46" i="14"/>
  <c r="R46" i="14"/>
  <c r="L44" i="14"/>
  <c r="L48" i="14"/>
  <c r="M46" i="14"/>
  <c r="M44" i="14"/>
  <c r="R30" i="14"/>
  <c r="P30" i="14"/>
  <c r="Q34" i="14"/>
  <c r="R34" i="14"/>
  <c r="P34" i="14"/>
  <c r="R38" i="14"/>
  <c r="Q38" i="14"/>
  <c r="P38" i="14"/>
  <c r="L33" i="14"/>
  <c r="L37" i="14"/>
  <c r="M34" i="14"/>
  <c r="P33" i="14"/>
  <c r="Q33" i="14"/>
  <c r="R33" i="14"/>
  <c r="P37" i="14"/>
  <c r="Q37" i="14"/>
  <c r="R37" i="14"/>
  <c r="P31" i="14"/>
  <c r="R31" i="14"/>
  <c r="Q31" i="14"/>
  <c r="R35" i="14"/>
  <c r="P35" i="14"/>
  <c r="Q35" i="14"/>
  <c r="L30" i="14"/>
  <c r="L34" i="14"/>
  <c r="L38" i="14"/>
  <c r="M35" i="14"/>
  <c r="M38" i="14"/>
  <c r="P32" i="14"/>
  <c r="R32" i="14"/>
  <c r="Q32" i="14"/>
  <c r="P36" i="14"/>
  <c r="Q36" i="14"/>
  <c r="R36" i="14"/>
  <c r="L31" i="14"/>
  <c r="L35" i="14"/>
  <c r="M32" i="14"/>
  <c r="M33" i="14"/>
  <c r="M31" i="14"/>
  <c r="M12" i="14"/>
  <c r="M13" i="14"/>
  <c r="L13" i="14"/>
  <c r="M17" i="14"/>
  <c r="L17" i="14"/>
  <c r="L22" i="14"/>
  <c r="M22" i="14"/>
  <c r="L26" i="14"/>
  <c r="M26" i="14"/>
  <c r="M14" i="14"/>
  <c r="L14" i="14"/>
  <c r="L19" i="14"/>
  <c r="M19" i="14"/>
  <c r="L23" i="14"/>
  <c r="M23" i="14"/>
  <c r="M27" i="14"/>
  <c r="L27" i="14"/>
  <c r="L15" i="14"/>
  <c r="M15" i="14"/>
  <c r="M20" i="14"/>
  <c r="L20" i="14"/>
  <c r="M24" i="14"/>
  <c r="L24" i="14"/>
  <c r="M16" i="14"/>
  <c r="L16" i="14"/>
  <c r="M21" i="14"/>
  <c r="L21" i="14"/>
  <c r="M25" i="14"/>
  <c r="L25" i="14"/>
  <c r="AF82" i="1"/>
  <c r="AF89" i="1" s="1"/>
  <c r="E89" i="1"/>
  <c r="AP63" i="1"/>
  <c r="G60" i="14" s="1"/>
  <c r="AL76" i="1"/>
  <c r="AL82" i="1" s="1"/>
  <c r="AO82" i="1"/>
  <c r="AO89" i="1" s="1"/>
  <c r="I89" i="1"/>
  <c r="I88" i="1"/>
  <c r="I87" i="1"/>
  <c r="I86" i="1"/>
  <c r="K83" i="14" s="1"/>
  <c r="I85" i="1"/>
  <c r="K82" i="14" s="1"/>
  <c r="I84" i="1"/>
  <c r="K81" i="14" s="1"/>
  <c r="I83" i="1"/>
  <c r="I82" i="1"/>
  <c r="I81" i="1"/>
  <c r="I80" i="1"/>
  <c r="K77" i="14" s="1"/>
  <c r="I79" i="1"/>
  <c r="K76" i="14" s="1"/>
  <c r="I78" i="1"/>
  <c r="I77" i="1"/>
  <c r="I76" i="1"/>
  <c r="K73" i="14" s="1"/>
  <c r="I75" i="1"/>
  <c r="K72" i="14" s="1"/>
  <c r="I74" i="1"/>
  <c r="K71" i="14" s="1"/>
  <c r="I73" i="1"/>
  <c r="K70" i="14" s="1"/>
  <c r="I72" i="1"/>
  <c r="K69" i="14" s="1"/>
  <c r="I71" i="1"/>
  <c r="K68" i="14" s="1"/>
  <c r="I70" i="1"/>
  <c r="K67" i="14" s="1"/>
  <c r="I69" i="1"/>
  <c r="K66" i="14" s="1"/>
  <c r="I68" i="1"/>
  <c r="K65" i="14" s="1"/>
  <c r="I67" i="1"/>
  <c r="K64" i="14" s="1"/>
  <c r="I66" i="1"/>
  <c r="K63" i="14" s="1"/>
  <c r="I65" i="1"/>
  <c r="I64" i="1"/>
  <c r="I63" i="1"/>
  <c r="K60" i="14" s="1"/>
  <c r="I62" i="1"/>
  <c r="K59" i="14" s="1"/>
  <c r="I61" i="1"/>
  <c r="K58" i="14" s="1"/>
  <c r="I60" i="1"/>
  <c r="K57" i="14" s="1"/>
  <c r="I59" i="1"/>
  <c r="K56" i="14" s="1"/>
  <c r="I58" i="1"/>
  <c r="K55" i="14" s="1"/>
  <c r="I57" i="1"/>
  <c r="K54" i="14" s="1"/>
  <c r="I56" i="1"/>
  <c r="K53" i="14" s="1"/>
  <c r="I55" i="1"/>
  <c r="K52" i="14" s="1"/>
  <c r="I54" i="1"/>
  <c r="I53" i="1"/>
  <c r="K49" i="14" s="1"/>
  <c r="I52" i="1"/>
  <c r="K48" i="14" s="1"/>
  <c r="I51" i="1"/>
  <c r="K47" i="14" s="1"/>
  <c r="I50" i="1"/>
  <c r="K46" i="14" s="1"/>
  <c r="I49" i="1"/>
  <c r="K45" i="14" s="1"/>
  <c r="I48" i="1"/>
  <c r="K44" i="14" s="1"/>
  <c r="I47" i="1"/>
  <c r="K43" i="14" s="1"/>
  <c r="I46" i="1"/>
  <c r="K42" i="14" s="1"/>
  <c r="I45" i="1"/>
  <c r="I44" i="1"/>
  <c r="K39" i="14" s="1"/>
  <c r="E9" i="16" s="1"/>
  <c r="I43" i="1"/>
  <c r="K38" i="14" s="1"/>
  <c r="I42" i="1"/>
  <c r="K37" i="14" s="1"/>
  <c r="I40" i="1"/>
  <c r="K36" i="14" s="1"/>
  <c r="I39" i="1"/>
  <c r="K35" i="14" s="1"/>
  <c r="I38" i="1"/>
  <c r="K34" i="14" s="1"/>
  <c r="I37" i="1"/>
  <c r="K33" i="14" s="1"/>
  <c r="I36" i="1"/>
  <c r="K32" i="14" s="1"/>
  <c r="I35" i="1"/>
  <c r="K31" i="14" s="1"/>
  <c r="I34" i="1"/>
  <c r="K30" i="14" s="1"/>
  <c r="I33" i="1"/>
  <c r="I32" i="1"/>
  <c r="K27" i="14" s="1"/>
  <c r="I31" i="1"/>
  <c r="K26" i="14" s="1"/>
  <c r="I30" i="1"/>
  <c r="K25" i="14" s="1"/>
  <c r="I29" i="1"/>
  <c r="K24" i="14" s="1"/>
  <c r="I28" i="1"/>
  <c r="K23" i="14" s="1"/>
  <c r="I27" i="1"/>
  <c r="K22" i="14" s="1"/>
  <c r="I26" i="1"/>
  <c r="K21" i="14" s="1"/>
  <c r="I25" i="1"/>
  <c r="K20" i="14" s="1"/>
  <c r="I24" i="1"/>
  <c r="K19" i="14" s="1"/>
  <c r="I23" i="1"/>
  <c r="K18" i="14" s="1"/>
  <c r="I22" i="1"/>
  <c r="K17" i="14" s="1"/>
  <c r="I21" i="1"/>
  <c r="K16" i="14" s="1"/>
  <c r="I20" i="1"/>
  <c r="K15" i="14" s="1"/>
  <c r="I19" i="1"/>
  <c r="K14" i="14" s="1"/>
  <c r="I18" i="1"/>
  <c r="K13" i="14" s="1"/>
  <c r="I17" i="1"/>
  <c r="K12" i="14" s="1"/>
  <c r="AQ82" i="1"/>
  <c r="AQ89" i="1" s="1"/>
  <c r="L86" i="14" s="1"/>
  <c r="AP53" i="1"/>
  <c r="G49" i="14" s="1"/>
  <c r="AP44" i="1"/>
  <c r="G39" i="14" s="1"/>
  <c r="E17" i="16" s="1"/>
  <c r="AR34" i="1"/>
  <c r="Q30" i="14" s="1"/>
  <c r="H59" i="14"/>
  <c r="H55" i="14"/>
  <c r="H60" i="14"/>
  <c r="C257" i="23" s="1"/>
  <c r="D257" i="23" s="1"/>
  <c r="E257" i="23" s="1"/>
  <c r="F257" i="23" s="1"/>
  <c r="G257" i="23" s="1"/>
  <c r="H257" i="23" s="1"/>
  <c r="H58" i="14"/>
  <c r="H54" i="14"/>
  <c r="H56" i="14"/>
  <c r="H57" i="14"/>
  <c r="H53" i="14"/>
  <c r="H52" i="14"/>
  <c r="G82" i="14"/>
  <c r="G69" i="14"/>
  <c r="G65" i="14"/>
  <c r="G59" i="14"/>
  <c r="G55" i="14"/>
  <c r="G45" i="14"/>
  <c r="G35" i="14"/>
  <c r="G31" i="14"/>
  <c r="G81" i="14"/>
  <c r="G72" i="14"/>
  <c r="G64" i="14"/>
  <c r="G58" i="14"/>
  <c r="G54" i="14"/>
  <c r="G48" i="14"/>
  <c r="G71" i="14"/>
  <c r="G67" i="14"/>
  <c r="G63" i="14"/>
  <c r="G57" i="14"/>
  <c r="G53" i="14"/>
  <c r="G47" i="14"/>
  <c r="G43" i="14"/>
  <c r="G37" i="14"/>
  <c r="G33" i="14"/>
  <c r="G83" i="14"/>
  <c r="G76" i="14"/>
  <c r="G70" i="14"/>
  <c r="G66" i="14"/>
  <c r="G56" i="14"/>
  <c r="G52" i="14"/>
  <c r="G46" i="14"/>
  <c r="G42" i="14"/>
  <c r="G36" i="14"/>
  <c r="G32" i="14"/>
  <c r="G44" i="14"/>
  <c r="G38" i="14"/>
  <c r="G34" i="14"/>
  <c r="G30" i="14"/>
  <c r="AM82" i="1"/>
  <c r="AM89" i="1" s="1"/>
  <c r="AP87" i="1"/>
  <c r="AR84" i="1"/>
  <c r="AR87" i="1" s="1"/>
  <c r="AR79" i="1"/>
  <c r="AR80" i="1" s="1"/>
  <c r="Q77" i="14" s="1"/>
  <c r="AP80" i="1"/>
  <c r="G77" i="14" s="1"/>
  <c r="AN82" i="1"/>
  <c r="AN89" i="1" s="1"/>
  <c r="AR46" i="1"/>
  <c r="AR53" i="1" s="1"/>
  <c r="Q49" i="14" s="1"/>
  <c r="AR56" i="1"/>
  <c r="AR63" i="1" s="1"/>
  <c r="Q60" i="14" s="1"/>
  <c r="AP71" i="1"/>
  <c r="AR71" i="1" s="1"/>
  <c r="AR76" i="1" s="1"/>
  <c r="Q73" i="14" s="1"/>
  <c r="D18" i="20" s="1"/>
  <c r="AL87" i="1"/>
  <c r="AH82" i="1"/>
  <c r="AH89" i="1" s="1"/>
  <c r="AG63" i="1"/>
  <c r="AD82" i="1"/>
  <c r="AD89" i="1" s="1"/>
  <c r="AI44" i="1"/>
  <c r="P39" i="14" s="1"/>
  <c r="AG76" i="1"/>
  <c r="AE82" i="1"/>
  <c r="AE89" i="1" s="1"/>
  <c r="AI55" i="1"/>
  <c r="AI63" i="1" s="1"/>
  <c r="P60" i="14" s="1"/>
  <c r="AI53" i="1"/>
  <c r="P49" i="14" s="1"/>
  <c r="AI87" i="1"/>
  <c r="AC82" i="1"/>
  <c r="AC89" i="1" s="1"/>
  <c r="AG44" i="1"/>
  <c r="AG80" i="1"/>
  <c r="E17" i="1"/>
  <c r="E21" i="1"/>
  <c r="E25" i="1"/>
  <c r="E29" i="1"/>
  <c r="E33" i="1"/>
  <c r="E37" i="1"/>
  <c r="F33" i="14" s="1"/>
  <c r="E42" i="1"/>
  <c r="F37" i="14" s="1"/>
  <c r="E46" i="1"/>
  <c r="F42" i="14" s="1"/>
  <c r="E50" i="1"/>
  <c r="F46" i="14" s="1"/>
  <c r="E54" i="1"/>
  <c r="E58" i="1"/>
  <c r="F55" i="14" s="1"/>
  <c r="E62" i="1"/>
  <c r="F59" i="14" s="1"/>
  <c r="E66" i="1"/>
  <c r="F63" i="14" s="1"/>
  <c r="E70" i="1"/>
  <c r="F67" i="14" s="1"/>
  <c r="E74" i="1"/>
  <c r="F71" i="14" s="1"/>
  <c r="E78" i="1"/>
  <c r="E82" i="1"/>
  <c r="E86" i="1"/>
  <c r="F83" i="14" s="1"/>
  <c r="AG53" i="1"/>
  <c r="AG87" i="1"/>
  <c r="E18" i="1"/>
  <c r="E22" i="1"/>
  <c r="E26" i="1"/>
  <c r="E30" i="1"/>
  <c r="E34" i="1"/>
  <c r="F30" i="14" s="1"/>
  <c r="E38" i="1"/>
  <c r="F34" i="14" s="1"/>
  <c r="E43" i="1"/>
  <c r="F38" i="14" s="1"/>
  <c r="E47" i="1"/>
  <c r="F43" i="14" s="1"/>
  <c r="E51" i="1"/>
  <c r="F47" i="14" s="1"/>
  <c r="E55" i="1"/>
  <c r="F52" i="14" s="1"/>
  <c r="E59" i="1"/>
  <c r="F56" i="14" s="1"/>
  <c r="E63" i="1"/>
  <c r="E67" i="1"/>
  <c r="F64" i="14" s="1"/>
  <c r="E71" i="1"/>
  <c r="F68" i="14" s="1"/>
  <c r="E75" i="1"/>
  <c r="F72" i="14" s="1"/>
  <c r="E79" i="1"/>
  <c r="F76" i="14" s="1"/>
  <c r="E83" i="1"/>
  <c r="E87" i="1"/>
  <c r="E19" i="1"/>
  <c r="E23" i="1"/>
  <c r="E27" i="1"/>
  <c r="E31" i="1"/>
  <c r="E35" i="1"/>
  <c r="F31" i="14" s="1"/>
  <c r="E39" i="1"/>
  <c r="F35" i="14" s="1"/>
  <c r="E44" i="1"/>
  <c r="E48" i="1"/>
  <c r="F44" i="14" s="1"/>
  <c r="E52" i="1"/>
  <c r="F48" i="14" s="1"/>
  <c r="E56" i="1"/>
  <c r="F53" i="14" s="1"/>
  <c r="E60" i="1"/>
  <c r="F57" i="14" s="1"/>
  <c r="E64" i="1"/>
  <c r="E68" i="1"/>
  <c r="F65" i="14" s="1"/>
  <c r="E72" i="1"/>
  <c r="F69" i="14" s="1"/>
  <c r="E76" i="1"/>
  <c r="F73" i="14" s="1"/>
  <c r="E80" i="1"/>
  <c r="E84" i="1"/>
  <c r="F81" i="14" s="1"/>
  <c r="E88" i="1"/>
  <c r="AI66" i="1"/>
  <c r="AI76" i="1" s="1"/>
  <c r="P73" i="14" s="1"/>
  <c r="D17" i="20" s="1"/>
  <c r="E20" i="1"/>
  <c r="E24" i="1"/>
  <c r="E28" i="1"/>
  <c r="E32" i="1"/>
  <c r="E36" i="1"/>
  <c r="F32" i="14" s="1"/>
  <c r="E40" i="1"/>
  <c r="F36" i="14" s="1"/>
  <c r="E45" i="1"/>
  <c r="E49" i="1"/>
  <c r="F45" i="14" s="1"/>
  <c r="E53" i="1"/>
  <c r="E57" i="1"/>
  <c r="F54" i="14" s="1"/>
  <c r="E61" i="1"/>
  <c r="F58" i="14" s="1"/>
  <c r="E65" i="1"/>
  <c r="E69" i="1"/>
  <c r="F66" i="14" s="1"/>
  <c r="E73" i="1"/>
  <c r="F70" i="14" s="1"/>
  <c r="E77" i="1"/>
  <c r="E81" i="1"/>
  <c r="E85" i="1"/>
  <c r="F82" i="14" s="1"/>
  <c r="Z13" i="1"/>
  <c r="Y13" i="1"/>
  <c r="H41" i="1" s="1"/>
  <c r="X13" i="1"/>
  <c r="D41" i="1" s="1"/>
  <c r="W13" i="1"/>
  <c r="V13" i="1"/>
  <c r="U13" i="1"/>
  <c r="T13" i="1"/>
  <c r="S13" i="1"/>
  <c r="C41" i="1" s="1"/>
  <c r="F118" i="23" l="1"/>
  <c r="G223" i="23" s="1"/>
  <c r="G246" i="23" s="1"/>
  <c r="E146" i="23"/>
  <c r="D118" i="23"/>
  <c r="D201" i="23"/>
  <c r="D207" i="23" s="1"/>
  <c r="E50" i="24" s="1"/>
  <c r="F94" i="24" s="1"/>
  <c r="H118" i="23"/>
  <c r="H201" i="23"/>
  <c r="F108" i="27"/>
  <c r="F107" i="27"/>
  <c r="G118" i="23"/>
  <c r="H223" i="23" s="1"/>
  <c r="H246" i="23" s="1"/>
  <c r="G201" i="23"/>
  <c r="F60" i="14"/>
  <c r="AR44" i="1"/>
  <c r="Q39" i="14" s="1"/>
  <c r="E201" i="23"/>
  <c r="E118" i="23"/>
  <c r="F223" i="23" s="1"/>
  <c r="F246" i="23" s="1"/>
  <c r="G96" i="27"/>
  <c r="G94" i="27"/>
  <c r="F83" i="24"/>
  <c r="F81" i="24"/>
  <c r="E181" i="23"/>
  <c r="F179" i="23" s="1"/>
  <c r="E182" i="23"/>
  <c r="F208" i="23"/>
  <c r="F49" i="24"/>
  <c r="E29" i="24"/>
  <c r="E135" i="23"/>
  <c r="E153" i="23" s="1"/>
  <c r="E46" i="24"/>
  <c r="E197" i="23"/>
  <c r="F46" i="27" s="1"/>
  <c r="D88" i="23"/>
  <c r="E84" i="23"/>
  <c r="E87" i="23" s="1"/>
  <c r="E86" i="23"/>
  <c r="D12" i="20"/>
  <c r="F10" i="16"/>
  <c r="I11" i="16" s="1"/>
  <c r="E22" i="27"/>
  <c r="D22" i="27"/>
  <c r="F22" i="27"/>
  <c r="H22" i="27"/>
  <c r="G22" i="27"/>
  <c r="D11" i="20"/>
  <c r="F9" i="16"/>
  <c r="D5" i="20"/>
  <c r="F16" i="16"/>
  <c r="C13" i="20"/>
  <c r="C16" i="23"/>
  <c r="Q53" i="14"/>
  <c r="P52" i="14"/>
  <c r="L46" i="1"/>
  <c r="L30" i="1"/>
  <c r="L24" i="1"/>
  <c r="L20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4" i="1"/>
  <c r="L42" i="1"/>
  <c r="L40" i="1"/>
  <c r="L38" i="1"/>
  <c r="L36" i="1"/>
  <c r="L34" i="1"/>
  <c r="L32" i="1"/>
  <c r="L28" i="1"/>
  <c r="L26" i="1"/>
  <c r="L22" i="1"/>
  <c r="L18" i="1"/>
  <c r="C171" i="23"/>
  <c r="F49" i="14"/>
  <c r="F77" i="14"/>
  <c r="C46" i="23"/>
  <c r="Q81" i="14"/>
  <c r="Q76" i="14"/>
  <c r="Q68" i="14"/>
  <c r="P63" i="14"/>
  <c r="Q42" i="14"/>
  <c r="AL89" i="1"/>
  <c r="E11" i="16"/>
  <c r="H11" i="16" s="1"/>
  <c r="E25" i="16" s="1"/>
  <c r="D13" i="20"/>
  <c r="D9" i="16"/>
  <c r="C11" i="20"/>
  <c r="D10" i="16"/>
  <c r="C12" i="20"/>
  <c r="H10" i="16"/>
  <c r="L79" i="14"/>
  <c r="K86" i="14"/>
  <c r="K79" i="14"/>
  <c r="D11" i="16"/>
  <c r="H87" i="1"/>
  <c r="H86" i="1"/>
  <c r="H83" i="1"/>
  <c r="H80" i="1"/>
  <c r="H77" i="1"/>
  <c r="H74" i="1"/>
  <c r="H70" i="1"/>
  <c r="H66" i="1"/>
  <c r="H63" i="1"/>
  <c r="H60" i="1"/>
  <c r="H88" i="1"/>
  <c r="H85" i="1"/>
  <c r="H82" i="1"/>
  <c r="H79" i="1"/>
  <c r="H76" i="1"/>
  <c r="H73" i="1"/>
  <c r="H71" i="1"/>
  <c r="H68" i="1"/>
  <c r="H65" i="1"/>
  <c r="H62" i="1"/>
  <c r="H89" i="1"/>
  <c r="H84" i="1"/>
  <c r="H81" i="1"/>
  <c r="H78" i="1"/>
  <c r="H75" i="1"/>
  <c r="H72" i="1"/>
  <c r="H69" i="1"/>
  <c r="H67" i="1"/>
  <c r="H64" i="1"/>
  <c r="H61" i="1"/>
  <c r="H56" i="1"/>
  <c r="H52" i="1"/>
  <c r="H48" i="1"/>
  <c r="H44" i="1"/>
  <c r="H39" i="1"/>
  <c r="H35" i="1"/>
  <c r="H31" i="1"/>
  <c r="H27" i="1"/>
  <c r="H23" i="1"/>
  <c r="H19" i="1"/>
  <c r="H49" i="1"/>
  <c r="H36" i="1"/>
  <c r="H24" i="1"/>
  <c r="H59" i="1"/>
  <c r="H55" i="1"/>
  <c r="H51" i="1"/>
  <c r="H47" i="1"/>
  <c r="H43" i="1"/>
  <c r="H38" i="1"/>
  <c r="H34" i="1"/>
  <c r="H30" i="1"/>
  <c r="H26" i="1"/>
  <c r="H22" i="1"/>
  <c r="H18" i="1"/>
  <c r="H57" i="1"/>
  <c r="H45" i="1"/>
  <c r="H32" i="1"/>
  <c r="H20" i="1"/>
  <c r="H58" i="1"/>
  <c r="H54" i="1"/>
  <c r="H50" i="1"/>
  <c r="H46" i="1"/>
  <c r="H42" i="1"/>
  <c r="H37" i="1"/>
  <c r="H33" i="1"/>
  <c r="H29" i="1"/>
  <c r="H25" i="1"/>
  <c r="H21" i="1"/>
  <c r="H53" i="1"/>
  <c r="H40" i="1"/>
  <c r="H28" i="1"/>
  <c r="AP76" i="1"/>
  <c r="G73" i="14" s="1"/>
  <c r="G68" i="14"/>
  <c r="F39" i="14"/>
  <c r="E16" i="16" s="1"/>
  <c r="H65" i="14"/>
  <c r="H69" i="14"/>
  <c r="H73" i="14"/>
  <c r="F18" i="16" s="1"/>
  <c r="H77" i="14"/>
  <c r="H81" i="14"/>
  <c r="H15" i="14"/>
  <c r="H19" i="14"/>
  <c r="H23" i="14"/>
  <c r="H32" i="14"/>
  <c r="H36" i="14"/>
  <c r="H66" i="14"/>
  <c r="H70" i="14"/>
  <c r="H82" i="14"/>
  <c r="H16" i="14"/>
  <c r="H20" i="14"/>
  <c r="H24" i="14"/>
  <c r="H33" i="14"/>
  <c r="H37" i="14"/>
  <c r="H42" i="14"/>
  <c r="H46" i="14"/>
  <c r="H63" i="14"/>
  <c r="H71" i="14"/>
  <c r="H13" i="14"/>
  <c r="H21" i="14"/>
  <c r="H30" i="14"/>
  <c r="H38" i="14"/>
  <c r="H49" i="14"/>
  <c r="H47" i="14"/>
  <c r="H72" i="14"/>
  <c r="H68" i="14"/>
  <c r="H76" i="14"/>
  <c r="H18" i="14"/>
  <c r="H26" i="14"/>
  <c r="H35" i="14"/>
  <c r="H64" i="14"/>
  <c r="H67" i="14"/>
  <c r="H83" i="14"/>
  <c r="H17" i="14"/>
  <c r="H25" i="14"/>
  <c r="H34" i="14"/>
  <c r="H14" i="14"/>
  <c r="H22" i="14"/>
  <c r="H43" i="14"/>
  <c r="H44" i="14"/>
  <c r="H39" i="14"/>
  <c r="H31" i="14"/>
  <c r="H48" i="14"/>
  <c r="H45" i="14"/>
  <c r="L17" i="1"/>
  <c r="H17" i="1"/>
  <c r="C17" i="1"/>
  <c r="D12" i="14" s="1"/>
  <c r="C66" i="1"/>
  <c r="D63" i="14" s="1"/>
  <c r="C70" i="1"/>
  <c r="D67" i="14" s="1"/>
  <c r="C74" i="1"/>
  <c r="D71" i="14" s="1"/>
  <c r="C78" i="1"/>
  <c r="C82" i="1"/>
  <c r="C86" i="1"/>
  <c r="D83" i="14" s="1"/>
  <c r="C18" i="1"/>
  <c r="D13" i="14" s="1"/>
  <c r="C22" i="1"/>
  <c r="D17" i="14" s="1"/>
  <c r="C26" i="1"/>
  <c r="D21" i="14" s="1"/>
  <c r="C30" i="1"/>
  <c r="D25" i="14" s="1"/>
  <c r="C34" i="1"/>
  <c r="D30" i="14" s="1"/>
  <c r="C38" i="1"/>
  <c r="D34" i="14" s="1"/>
  <c r="C43" i="1"/>
  <c r="D38" i="14" s="1"/>
  <c r="C67" i="1"/>
  <c r="D64" i="14" s="1"/>
  <c r="C71" i="1"/>
  <c r="D68" i="14" s="1"/>
  <c r="D274" i="23" s="1"/>
  <c r="C75" i="1"/>
  <c r="D72" i="14" s="1"/>
  <c r="C79" i="1"/>
  <c r="D76" i="14" s="1"/>
  <c r="C83" i="1"/>
  <c r="C87" i="1"/>
  <c r="C19" i="1"/>
  <c r="D14" i="14" s="1"/>
  <c r="C23" i="1"/>
  <c r="D18" i="14" s="1"/>
  <c r="C27" i="1"/>
  <c r="D22" i="14" s="1"/>
  <c r="C31" i="1"/>
  <c r="D26" i="14" s="1"/>
  <c r="C35" i="1"/>
  <c r="D31" i="14" s="1"/>
  <c r="C39" i="1"/>
  <c r="D35" i="14" s="1"/>
  <c r="C44" i="1"/>
  <c r="C48" i="1"/>
  <c r="D44" i="14" s="1"/>
  <c r="C68" i="1"/>
  <c r="D65" i="14" s="1"/>
  <c r="C76" i="1"/>
  <c r="C84" i="1"/>
  <c r="D81" i="14" s="1"/>
  <c r="C20" i="1"/>
  <c r="D15" i="14" s="1"/>
  <c r="C28" i="1"/>
  <c r="D23" i="14" s="1"/>
  <c r="C36" i="1"/>
  <c r="D32" i="14" s="1"/>
  <c r="C45" i="1"/>
  <c r="C55" i="1"/>
  <c r="D52" i="14" s="1"/>
  <c r="C59" i="1"/>
  <c r="D56" i="14" s="1"/>
  <c r="C63" i="1"/>
  <c r="C47" i="1"/>
  <c r="D43" i="14" s="1"/>
  <c r="C53" i="1"/>
  <c r="C61" i="1"/>
  <c r="D58" i="14" s="1"/>
  <c r="C69" i="1"/>
  <c r="D66" i="14" s="1"/>
  <c r="C85" i="1"/>
  <c r="D82" i="14" s="1"/>
  <c r="C65" i="1"/>
  <c r="C73" i="1"/>
  <c r="D70" i="14" s="1"/>
  <c r="C81" i="1"/>
  <c r="C89" i="1"/>
  <c r="C25" i="1"/>
  <c r="D20" i="14" s="1"/>
  <c r="C33" i="1"/>
  <c r="C42" i="1"/>
  <c r="D37" i="14" s="1"/>
  <c r="C49" i="1"/>
  <c r="D45" i="14" s="1"/>
  <c r="C50" i="1"/>
  <c r="D46" i="14" s="1"/>
  <c r="C51" i="1"/>
  <c r="D47" i="14" s="1"/>
  <c r="C52" i="1"/>
  <c r="D48" i="14" s="1"/>
  <c r="C56" i="1"/>
  <c r="D53" i="14" s="1"/>
  <c r="C60" i="1"/>
  <c r="D57" i="14" s="1"/>
  <c r="C64" i="1"/>
  <c r="C57" i="1"/>
  <c r="D54" i="14" s="1"/>
  <c r="C77" i="1"/>
  <c r="C72" i="1"/>
  <c r="C80" i="1"/>
  <c r="C88" i="1"/>
  <c r="C24" i="1"/>
  <c r="D19" i="14" s="1"/>
  <c r="C32" i="1"/>
  <c r="C40" i="1"/>
  <c r="D36" i="14" s="1"/>
  <c r="C46" i="1"/>
  <c r="D42" i="14" s="1"/>
  <c r="C54" i="1"/>
  <c r="C21" i="1"/>
  <c r="D16" i="14" s="1"/>
  <c r="C58" i="1"/>
  <c r="D55" i="14" s="1"/>
  <c r="C29" i="1"/>
  <c r="D24" i="14" s="1"/>
  <c r="C62" i="1"/>
  <c r="D59" i="14" s="1"/>
  <c r="C37" i="1"/>
  <c r="D33" i="14" s="1"/>
  <c r="D67" i="1"/>
  <c r="D71" i="1"/>
  <c r="D75" i="1"/>
  <c r="D79" i="1"/>
  <c r="D83" i="1"/>
  <c r="D87" i="1"/>
  <c r="D19" i="1"/>
  <c r="D23" i="1"/>
  <c r="D27" i="1"/>
  <c r="D31" i="1"/>
  <c r="D35" i="1"/>
  <c r="D39" i="1"/>
  <c r="D44" i="1"/>
  <c r="D68" i="1"/>
  <c r="D72" i="1"/>
  <c r="D76" i="1"/>
  <c r="D80" i="1"/>
  <c r="D84" i="1"/>
  <c r="D88" i="1"/>
  <c r="D20" i="1"/>
  <c r="D24" i="1"/>
  <c r="D28" i="1"/>
  <c r="D32" i="1"/>
  <c r="D36" i="1"/>
  <c r="D40" i="1"/>
  <c r="D45" i="1"/>
  <c r="D49" i="1"/>
  <c r="D69" i="1"/>
  <c r="D77" i="1"/>
  <c r="D85" i="1"/>
  <c r="D21" i="1"/>
  <c r="D29" i="1"/>
  <c r="D37" i="1"/>
  <c r="D46" i="1"/>
  <c r="D47" i="1"/>
  <c r="D48" i="1"/>
  <c r="D52" i="1"/>
  <c r="D56" i="1"/>
  <c r="D60" i="1"/>
  <c r="D64" i="1"/>
  <c r="D54" i="1"/>
  <c r="D62" i="1"/>
  <c r="D78" i="1"/>
  <c r="D66" i="1"/>
  <c r="D74" i="1"/>
  <c r="D82" i="1"/>
  <c r="D18" i="1"/>
  <c r="D26" i="1"/>
  <c r="D34" i="1"/>
  <c r="D43" i="1"/>
  <c r="D53" i="1"/>
  <c r="D57" i="1"/>
  <c r="D61" i="1"/>
  <c r="D58" i="1"/>
  <c r="D70" i="1"/>
  <c r="D86" i="1"/>
  <c r="D65" i="1"/>
  <c r="D73" i="1"/>
  <c r="D81" i="1"/>
  <c r="D89" i="1"/>
  <c r="D25" i="1"/>
  <c r="D33" i="1"/>
  <c r="D42" i="1"/>
  <c r="D38" i="1"/>
  <c r="D50" i="1"/>
  <c r="D63" i="1"/>
  <c r="D51" i="1"/>
  <c r="D55" i="1"/>
  <c r="D17" i="1"/>
  <c r="D30" i="1"/>
  <c r="D22" i="1"/>
  <c r="D59" i="1"/>
  <c r="E207" i="23" l="1"/>
  <c r="F207" i="23" s="1"/>
  <c r="G207" i="23" s="1"/>
  <c r="F146" i="23"/>
  <c r="F96" i="24"/>
  <c r="D124" i="23"/>
  <c r="E122" i="23" s="1"/>
  <c r="E223" i="23"/>
  <c r="E246" i="23" s="1"/>
  <c r="D123" i="23"/>
  <c r="G107" i="27"/>
  <c r="G108" i="27"/>
  <c r="I22" i="24"/>
  <c r="I22" i="27"/>
  <c r="H96" i="27"/>
  <c r="H94" i="27"/>
  <c r="E85" i="23"/>
  <c r="F83" i="23" s="1"/>
  <c r="F46" i="24"/>
  <c r="F197" i="23"/>
  <c r="G46" i="27" s="1"/>
  <c r="F108" i="24"/>
  <c r="F107" i="24"/>
  <c r="G81" i="24"/>
  <c r="G83" i="24"/>
  <c r="F135" i="23"/>
  <c r="F153" i="23" s="1"/>
  <c r="F29" i="24"/>
  <c r="G208" i="23"/>
  <c r="G49" i="24"/>
  <c r="F182" i="23"/>
  <c r="F181" i="23"/>
  <c r="G179" i="23" s="1"/>
  <c r="F84" i="23"/>
  <c r="F87" i="23" s="1"/>
  <c r="F86" i="23"/>
  <c r="E88" i="23"/>
  <c r="E180" i="23"/>
  <c r="F178" i="23" s="1"/>
  <c r="E22" i="24"/>
  <c r="E253" i="23"/>
  <c r="E255" i="23"/>
  <c r="H253" i="23"/>
  <c r="H22" i="24"/>
  <c r="H255" i="23"/>
  <c r="D6" i="20"/>
  <c r="F17" i="16"/>
  <c r="F25" i="16" s="1"/>
  <c r="F253" i="23"/>
  <c r="F255" i="23"/>
  <c r="F22" i="24"/>
  <c r="I10" i="16"/>
  <c r="F24" i="16" s="1"/>
  <c r="G255" i="23"/>
  <c r="G22" i="24"/>
  <c r="G253" i="23"/>
  <c r="D253" i="23"/>
  <c r="C260" i="23"/>
  <c r="D26" i="27" s="1"/>
  <c r="D22" i="24"/>
  <c r="D255" i="23"/>
  <c r="G10" i="16"/>
  <c r="J10" i="16" s="1"/>
  <c r="C170" i="23"/>
  <c r="C45" i="23"/>
  <c r="C281" i="23" s="1"/>
  <c r="G11" i="16"/>
  <c r="J11" i="16" s="1"/>
  <c r="E24" i="16"/>
  <c r="D7" i="20"/>
  <c r="E18" i="16"/>
  <c r="G50" i="24" l="1"/>
  <c r="H94" i="24" s="1"/>
  <c r="F50" i="24"/>
  <c r="G96" i="24" s="1"/>
  <c r="G146" i="23"/>
  <c r="F180" i="23"/>
  <c r="G178" i="23" s="1"/>
  <c r="D158" i="23"/>
  <c r="E30" i="24" s="1"/>
  <c r="D126" i="23"/>
  <c r="E124" i="23"/>
  <c r="F122" i="23" s="1"/>
  <c r="H107" i="27"/>
  <c r="H108" i="27"/>
  <c r="I94" i="27"/>
  <c r="I96" i="27"/>
  <c r="F85" i="23"/>
  <c r="G83" i="23" s="1"/>
  <c r="F88" i="23"/>
  <c r="G84" i="23"/>
  <c r="G87" i="23" s="1"/>
  <c r="G86" i="23"/>
  <c r="G182" i="23"/>
  <c r="G181" i="23"/>
  <c r="H179" i="23" s="1"/>
  <c r="G197" i="23"/>
  <c r="H46" i="27" s="1"/>
  <c r="G46" i="24"/>
  <c r="H83" i="24"/>
  <c r="H81" i="24"/>
  <c r="H50" i="24"/>
  <c r="H207" i="23"/>
  <c r="H208" i="23"/>
  <c r="I49" i="24" s="1"/>
  <c r="H49" i="24"/>
  <c r="G29" i="24"/>
  <c r="G135" i="23"/>
  <c r="G153" i="23" s="1"/>
  <c r="G107" i="24"/>
  <c r="G108" i="24"/>
  <c r="D259" i="23"/>
  <c r="E259" i="23" s="1"/>
  <c r="F259" i="23" s="1"/>
  <c r="G259" i="23" s="1"/>
  <c r="H259" i="23" s="1"/>
  <c r="H260" i="23" s="1"/>
  <c r="D26" i="24"/>
  <c r="D254" i="23"/>
  <c r="D258" i="23" s="1"/>
  <c r="C47" i="23"/>
  <c r="D41" i="23"/>
  <c r="D45" i="23" s="1"/>
  <c r="D281" i="23" s="1"/>
  <c r="C172" i="23"/>
  <c r="D166" i="23"/>
  <c r="D170" i="23" s="1"/>
  <c r="C184" i="23"/>
  <c r="D21" i="27" s="1"/>
  <c r="F143" i="13"/>
  <c r="F138" i="13"/>
  <c r="F137" i="13" s="1"/>
  <c r="E137" i="13"/>
  <c r="D137" i="13"/>
  <c r="F135" i="13"/>
  <c r="F134" i="13"/>
  <c r="F133" i="13"/>
  <c r="F132" i="13"/>
  <c r="F131" i="13"/>
  <c r="F130" i="13"/>
  <c r="F129" i="13"/>
  <c r="E128" i="13"/>
  <c r="D128" i="13"/>
  <c r="D23" i="13" s="1"/>
  <c r="F126" i="13"/>
  <c r="F125" i="13"/>
  <c r="F124" i="13"/>
  <c r="F123" i="13"/>
  <c r="F122" i="13"/>
  <c r="F121" i="13"/>
  <c r="F120" i="13"/>
  <c r="F119" i="13"/>
  <c r="E118" i="13"/>
  <c r="E22" i="13" s="1"/>
  <c r="D118" i="13"/>
  <c r="F116" i="13"/>
  <c r="F115" i="13"/>
  <c r="F114" i="13"/>
  <c r="F113" i="13"/>
  <c r="F112" i="13"/>
  <c r="F111" i="13"/>
  <c r="F110" i="13"/>
  <c r="F109" i="13"/>
  <c r="F108" i="13"/>
  <c r="F107" i="13"/>
  <c r="E106" i="13"/>
  <c r="E21" i="13" s="1"/>
  <c r="D106" i="13"/>
  <c r="D104" i="13"/>
  <c r="F104" i="13" s="1"/>
  <c r="D103" i="13"/>
  <c r="F103" i="13" s="1"/>
  <c r="E102" i="13"/>
  <c r="D102" i="13"/>
  <c r="E101" i="13"/>
  <c r="D101" i="13"/>
  <c r="F100" i="13"/>
  <c r="F99" i="13"/>
  <c r="F97" i="13"/>
  <c r="F96" i="13"/>
  <c r="F95" i="13"/>
  <c r="E94" i="13"/>
  <c r="F94" i="13" s="1"/>
  <c r="F93" i="13"/>
  <c r="F92" i="13"/>
  <c r="E91" i="13"/>
  <c r="D91" i="13"/>
  <c r="D90" i="13"/>
  <c r="F90" i="13" s="1"/>
  <c r="E89" i="13"/>
  <c r="F89" i="13" s="1"/>
  <c r="E88" i="13"/>
  <c r="D88" i="13"/>
  <c r="F87" i="13"/>
  <c r="F86" i="13"/>
  <c r="E85" i="13"/>
  <c r="D85" i="13"/>
  <c r="D84" i="13" s="1"/>
  <c r="F82" i="13"/>
  <c r="E81" i="13"/>
  <c r="F81" i="13" s="1"/>
  <c r="E80" i="13"/>
  <c r="F80" i="13" s="1"/>
  <c r="D79" i="13"/>
  <c r="F79" i="13" s="1"/>
  <c r="F78" i="13"/>
  <c r="F77" i="13"/>
  <c r="F76" i="13"/>
  <c r="D75" i="13"/>
  <c r="F74" i="13"/>
  <c r="F73" i="13"/>
  <c r="F72" i="13"/>
  <c r="E71" i="13"/>
  <c r="F71" i="13" s="1"/>
  <c r="E70" i="13"/>
  <c r="D70" i="13"/>
  <c r="E69" i="13"/>
  <c r="F69" i="13" s="1"/>
  <c r="F68" i="13"/>
  <c r="E67" i="13"/>
  <c r="F67" i="13" s="1"/>
  <c r="F66" i="13"/>
  <c r="F65" i="13"/>
  <c r="F64" i="13"/>
  <c r="F63" i="13"/>
  <c r="D62" i="13"/>
  <c r="F62" i="13" s="1"/>
  <c r="E61" i="13"/>
  <c r="F61" i="13" s="1"/>
  <c r="E60" i="13"/>
  <c r="F60" i="13" s="1"/>
  <c r="E59" i="13"/>
  <c r="F59" i="13" s="1"/>
  <c r="E58" i="13"/>
  <c r="F58" i="13" s="1"/>
  <c r="E57" i="13"/>
  <c r="F57" i="13" s="1"/>
  <c r="F56" i="13"/>
  <c r="F51" i="13"/>
  <c r="F50" i="13"/>
  <c r="E49" i="13"/>
  <c r="E47" i="13" s="1"/>
  <c r="E17" i="13" s="1"/>
  <c r="F48" i="13"/>
  <c r="D47" i="13"/>
  <c r="F45" i="13"/>
  <c r="E44" i="13"/>
  <c r="F44" i="13" s="1"/>
  <c r="D43" i="13"/>
  <c r="F43" i="13" s="1"/>
  <c r="D42" i="13"/>
  <c r="F42" i="13" s="1"/>
  <c r="E41" i="13"/>
  <c r="E40" i="13" s="1"/>
  <c r="F39" i="13"/>
  <c r="E38" i="13"/>
  <c r="E36" i="13" s="1"/>
  <c r="D38" i="13"/>
  <c r="D36" i="13" s="1"/>
  <c r="F37" i="13"/>
  <c r="F35" i="13"/>
  <c r="D34" i="13"/>
  <c r="F34" i="13" s="1"/>
  <c r="D33" i="13"/>
  <c r="F33" i="13" s="1"/>
  <c r="E32" i="13"/>
  <c r="E24" i="13"/>
  <c r="D24" i="13"/>
  <c r="E23" i="13"/>
  <c r="D22" i="13"/>
  <c r="D21" i="13"/>
  <c r="D17" i="13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H96" i="24" l="1"/>
  <c r="G94" i="24"/>
  <c r="H146" i="23"/>
  <c r="E125" i="23"/>
  <c r="E123" i="23"/>
  <c r="E158" i="23"/>
  <c r="F30" i="24" s="1"/>
  <c r="F124" i="23"/>
  <c r="G122" i="23" s="1"/>
  <c r="I108" i="27"/>
  <c r="I107" i="27"/>
  <c r="I26" i="24"/>
  <c r="I115" i="24" s="1"/>
  <c r="I26" i="27"/>
  <c r="I115" i="27" s="1"/>
  <c r="I50" i="24"/>
  <c r="G180" i="23"/>
  <c r="H178" i="23" s="1"/>
  <c r="G85" i="23"/>
  <c r="H83" i="23" s="1"/>
  <c r="H181" i="23"/>
  <c r="H182" i="23"/>
  <c r="I96" i="24"/>
  <c r="I94" i="24"/>
  <c r="H108" i="24"/>
  <c r="H107" i="24"/>
  <c r="H135" i="23"/>
  <c r="H29" i="24"/>
  <c r="I83" i="24"/>
  <c r="I81" i="24"/>
  <c r="H46" i="24"/>
  <c r="H197" i="23"/>
  <c r="H84" i="23"/>
  <c r="H87" i="23" s="1"/>
  <c r="G88" i="23"/>
  <c r="H86" i="23"/>
  <c r="F260" i="23"/>
  <c r="E260" i="23"/>
  <c r="F26" i="24" s="1"/>
  <c r="F115" i="24" s="1"/>
  <c r="G260" i="23"/>
  <c r="E55" i="13"/>
  <c r="D260" i="23"/>
  <c r="D21" i="24"/>
  <c r="F38" i="13"/>
  <c r="E166" i="23"/>
  <c r="E170" i="23" s="1"/>
  <c r="D184" i="23"/>
  <c r="E21" i="27" s="1"/>
  <c r="E41" i="23"/>
  <c r="E45" i="23" s="1"/>
  <c r="E281" i="23" s="1"/>
  <c r="D167" i="23"/>
  <c r="C185" i="23"/>
  <c r="D25" i="27" s="1"/>
  <c r="E110" i="27" s="1"/>
  <c r="D42" i="23"/>
  <c r="F106" i="13"/>
  <c r="F21" i="13" s="1"/>
  <c r="F118" i="13"/>
  <c r="F22" i="13" s="1"/>
  <c r="D40" i="13"/>
  <c r="E98" i="13"/>
  <c r="F102" i="13"/>
  <c r="F24" i="13"/>
  <c r="F36" i="13"/>
  <c r="F49" i="13"/>
  <c r="F47" i="13" s="1"/>
  <c r="F17" i="13" s="1"/>
  <c r="F85" i="13"/>
  <c r="F88" i="13"/>
  <c r="D98" i="13"/>
  <c r="D83" i="13" s="1"/>
  <c r="D19" i="13" s="1"/>
  <c r="E84" i="13"/>
  <c r="E83" i="13" s="1"/>
  <c r="E19" i="13" s="1"/>
  <c r="F128" i="13"/>
  <c r="F23" i="13" s="1"/>
  <c r="F32" i="13"/>
  <c r="D55" i="13"/>
  <c r="D54" i="13" s="1"/>
  <c r="D20" i="13" s="1"/>
  <c r="F91" i="13"/>
  <c r="F101" i="13"/>
  <c r="F98" i="13" s="1"/>
  <c r="F75" i="13"/>
  <c r="E31" i="13"/>
  <c r="E16" i="13" s="1"/>
  <c r="E15" i="13" s="1"/>
  <c r="E30" i="13"/>
  <c r="D32" i="13"/>
  <c r="F41" i="13"/>
  <c r="F40" i="13" s="1"/>
  <c r="E75" i="13"/>
  <c r="E54" i="13" s="1"/>
  <c r="F70" i="13"/>
  <c r="F55" i="13" s="1"/>
  <c r="H153" i="23" l="1"/>
  <c r="I29" i="24" s="1"/>
  <c r="F123" i="23"/>
  <c r="G124" i="23"/>
  <c r="H122" i="23" s="1"/>
  <c r="F158" i="23"/>
  <c r="G30" i="24" s="1"/>
  <c r="E126" i="23"/>
  <c r="F125" i="23"/>
  <c r="F254" i="23"/>
  <c r="F258" i="23" s="1"/>
  <c r="F26" i="27"/>
  <c r="F115" i="27" s="1"/>
  <c r="F116" i="27" s="1"/>
  <c r="I116" i="27"/>
  <c r="E26" i="24"/>
  <c r="E115" i="24" s="1"/>
  <c r="E116" i="24" s="1"/>
  <c r="E26" i="27"/>
  <c r="E115" i="27" s="1"/>
  <c r="G254" i="23"/>
  <c r="G258" i="23" s="1"/>
  <c r="G26" i="27"/>
  <c r="G115" i="27" s="1"/>
  <c r="D30" i="13"/>
  <c r="H254" i="23"/>
  <c r="H258" i="23" s="1"/>
  <c r="H26" i="27"/>
  <c r="H115" i="27" s="1"/>
  <c r="H116" i="27" s="1"/>
  <c r="I46" i="24"/>
  <c r="I46" i="27"/>
  <c r="I108" i="24"/>
  <c r="I107" i="24"/>
  <c r="H180" i="23"/>
  <c r="H88" i="23"/>
  <c r="H85" i="23"/>
  <c r="G26" i="24"/>
  <c r="G115" i="24" s="1"/>
  <c r="F136" i="24" s="1"/>
  <c r="H26" i="24"/>
  <c r="H115" i="24" s="1"/>
  <c r="I116" i="24"/>
  <c r="E254" i="23"/>
  <c r="E258" i="23" s="1"/>
  <c r="F116" i="24"/>
  <c r="D25" i="24"/>
  <c r="E110" i="24" s="1"/>
  <c r="E21" i="24"/>
  <c r="F41" i="23"/>
  <c r="F45" i="23" s="1"/>
  <c r="F281" i="23" s="1"/>
  <c r="F166" i="23"/>
  <c r="F170" i="23" s="1"/>
  <c r="E184" i="23"/>
  <c r="F21" i="27" s="1"/>
  <c r="D18" i="13"/>
  <c r="F30" i="13"/>
  <c r="F84" i="13"/>
  <c r="F83" i="13" s="1"/>
  <c r="F19" i="13" s="1"/>
  <c r="D53" i="13"/>
  <c r="D139" i="13" s="1"/>
  <c r="D144" i="13" s="1"/>
  <c r="F54" i="13"/>
  <c r="F20" i="13" s="1"/>
  <c r="E53" i="13"/>
  <c r="E139" i="13" s="1"/>
  <c r="E144" i="13" s="1"/>
  <c r="E20" i="13"/>
  <c r="E18" i="13" s="1"/>
  <c r="E14" i="13" s="1"/>
  <c r="F31" i="13"/>
  <c r="F16" i="13" s="1"/>
  <c r="F15" i="13" s="1"/>
  <c r="D31" i="13"/>
  <c r="D16" i="13" s="1"/>
  <c r="D15" i="13" s="1"/>
  <c r="G123" i="23" l="1"/>
  <c r="H124" i="23"/>
  <c r="H158" i="23" s="1"/>
  <c r="I30" i="24" s="1"/>
  <c r="G158" i="23"/>
  <c r="H30" i="24" s="1"/>
  <c r="F126" i="23"/>
  <c r="G125" i="23"/>
  <c r="E136" i="24"/>
  <c r="E155" i="24" s="1"/>
  <c r="E156" i="24" s="1"/>
  <c r="H170" i="24" s="1"/>
  <c r="F136" i="27"/>
  <c r="G136" i="27"/>
  <c r="G116" i="27"/>
  <c r="H136" i="27"/>
  <c r="E136" i="27"/>
  <c r="E116" i="27"/>
  <c r="G136" i="24"/>
  <c r="G155" i="24" s="1"/>
  <c r="G156" i="24" s="1"/>
  <c r="J170" i="24" s="1"/>
  <c r="G116" i="24"/>
  <c r="H116" i="24"/>
  <c r="H136" i="24"/>
  <c r="H137" i="24" s="1"/>
  <c r="F155" i="24"/>
  <c r="F156" i="24" s="1"/>
  <c r="I170" i="24" s="1"/>
  <c r="F137" i="24"/>
  <c r="F21" i="24"/>
  <c r="G41" i="23"/>
  <c r="G45" i="23" s="1"/>
  <c r="G281" i="23" s="1"/>
  <c r="G166" i="23"/>
  <c r="G170" i="23" s="1"/>
  <c r="F184" i="23"/>
  <c r="G21" i="27" s="1"/>
  <c r="F53" i="13"/>
  <c r="F139" i="13" s="1"/>
  <c r="F144" i="13" s="1"/>
  <c r="F18" i="13"/>
  <c r="F14" i="13" s="1"/>
  <c r="E25" i="13"/>
  <c r="D14" i="13"/>
  <c r="D25" i="13"/>
  <c r="S87" i="1"/>
  <c r="J83" i="14"/>
  <c r="J82" i="14"/>
  <c r="J81" i="14"/>
  <c r="S80" i="1"/>
  <c r="D77" i="14" s="1"/>
  <c r="J76" i="14"/>
  <c r="W80" i="1"/>
  <c r="V80" i="1"/>
  <c r="U80" i="1"/>
  <c r="T80" i="1"/>
  <c r="W76" i="1"/>
  <c r="V76" i="1"/>
  <c r="U76" i="1"/>
  <c r="J72" i="14"/>
  <c r="X75" i="1"/>
  <c r="E72" i="14" s="1"/>
  <c r="J71" i="14"/>
  <c r="X74" i="1"/>
  <c r="E71" i="14" s="1"/>
  <c r="J70" i="14"/>
  <c r="T73" i="1"/>
  <c r="X73" i="1" s="1"/>
  <c r="E70" i="14" s="1"/>
  <c r="J69" i="14"/>
  <c r="T72" i="1"/>
  <c r="S72" i="1"/>
  <c r="J68" i="14"/>
  <c r="X71" i="1"/>
  <c r="E68" i="14" s="1"/>
  <c r="J67" i="14"/>
  <c r="X70" i="1"/>
  <c r="E67" i="14" s="1"/>
  <c r="J66" i="14"/>
  <c r="X69" i="1"/>
  <c r="E66" i="14" s="1"/>
  <c r="J65" i="14"/>
  <c r="X68" i="1"/>
  <c r="E65" i="14" s="1"/>
  <c r="J64" i="14"/>
  <c r="X67" i="1"/>
  <c r="E64" i="14" s="1"/>
  <c r="J63" i="14"/>
  <c r="X66" i="1"/>
  <c r="E63" i="14" s="1"/>
  <c r="W63" i="1"/>
  <c r="V63" i="1"/>
  <c r="U63" i="1"/>
  <c r="T63" i="1"/>
  <c r="S63" i="1"/>
  <c r="D60" i="14" s="1"/>
  <c r="J59" i="14"/>
  <c r="X62" i="1"/>
  <c r="E59" i="14" s="1"/>
  <c r="J58" i="14"/>
  <c r="X61" i="1"/>
  <c r="E58" i="14" s="1"/>
  <c r="J57" i="14"/>
  <c r="X60" i="1"/>
  <c r="E57" i="14" s="1"/>
  <c r="J56" i="14"/>
  <c r="X59" i="1"/>
  <c r="E56" i="14" s="1"/>
  <c r="J55" i="14"/>
  <c r="X58" i="1"/>
  <c r="E55" i="14" s="1"/>
  <c r="J54" i="14"/>
  <c r="X57" i="1"/>
  <c r="E54" i="14" s="1"/>
  <c r="J53" i="14"/>
  <c r="X56" i="1"/>
  <c r="E53" i="14" s="1"/>
  <c r="J52" i="14"/>
  <c r="X55" i="1"/>
  <c r="E52" i="14" s="1"/>
  <c r="W53" i="1"/>
  <c r="V53" i="1"/>
  <c r="U53" i="1"/>
  <c r="T53" i="1"/>
  <c r="S53" i="1"/>
  <c r="D49" i="14" s="1"/>
  <c r="J48" i="14"/>
  <c r="X52" i="1"/>
  <c r="J47" i="14"/>
  <c r="X51" i="1"/>
  <c r="E47" i="14" s="1"/>
  <c r="J46" i="14"/>
  <c r="X50" i="1"/>
  <c r="J45" i="14"/>
  <c r="X49" i="1"/>
  <c r="E45" i="14" s="1"/>
  <c r="J44" i="14"/>
  <c r="X48" i="1"/>
  <c r="E44" i="14" s="1"/>
  <c r="J43" i="14"/>
  <c r="X47" i="1"/>
  <c r="E43" i="14" s="1"/>
  <c r="J42" i="14"/>
  <c r="X46" i="1"/>
  <c r="E42" i="14" s="1"/>
  <c r="W44" i="1"/>
  <c r="V44" i="1"/>
  <c r="U44" i="1"/>
  <c r="T44" i="1"/>
  <c r="S44" i="1"/>
  <c r="D39" i="14" s="1"/>
  <c r="J38" i="14"/>
  <c r="X43" i="1"/>
  <c r="E38" i="14" s="1"/>
  <c r="J37" i="14"/>
  <c r="X42" i="1"/>
  <c r="E37" i="14" s="1"/>
  <c r="J36" i="14"/>
  <c r="X40" i="1"/>
  <c r="E36" i="14" s="1"/>
  <c r="J35" i="14"/>
  <c r="X39" i="1"/>
  <c r="E35" i="14" s="1"/>
  <c r="J34" i="14"/>
  <c r="X38" i="1"/>
  <c r="E34" i="14" s="1"/>
  <c r="J33" i="14"/>
  <c r="X37" i="1"/>
  <c r="E33" i="14" s="1"/>
  <c r="J32" i="14"/>
  <c r="X36" i="1"/>
  <c r="E32" i="14" s="1"/>
  <c r="J31" i="14"/>
  <c r="X35" i="1"/>
  <c r="E31" i="14" s="1"/>
  <c r="J30" i="14"/>
  <c r="X34" i="1"/>
  <c r="E30" i="14" s="1"/>
  <c r="W32" i="1"/>
  <c r="V32" i="1"/>
  <c r="U32" i="1"/>
  <c r="T32" i="1"/>
  <c r="S32" i="1"/>
  <c r="J26" i="14"/>
  <c r="X31" i="1"/>
  <c r="J25" i="14"/>
  <c r="X30" i="1"/>
  <c r="J24" i="14"/>
  <c r="X29" i="1"/>
  <c r="J23" i="14"/>
  <c r="X28" i="1"/>
  <c r="J22" i="14"/>
  <c r="X27" i="1"/>
  <c r="J21" i="14"/>
  <c r="X26" i="1"/>
  <c r="J20" i="14"/>
  <c r="X25" i="1"/>
  <c r="J19" i="14"/>
  <c r="X24" i="1"/>
  <c r="J18" i="14"/>
  <c r="X23" i="1"/>
  <c r="J17" i="14"/>
  <c r="X22" i="1"/>
  <c r="J16" i="14"/>
  <c r="X21" i="1"/>
  <c r="J15" i="14"/>
  <c r="X20" i="1"/>
  <c r="J14" i="14"/>
  <c r="X19" i="1"/>
  <c r="J13" i="14"/>
  <c r="X18" i="1"/>
  <c r="J12" i="14"/>
  <c r="H123" i="23" l="1"/>
  <c r="G126" i="23"/>
  <c r="H125" i="23"/>
  <c r="H126" i="23" s="1"/>
  <c r="E137" i="24"/>
  <c r="H155" i="27"/>
  <c r="H156" i="27" s="1"/>
  <c r="K169" i="27" s="1"/>
  <c r="H137" i="27"/>
  <c r="G155" i="27"/>
  <c r="G156" i="27" s="1"/>
  <c r="J169" i="27" s="1"/>
  <c r="G137" i="27"/>
  <c r="E155" i="27"/>
  <c r="E137" i="27"/>
  <c r="F155" i="27"/>
  <c r="F156" i="27" s="1"/>
  <c r="I169" i="27" s="1"/>
  <c r="F137" i="27"/>
  <c r="G137" i="24"/>
  <c r="H155" i="24"/>
  <c r="H156" i="24" s="1"/>
  <c r="F25" i="13"/>
  <c r="G21" i="24"/>
  <c r="H41" i="23"/>
  <c r="H45" i="23" s="1"/>
  <c r="H281" i="23" s="1"/>
  <c r="H166" i="23"/>
  <c r="H170" i="23" s="1"/>
  <c r="H184" i="23" s="1"/>
  <c r="I21" i="27" s="1"/>
  <c r="G184" i="23"/>
  <c r="H21" i="27" s="1"/>
  <c r="W82" i="1"/>
  <c r="E12" i="14"/>
  <c r="AB17" i="1"/>
  <c r="E14" i="14"/>
  <c r="AB19" i="1"/>
  <c r="AG19" i="1" s="1"/>
  <c r="E16" i="14"/>
  <c r="AB21" i="1"/>
  <c r="AG21" i="1" s="1"/>
  <c r="E18" i="14"/>
  <c r="AB23" i="1"/>
  <c r="AG23" i="1" s="1"/>
  <c r="E20" i="14"/>
  <c r="AB25" i="1"/>
  <c r="AG25" i="1" s="1"/>
  <c r="E22" i="14"/>
  <c r="AB27" i="1"/>
  <c r="AG27" i="1" s="1"/>
  <c r="E24" i="14"/>
  <c r="AB29" i="1"/>
  <c r="AG29" i="1" s="1"/>
  <c r="E26" i="14"/>
  <c r="AB31" i="1"/>
  <c r="AG31" i="1" s="1"/>
  <c r="E13" i="14"/>
  <c r="AB18" i="1"/>
  <c r="AG18" i="1" s="1"/>
  <c r="E15" i="14"/>
  <c r="AB20" i="1"/>
  <c r="AG20" i="1" s="1"/>
  <c r="E17" i="14"/>
  <c r="AB22" i="1"/>
  <c r="AG22" i="1" s="1"/>
  <c r="E19" i="14"/>
  <c r="AB24" i="1"/>
  <c r="AG24" i="1" s="1"/>
  <c r="E21" i="14"/>
  <c r="AB26" i="1"/>
  <c r="AG26" i="1" s="1"/>
  <c r="E23" i="14"/>
  <c r="AB28" i="1"/>
  <c r="AG28" i="1" s="1"/>
  <c r="E25" i="14"/>
  <c r="AB30" i="1"/>
  <c r="AG30" i="1" s="1"/>
  <c r="Y87" i="1"/>
  <c r="Y80" i="1"/>
  <c r="J77" i="14" s="1"/>
  <c r="Z38" i="1"/>
  <c r="O34" i="14" s="1"/>
  <c r="D27" i="14"/>
  <c r="C3" i="20" s="1"/>
  <c r="Z24" i="1"/>
  <c r="O19" i="14" s="1"/>
  <c r="Z28" i="1"/>
  <c r="O23" i="14" s="1"/>
  <c r="Z50" i="1"/>
  <c r="O46" i="14" s="1"/>
  <c r="E46" i="14"/>
  <c r="Z52" i="1"/>
  <c r="O48" i="14" s="1"/>
  <c r="E48" i="14"/>
  <c r="Z55" i="1"/>
  <c r="O52" i="14" s="1"/>
  <c r="S76" i="1"/>
  <c r="D73" i="14" s="1"/>
  <c r="D3" i="20" s="1"/>
  <c r="D69" i="14"/>
  <c r="Z19" i="1"/>
  <c r="O14" i="14" s="1"/>
  <c r="Z43" i="1"/>
  <c r="O38" i="14" s="1"/>
  <c r="Z66" i="1"/>
  <c r="O63" i="14" s="1"/>
  <c r="Z70" i="1"/>
  <c r="O67" i="14" s="1"/>
  <c r="T76" i="1"/>
  <c r="W87" i="1"/>
  <c r="W89" i="1" s="1"/>
  <c r="Z73" i="1"/>
  <c r="O70" i="14" s="1"/>
  <c r="Z30" i="1"/>
  <c r="O25" i="14" s="1"/>
  <c r="Z21" i="1"/>
  <c r="O16" i="14" s="1"/>
  <c r="Z75" i="1"/>
  <c r="O72" i="14" s="1"/>
  <c r="Z42" i="1"/>
  <c r="O37" i="14" s="1"/>
  <c r="Z57" i="1"/>
  <c r="O54" i="14" s="1"/>
  <c r="Z59" i="1"/>
  <c r="O56" i="14" s="1"/>
  <c r="Z61" i="1"/>
  <c r="O58" i="14" s="1"/>
  <c r="Z67" i="1"/>
  <c r="O64" i="14" s="1"/>
  <c r="Z25" i="1"/>
  <c r="O20" i="14" s="1"/>
  <c r="Z27" i="1"/>
  <c r="O22" i="14" s="1"/>
  <c r="Z18" i="1"/>
  <c r="O13" i="14" s="1"/>
  <c r="Z20" i="1"/>
  <c r="O15" i="14" s="1"/>
  <c r="Z35" i="1"/>
  <c r="O31" i="14" s="1"/>
  <c r="Z37" i="1"/>
  <c r="O33" i="14" s="1"/>
  <c r="Z47" i="1"/>
  <c r="O43" i="14" s="1"/>
  <c r="Z49" i="1"/>
  <c r="O45" i="14" s="1"/>
  <c r="Z69" i="1"/>
  <c r="O66" i="14" s="1"/>
  <c r="Y53" i="1"/>
  <c r="J49" i="14" s="1"/>
  <c r="Z23" i="1"/>
  <c r="O18" i="14" s="1"/>
  <c r="X44" i="1"/>
  <c r="E39" i="14" s="1"/>
  <c r="E15" i="16" s="1"/>
  <c r="Z22" i="1"/>
  <c r="O17" i="14" s="1"/>
  <c r="Z29" i="1"/>
  <c r="O24" i="14" s="1"/>
  <c r="Z31" i="1"/>
  <c r="O26" i="14" s="1"/>
  <c r="U82" i="1"/>
  <c r="Y44" i="1"/>
  <c r="J39" i="14" s="1"/>
  <c r="E8" i="16" s="1"/>
  <c r="H9" i="16" s="1"/>
  <c r="Z36" i="1"/>
  <c r="O32" i="14" s="1"/>
  <c r="Z39" i="1"/>
  <c r="O35" i="14" s="1"/>
  <c r="Z51" i="1"/>
  <c r="O47" i="14" s="1"/>
  <c r="Z56" i="1"/>
  <c r="O53" i="14" s="1"/>
  <c r="Z58" i="1"/>
  <c r="O55" i="14" s="1"/>
  <c r="Z71" i="1"/>
  <c r="O68" i="14" s="1"/>
  <c r="U87" i="1"/>
  <c r="X85" i="1"/>
  <c r="T82" i="1"/>
  <c r="X84" i="1"/>
  <c r="X32" i="1"/>
  <c r="E27" i="14" s="1"/>
  <c r="Z26" i="1"/>
  <c r="O21" i="14" s="1"/>
  <c r="V82" i="1"/>
  <c r="Z34" i="1"/>
  <c r="O30" i="14" s="1"/>
  <c r="Z40" i="1"/>
  <c r="O36" i="14" s="1"/>
  <c r="X53" i="1"/>
  <c r="E49" i="14" s="1"/>
  <c r="Z48" i="1"/>
  <c r="O44" i="14" s="1"/>
  <c r="X63" i="1"/>
  <c r="E60" i="14" s="1"/>
  <c r="Y63" i="1"/>
  <c r="J60" i="14" s="1"/>
  <c r="Z60" i="1"/>
  <c r="O57" i="14" s="1"/>
  <c r="Z62" i="1"/>
  <c r="O59" i="14" s="1"/>
  <c r="Y76" i="1"/>
  <c r="J73" i="14" s="1"/>
  <c r="Z68" i="1"/>
  <c r="O65" i="14" s="1"/>
  <c r="Z74" i="1"/>
  <c r="O71" i="14" s="1"/>
  <c r="V87" i="1"/>
  <c r="T87" i="1"/>
  <c r="Y32" i="1"/>
  <c r="J27" i="14" s="1"/>
  <c r="X86" i="1"/>
  <c r="X72" i="1"/>
  <c r="Z17" i="1"/>
  <c r="O12" i="14" s="1"/>
  <c r="Z46" i="1"/>
  <c r="O42" i="14" s="1"/>
  <c r="X79" i="1"/>
  <c r="E76" i="14" s="1"/>
  <c r="D156" i="24" l="1"/>
  <c r="K170" i="24"/>
  <c r="D155" i="27"/>
  <c r="E156" i="27"/>
  <c r="D155" i="24"/>
  <c r="D10" i="20"/>
  <c r="F8" i="16"/>
  <c r="I9" i="16" s="1"/>
  <c r="I21" i="24"/>
  <c r="H21" i="24"/>
  <c r="AI30" i="1"/>
  <c r="P25" i="14" s="1"/>
  <c r="AK30" i="1"/>
  <c r="AP30" i="1" s="1"/>
  <c r="F25" i="14"/>
  <c r="AI26" i="1"/>
  <c r="P21" i="14" s="1"/>
  <c r="AK26" i="1"/>
  <c r="AP26" i="1" s="1"/>
  <c r="F21" i="14"/>
  <c r="AI22" i="1"/>
  <c r="P17" i="14" s="1"/>
  <c r="AK22" i="1"/>
  <c r="AP22" i="1" s="1"/>
  <c r="F17" i="14"/>
  <c r="AI18" i="1"/>
  <c r="P13" i="14" s="1"/>
  <c r="AK18" i="1"/>
  <c r="AP18" i="1" s="1"/>
  <c r="F13" i="14"/>
  <c r="AI31" i="1"/>
  <c r="P26" i="14" s="1"/>
  <c r="AK31" i="1"/>
  <c r="AP31" i="1" s="1"/>
  <c r="F26" i="14"/>
  <c r="AI27" i="1"/>
  <c r="P22" i="14" s="1"/>
  <c r="AK27" i="1"/>
  <c r="AP27" i="1" s="1"/>
  <c r="F22" i="14"/>
  <c r="AI23" i="1"/>
  <c r="P18" i="14" s="1"/>
  <c r="AK23" i="1"/>
  <c r="AP23" i="1" s="1"/>
  <c r="F18" i="14"/>
  <c r="AI19" i="1"/>
  <c r="P14" i="14" s="1"/>
  <c r="AK19" i="1"/>
  <c r="AP19" i="1" s="1"/>
  <c r="F14" i="14"/>
  <c r="AI28" i="1"/>
  <c r="P23" i="14" s="1"/>
  <c r="AK28" i="1"/>
  <c r="AP28" i="1" s="1"/>
  <c r="F23" i="14"/>
  <c r="AI24" i="1"/>
  <c r="P19" i="14" s="1"/>
  <c r="AK24" i="1"/>
  <c r="AP24" i="1" s="1"/>
  <c r="F19" i="14"/>
  <c r="AI20" i="1"/>
  <c r="P15" i="14" s="1"/>
  <c r="AK20" i="1"/>
  <c r="AP20" i="1" s="1"/>
  <c r="F15" i="14"/>
  <c r="AI29" i="1"/>
  <c r="P24" i="14" s="1"/>
  <c r="AK29" i="1"/>
  <c r="AP29" i="1" s="1"/>
  <c r="F24" i="14"/>
  <c r="AI25" i="1"/>
  <c r="P20" i="14" s="1"/>
  <c r="AK25" i="1"/>
  <c r="AP25" i="1" s="1"/>
  <c r="F20" i="14"/>
  <c r="AI21" i="1"/>
  <c r="P16" i="14" s="1"/>
  <c r="AK21" i="1"/>
  <c r="AP21" i="1" s="1"/>
  <c r="F16" i="14"/>
  <c r="AG17" i="1"/>
  <c r="AB32" i="1"/>
  <c r="AB82" i="1" s="1"/>
  <c r="AB89" i="1" s="1"/>
  <c r="D8" i="16"/>
  <c r="G9" i="16" s="1"/>
  <c r="J9" i="16" s="1"/>
  <c r="C10" i="20"/>
  <c r="D15" i="16"/>
  <c r="G15" i="16" s="1"/>
  <c r="C4" i="20"/>
  <c r="E23" i="16"/>
  <c r="E27" i="16" s="1"/>
  <c r="Z86" i="1"/>
  <c r="O83" i="14" s="1"/>
  <c r="E83" i="14"/>
  <c r="Z84" i="1"/>
  <c r="O81" i="14" s="1"/>
  <c r="E81" i="14"/>
  <c r="Z85" i="1"/>
  <c r="O82" i="14" s="1"/>
  <c r="E82" i="14"/>
  <c r="Z72" i="1"/>
  <c r="E69" i="14"/>
  <c r="S82" i="1"/>
  <c r="Z44" i="1"/>
  <c r="O39" i="14" s="1"/>
  <c r="Z32" i="1"/>
  <c r="O27" i="14" s="1"/>
  <c r="C16" i="20" s="1"/>
  <c r="Z53" i="1"/>
  <c r="O49" i="14" s="1"/>
  <c r="Z63" i="1"/>
  <c r="O60" i="14" s="1"/>
  <c r="Y82" i="1"/>
  <c r="V89" i="1"/>
  <c r="T89" i="1"/>
  <c r="U89" i="1"/>
  <c r="Z79" i="1"/>
  <c r="X80" i="1"/>
  <c r="E77" i="14" s="1"/>
  <c r="X76" i="1"/>
  <c r="E73" i="14" s="1"/>
  <c r="X87" i="1"/>
  <c r="D156" i="27" l="1"/>
  <c r="H169" i="27"/>
  <c r="D4" i="20"/>
  <c r="F15" i="16"/>
  <c r="F23" i="16" s="1"/>
  <c r="F27" i="16" s="1"/>
  <c r="G164" i="23"/>
  <c r="G168" i="23" s="1"/>
  <c r="G186" i="23" s="1"/>
  <c r="H109" i="27" s="1"/>
  <c r="C164" i="23"/>
  <c r="F164" i="23"/>
  <c r="F168" i="23" s="1"/>
  <c r="F186" i="23" s="1"/>
  <c r="G109" i="27" s="1"/>
  <c r="E164" i="23"/>
  <c r="E168" i="23" s="1"/>
  <c r="E186" i="23" s="1"/>
  <c r="F109" i="27" s="1"/>
  <c r="H164" i="23"/>
  <c r="H168" i="23" s="1"/>
  <c r="H186" i="23" s="1"/>
  <c r="I109" i="27" s="1"/>
  <c r="D164" i="23"/>
  <c r="D168" i="23" s="1"/>
  <c r="G23" i="16"/>
  <c r="AR23" i="1"/>
  <c r="Q18" i="14" s="1"/>
  <c r="AT23" i="1"/>
  <c r="G18" i="14"/>
  <c r="AR22" i="1"/>
  <c r="Q17" i="14" s="1"/>
  <c r="AT22" i="1"/>
  <c r="G17" i="14"/>
  <c r="AR20" i="1"/>
  <c r="Q15" i="14" s="1"/>
  <c r="AT20" i="1"/>
  <c r="G15" i="14"/>
  <c r="AK17" i="1"/>
  <c r="AG32" i="1"/>
  <c r="AI17" i="1"/>
  <c r="F12" i="14"/>
  <c r="AR29" i="1"/>
  <c r="Q24" i="14" s="1"/>
  <c r="AT29" i="1"/>
  <c r="G24" i="14"/>
  <c r="AR19" i="1"/>
  <c r="Q14" i="14" s="1"/>
  <c r="AT19" i="1"/>
  <c r="G14" i="14"/>
  <c r="AR18" i="1"/>
  <c r="Q13" i="14" s="1"/>
  <c r="AT18" i="1"/>
  <c r="G13" i="14"/>
  <c r="AR25" i="1"/>
  <c r="Q20" i="14" s="1"/>
  <c r="AT25" i="1"/>
  <c r="G20" i="14"/>
  <c r="AR28" i="1"/>
  <c r="Q23" i="14" s="1"/>
  <c r="AT28" i="1"/>
  <c r="G23" i="14"/>
  <c r="AR31" i="1"/>
  <c r="Q26" i="14" s="1"/>
  <c r="AT31" i="1"/>
  <c r="G26" i="14"/>
  <c r="AR30" i="1"/>
  <c r="Q25" i="14" s="1"/>
  <c r="AT30" i="1"/>
  <c r="G25" i="14"/>
  <c r="AR21" i="1"/>
  <c r="Q16" i="14" s="1"/>
  <c r="AT21" i="1"/>
  <c r="G16" i="14"/>
  <c r="AR24" i="1"/>
  <c r="Q19" i="14" s="1"/>
  <c r="AT24" i="1"/>
  <c r="G19" i="14"/>
  <c r="AR27" i="1"/>
  <c r="Q22" i="14" s="1"/>
  <c r="AT27" i="1"/>
  <c r="G22" i="14"/>
  <c r="AR26" i="1"/>
  <c r="Q21" i="14" s="1"/>
  <c r="AT26" i="1"/>
  <c r="G21" i="14"/>
  <c r="D23" i="16"/>
  <c r="Z87" i="1"/>
  <c r="Z76" i="1"/>
  <c r="O73" i="14" s="1"/>
  <c r="D16" i="20" s="1"/>
  <c r="O69" i="14"/>
  <c r="Z80" i="1"/>
  <c r="O77" i="14" s="1"/>
  <c r="O76" i="14"/>
  <c r="Y89" i="1"/>
  <c r="J86" i="14" s="1"/>
  <c r="J79" i="14"/>
  <c r="S89" i="1"/>
  <c r="D86" i="14" s="1"/>
  <c r="D79" i="14"/>
  <c r="X82" i="1"/>
  <c r="E163" i="27" l="1"/>
  <c r="F163" i="27"/>
  <c r="H39" i="23"/>
  <c r="D39" i="23"/>
  <c r="G39" i="23"/>
  <c r="C39" i="23"/>
  <c r="F39" i="23"/>
  <c r="E39" i="23"/>
  <c r="I109" i="24"/>
  <c r="H109" i="24"/>
  <c r="F109" i="24"/>
  <c r="G109" i="24"/>
  <c r="D171" i="23"/>
  <c r="D186" i="23"/>
  <c r="E109" i="27" s="1"/>
  <c r="E111" i="27" s="1"/>
  <c r="AI32" i="1"/>
  <c r="P12" i="14"/>
  <c r="AG82" i="1"/>
  <c r="F27" i="14"/>
  <c r="AP17" i="1"/>
  <c r="AK32" i="1"/>
  <c r="AK82" i="1" s="1"/>
  <c r="AK89" i="1" s="1"/>
  <c r="Z82" i="1"/>
  <c r="O79" i="14" s="1"/>
  <c r="X89" i="1"/>
  <c r="E86" i="14" s="1"/>
  <c r="E79" i="14"/>
  <c r="E109" i="24" l="1"/>
  <c r="E111" i="24" s="1"/>
  <c r="E171" i="23"/>
  <c r="D172" i="23"/>
  <c r="AG89" i="1"/>
  <c r="F86" i="14" s="1"/>
  <c r="F79" i="14"/>
  <c r="AT17" i="1"/>
  <c r="G12" i="14"/>
  <c r="AR17" i="1"/>
  <c r="AP32" i="1"/>
  <c r="P27" i="14"/>
  <c r="C17" i="20" s="1"/>
  <c r="AI82" i="1"/>
  <c r="D16" i="16"/>
  <c r="C5" i="20"/>
  <c r="Z89" i="1"/>
  <c r="O86" i="14" s="1"/>
  <c r="AT32" i="1" l="1"/>
  <c r="AT82" i="1" s="1"/>
  <c r="AT89" i="1" s="1"/>
  <c r="AY17" i="1"/>
  <c r="E167" i="23"/>
  <c r="D185" i="23"/>
  <c r="E25" i="27" s="1"/>
  <c r="E172" i="23"/>
  <c r="F171" i="23"/>
  <c r="G16" i="16"/>
  <c r="G24" i="16" s="1"/>
  <c r="D24" i="16"/>
  <c r="AI89" i="1"/>
  <c r="P86" i="14" s="1"/>
  <c r="P79" i="14"/>
  <c r="G27" i="14"/>
  <c r="AP82" i="1"/>
  <c r="AR32" i="1"/>
  <c r="Q12" i="14"/>
  <c r="BA17" i="1" l="1"/>
  <c r="AY32" i="1"/>
  <c r="H12" i="14"/>
  <c r="F110" i="27"/>
  <c r="F111" i="27" s="1"/>
  <c r="E133" i="27" s="1"/>
  <c r="E25" i="24"/>
  <c r="F110" i="24" s="1"/>
  <c r="F111" i="24" s="1"/>
  <c r="G171" i="23"/>
  <c r="F172" i="23"/>
  <c r="F167" i="23"/>
  <c r="E185" i="23"/>
  <c r="F25" i="27" s="1"/>
  <c r="G110" i="27" s="1"/>
  <c r="G111" i="27" s="1"/>
  <c r="Q27" i="14"/>
  <c r="C18" i="20" s="1"/>
  <c r="AR82" i="1"/>
  <c r="AP89" i="1"/>
  <c r="G86" i="14" s="1"/>
  <c r="G79" i="14"/>
  <c r="D17" i="16"/>
  <c r="C6" i="20"/>
  <c r="AY82" i="1" l="1"/>
  <c r="H27" i="14"/>
  <c r="BA32" i="1"/>
  <c r="R12" i="14"/>
  <c r="E152" i="27"/>
  <c r="H168" i="27" s="1"/>
  <c r="F133" i="27"/>
  <c r="F25" i="24"/>
  <c r="G110" i="24" s="1"/>
  <c r="G111" i="24" s="1"/>
  <c r="E133" i="24"/>
  <c r="G167" i="23"/>
  <c r="F185" i="23"/>
  <c r="G25" i="27" s="1"/>
  <c r="H110" i="27" s="1"/>
  <c r="H111" i="27" s="1"/>
  <c r="G172" i="23"/>
  <c r="H171" i="23"/>
  <c r="H172" i="23" s="1"/>
  <c r="H185" i="23" s="1"/>
  <c r="I25" i="27" s="1"/>
  <c r="G17" i="16"/>
  <c r="G25" i="16" s="1"/>
  <c r="G27" i="16" s="1"/>
  <c r="D25" i="16"/>
  <c r="D27" i="16" s="1"/>
  <c r="AR89" i="1"/>
  <c r="Q86" i="14" s="1"/>
  <c r="Q79" i="14"/>
  <c r="BA82" i="1" l="1"/>
  <c r="R27" i="14"/>
  <c r="C14" i="23"/>
  <c r="C7" i="20"/>
  <c r="D18" i="16"/>
  <c r="G18" i="16" s="1"/>
  <c r="H79" i="14"/>
  <c r="AY89" i="1"/>
  <c r="H86" i="14" s="1"/>
  <c r="E152" i="24"/>
  <c r="H169" i="24" s="1"/>
  <c r="G133" i="27"/>
  <c r="F152" i="27"/>
  <c r="I168" i="27" s="1"/>
  <c r="G25" i="24"/>
  <c r="H110" i="24" s="1"/>
  <c r="H111" i="24" s="1"/>
  <c r="F133" i="24"/>
  <c r="I25" i="24"/>
  <c r="H167" i="23"/>
  <c r="G185" i="23"/>
  <c r="H25" i="27" s="1"/>
  <c r="G10" i="23"/>
  <c r="C10" i="23"/>
  <c r="F10" i="23"/>
  <c r="E10" i="23"/>
  <c r="H10" i="23"/>
  <c r="D10" i="23"/>
  <c r="D32" i="23" s="1"/>
  <c r="BA89" i="1" l="1"/>
  <c r="R86" i="14" s="1"/>
  <c r="R79" i="14"/>
  <c r="C15" i="23"/>
  <c r="C62" i="23" s="1"/>
  <c r="C19" i="20"/>
  <c r="D11" i="23"/>
  <c r="D14" i="23" s="1"/>
  <c r="E13" i="23" s="1"/>
  <c r="C17" i="23"/>
  <c r="D275" i="23"/>
  <c r="D276" i="23" s="1"/>
  <c r="C280" i="23"/>
  <c r="C64" i="23"/>
  <c r="F152" i="24"/>
  <c r="I169" i="24" s="1"/>
  <c r="I110" i="27"/>
  <c r="I111" i="27" s="1"/>
  <c r="G152" i="27"/>
  <c r="J168" i="27" s="1"/>
  <c r="H25" i="24"/>
  <c r="I110" i="24" s="1"/>
  <c r="I111" i="24" s="1"/>
  <c r="I133" i="24" s="1"/>
  <c r="G133" i="24"/>
  <c r="H32" i="23"/>
  <c r="H20" i="23"/>
  <c r="H131" i="23"/>
  <c r="H142" i="23"/>
  <c r="H144" i="23" s="1"/>
  <c r="H43" i="23"/>
  <c r="D131" i="23"/>
  <c r="D133" i="23" s="1"/>
  <c r="D152" i="23" s="1"/>
  <c r="D20" i="23"/>
  <c r="D43" i="23"/>
  <c r="D46" i="23" s="1"/>
  <c r="D47" i="23" s="1"/>
  <c r="E42" i="23" s="1"/>
  <c r="D142" i="23"/>
  <c r="D144" i="23" s="1"/>
  <c r="D13" i="23"/>
  <c r="C20" i="23"/>
  <c r="C50" i="23" s="1"/>
  <c r="G131" i="23"/>
  <c r="G43" i="23"/>
  <c r="G20" i="23"/>
  <c r="G142" i="23"/>
  <c r="G144" i="23" s="1"/>
  <c r="G32" i="23"/>
  <c r="E43" i="23"/>
  <c r="E142" i="23"/>
  <c r="E144" i="23" s="1"/>
  <c r="E131" i="23"/>
  <c r="E20" i="23"/>
  <c r="E32" i="23"/>
  <c r="F43" i="23"/>
  <c r="F20" i="23"/>
  <c r="F32" i="23"/>
  <c r="F142" i="23"/>
  <c r="F144" i="23" s="1"/>
  <c r="F131" i="23"/>
  <c r="D19" i="27" l="1"/>
  <c r="D19" i="24"/>
  <c r="C283" i="23"/>
  <c r="C284" i="23" s="1"/>
  <c r="C282" i="23"/>
  <c r="E11" i="23"/>
  <c r="E14" i="23" s="1"/>
  <c r="D64" i="23"/>
  <c r="D23" i="27"/>
  <c r="E66" i="27" s="1"/>
  <c r="D23" i="24"/>
  <c r="E66" i="24" s="1"/>
  <c r="H133" i="23"/>
  <c r="H152" i="23" s="1"/>
  <c r="E133" i="23"/>
  <c r="G133" i="23"/>
  <c r="F133" i="23"/>
  <c r="H133" i="27"/>
  <c r="H152" i="27" s="1"/>
  <c r="G152" i="24"/>
  <c r="J169" i="24" s="1"/>
  <c r="E46" i="23"/>
  <c r="E47" i="23" s="1"/>
  <c r="F42" i="23" s="1"/>
  <c r="E63" i="23"/>
  <c r="F65" i="27" s="1"/>
  <c r="H133" i="24"/>
  <c r="F50" i="23"/>
  <c r="F54" i="23" s="1"/>
  <c r="F23" i="23"/>
  <c r="E50" i="23"/>
  <c r="E54" i="23" s="1"/>
  <c r="E23" i="23"/>
  <c r="D63" i="23"/>
  <c r="E65" i="27" s="1"/>
  <c r="D16" i="23"/>
  <c r="D15" i="23"/>
  <c r="D62" i="23" s="1"/>
  <c r="E23" i="27" s="1"/>
  <c r="F66" i="27" s="1"/>
  <c r="D136" i="23"/>
  <c r="D134" i="23"/>
  <c r="H157" i="23"/>
  <c r="D147" i="23"/>
  <c r="D148" i="23" s="1"/>
  <c r="D157" i="23"/>
  <c r="D145" i="23"/>
  <c r="E145" i="23" s="1"/>
  <c r="F145" i="23" s="1"/>
  <c r="G145" i="23" s="1"/>
  <c r="H145" i="23" s="1"/>
  <c r="F157" i="23"/>
  <c r="E157" i="23"/>
  <c r="G157" i="23"/>
  <c r="H50" i="23"/>
  <c r="H54" i="23" s="1"/>
  <c r="H23" i="23"/>
  <c r="G50" i="23"/>
  <c r="G54" i="23" s="1"/>
  <c r="G23" i="23"/>
  <c r="D50" i="23"/>
  <c r="D54" i="23" s="1"/>
  <c r="D57" i="23" s="1"/>
  <c r="D23" i="23"/>
  <c r="E19" i="27" l="1"/>
  <c r="E19" i="24"/>
  <c r="E64" i="23"/>
  <c r="F11" i="23"/>
  <c r="F14" i="23" s="1"/>
  <c r="F13" i="23"/>
  <c r="F63" i="23" s="1"/>
  <c r="G65" i="27" s="1"/>
  <c r="C265" i="23"/>
  <c r="C285" i="23"/>
  <c r="E134" i="23"/>
  <c r="F134" i="23" s="1"/>
  <c r="G134" i="23" s="1"/>
  <c r="H134" i="23" s="1"/>
  <c r="F152" i="23"/>
  <c r="H85" i="24" s="1"/>
  <c r="G152" i="23"/>
  <c r="I85" i="24" s="1"/>
  <c r="E152" i="23"/>
  <c r="G85" i="24" s="1"/>
  <c r="F46" i="23"/>
  <c r="F47" i="23" s="1"/>
  <c r="G42" i="23" s="1"/>
  <c r="F100" i="27"/>
  <c r="F104" i="27" s="1"/>
  <c r="F131" i="27" s="1"/>
  <c r="F150" i="27" s="1"/>
  <c r="D156" i="23"/>
  <c r="E32" i="24" s="1"/>
  <c r="F100" i="24" s="1"/>
  <c r="D152" i="27"/>
  <c r="K168" i="27"/>
  <c r="H152" i="24"/>
  <c r="E147" i="23"/>
  <c r="E148" i="23" s="1"/>
  <c r="E156" i="23" s="1"/>
  <c r="F65" i="24"/>
  <c r="I98" i="24"/>
  <c r="H98" i="24"/>
  <c r="F98" i="24"/>
  <c r="F85" i="24"/>
  <c r="E65" i="24"/>
  <c r="G98" i="24"/>
  <c r="E23" i="24"/>
  <c r="F66" i="24" s="1"/>
  <c r="D58" i="23"/>
  <c r="E53" i="23" s="1"/>
  <c r="E57" i="23"/>
  <c r="D17" i="23"/>
  <c r="E15" i="23"/>
  <c r="E62" i="23" s="1"/>
  <c r="F23" i="27" s="1"/>
  <c r="G66" i="27" s="1"/>
  <c r="E16" i="23"/>
  <c r="D26" i="23"/>
  <c r="D25" i="23"/>
  <c r="D137" i="23"/>
  <c r="D151" i="23" s="1"/>
  <c r="E136" i="23"/>
  <c r="G65" i="24" l="1"/>
  <c r="C267" i="23"/>
  <c r="C270" i="23" s="1"/>
  <c r="C195" i="23"/>
  <c r="F19" i="27"/>
  <c r="F19" i="24"/>
  <c r="G11" i="23"/>
  <c r="G14" i="23" s="1"/>
  <c r="F64" i="23"/>
  <c r="G13" i="23"/>
  <c r="G63" i="23" s="1"/>
  <c r="G46" i="23"/>
  <c r="G47" i="23" s="1"/>
  <c r="H42" i="23" s="1"/>
  <c r="F147" i="23"/>
  <c r="F148" i="23" s="1"/>
  <c r="E162" i="27"/>
  <c r="F162" i="27"/>
  <c r="D152" i="24"/>
  <c r="K169" i="24"/>
  <c r="F32" i="24"/>
  <c r="G100" i="24" s="1"/>
  <c r="G104" i="24" s="1"/>
  <c r="G131" i="24" s="1"/>
  <c r="G150" i="24" s="1"/>
  <c r="G100" i="27"/>
  <c r="G104" i="27" s="1"/>
  <c r="G131" i="27" s="1"/>
  <c r="G150" i="27" s="1"/>
  <c r="E31" i="24"/>
  <c r="F87" i="24" s="1"/>
  <c r="F91" i="24" s="1"/>
  <c r="F127" i="24" s="1"/>
  <c r="F146" i="24" s="1"/>
  <c r="F23" i="24"/>
  <c r="G66" i="24" s="1"/>
  <c r="F104" i="24"/>
  <c r="F131" i="24" s="1"/>
  <c r="F150" i="24" s="1"/>
  <c r="D27" i="23"/>
  <c r="E26" i="23"/>
  <c r="E25" i="23"/>
  <c r="F136" i="23"/>
  <c r="E137" i="23"/>
  <c r="E151" i="23" s="1"/>
  <c r="E58" i="23"/>
  <c r="F53" i="23" s="1"/>
  <c r="F57" i="23"/>
  <c r="F16" i="23"/>
  <c r="F15" i="23"/>
  <c r="F62" i="23" s="1"/>
  <c r="G23" i="27" s="1"/>
  <c r="H66" i="27" s="1"/>
  <c r="E17" i="23"/>
  <c r="G19" i="27" l="1"/>
  <c r="G19" i="24"/>
  <c r="D44" i="27"/>
  <c r="H195" i="23"/>
  <c r="E195" i="23"/>
  <c r="D44" i="24"/>
  <c r="D195" i="23"/>
  <c r="G195" i="23"/>
  <c r="AI241" i="23"/>
  <c r="F195" i="23"/>
  <c r="H65" i="27"/>
  <c r="H65" i="24"/>
  <c r="H11" i="23"/>
  <c r="H14" i="23" s="1"/>
  <c r="H64" i="23" s="1"/>
  <c r="G64" i="23"/>
  <c r="H13" i="23"/>
  <c r="H63" i="23" s="1"/>
  <c r="H46" i="23"/>
  <c r="H47" i="23" s="1"/>
  <c r="G147" i="23"/>
  <c r="G148" i="23" s="1"/>
  <c r="H100" i="27"/>
  <c r="H104" i="27" s="1"/>
  <c r="H131" i="27" s="1"/>
  <c r="H150" i="27" s="1"/>
  <c r="D150" i="27" s="1"/>
  <c r="F156" i="23"/>
  <c r="G32" i="24" s="1"/>
  <c r="H100" i="24" s="1"/>
  <c r="H104" i="24" s="1"/>
  <c r="H131" i="24" s="1"/>
  <c r="H150" i="24" s="1"/>
  <c r="D150" i="24" s="1"/>
  <c r="F31" i="24"/>
  <c r="G87" i="24" s="1"/>
  <c r="G91" i="24" s="1"/>
  <c r="G127" i="24" s="1"/>
  <c r="G146" i="24" s="1"/>
  <c r="G23" i="24"/>
  <c r="H66" i="24" s="1"/>
  <c r="G57" i="23"/>
  <c r="F58" i="23"/>
  <c r="G53" i="23" s="1"/>
  <c r="F17" i="23"/>
  <c r="G16" i="23"/>
  <c r="G15" i="23"/>
  <c r="G62" i="23" s="1"/>
  <c r="H23" i="27" s="1"/>
  <c r="I66" i="27" s="1"/>
  <c r="G136" i="23"/>
  <c r="F137" i="23"/>
  <c r="F151" i="23" s="1"/>
  <c r="E27" i="23"/>
  <c r="F25" i="23"/>
  <c r="F26" i="23"/>
  <c r="H147" i="23" l="1"/>
  <c r="H148" i="23" s="1"/>
  <c r="H156" i="23" s="1"/>
  <c r="I32" i="24" s="1"/>
  <c r="I65" i="27"/>
  <c r="I65" i="24"/>
  <c r="E44" i="27"/>
  <c r="E44" i="24"/>
  <c r="H19" i="27"/>
  <c r="H19" i="24"/>
  <c r="E63" i="24"/>
  <c r="E69" i="24" s="1"/>
  <c r="E64" i="24"/>
  <c r="I19" i="27"/>
  <c r="I19" i="24"/>
  <c r="F44" i="27"/>
  <c r="F44" i="24"/>
  <c r="I44" i="27"/>
  <c r="I44" i="24"/>
  <c r="G44" i="27"/>
  <c r="G44" i="24"/>
  <c r="H44" i="27"/>
  <c r="H44" i="24"/>
  <c r="E63" i="27"/>
  <c r="E64" i="27"/>
  <c r="AI243" i="23"/>
  <c r="AJ242" i="23" s="1"/>
  <c r="I100" i="27"/>
  <c r="I104" i="27" s="1"/>
  <c r="G156" i="23"/>
  <c r="H32" i="24" s="1"/>
  <c r="H23" i="24"/>
  <c r="I66" i="24" s="1"/>
  <c r="G31" i="24"/>
  <c r="H87" i="24" s="1"/>
  <c r="H91" i="24" s="1"/>
  <c r="H127" i="24" s="1"/>
  <c r="H146" i="24" s="1"/>
  <c r="D146" i="24" s="1"/>
  <c r="H57" i="23"/>
  <c r="H58" i="23" s="1"/>
  <c r="G58" i="23"/>
  <c r="H53" i="23" s="1"/>
  <c r="G17" i="23"/>
  <c r="H15" i="23"/>
  <c r="H62" i="23" s="1"/>
  <c r="I23" i="27" s="1"/>
  <c r="H16" i="23"/>
  <c r="H17" i="23" s="1"/>
  <c r="F27" i="23"/>
  <c r="G25" i="23"/>
  <c r="G26" i="23"/>
  <c r="G137" i="23"/>
  <c r="G151" i="23" s="1"/>
  <c r="H136" i="23"/>
  <c r="H137" i="23" s="1"/>
  <c r="H151" i="23" s="1"/>
  <c r="E69" i="27" l="1"/>
  <c r="H64" i="24"/>
  <c r="H63" i="24"/>
  <c r="H63" i="27"/>
  <c r="H64" i="27"/>
  <c r="AJ241" i="23"/>
  <c r="G64" i="24"/>
  <c r="G63" i="24"/>
  <c r="I69" i="24"/>
  <c r="G63" i="27"/>
  <c r="G69" i="27" s="1"/>
  <c r="G64" i="27"/>
  <c r="I64" i="24"/>
  <c r="I63" i="24"/>
  <c r="F64" i="24"/>
  <c r="F63" i="24"/>
  <c r="F69" i="24" s="1"/>
  <c r="E119" i="27"/>
  <c r="I63" i="27"/>
  <c r="I64" i="27"/>
  <c r="F64" i="27"/>
  <c r="F63" i="27"/>
  <c r="F69" i="27" s="1"/>
  <c r="I100" i="24"/>
  <c r="I104" i="24" s="1"/>
  <c r="I131" i="24" s="1"/>
  <c r="I132" i="24" s="1"/>
  <c r="E161" i="24"/>
  <c r="F161" i="24"/>
  <c r="I31" i="24"/>
  <c r="H31" i="24"/>
  <c r="I87" i="24" s="1"/>
  <c r="I91" i="24" s="1"/>
  <c r="I127" i="24" s="1"/>
  <c r="I128" i="24" s="1"/>
  <c r="I23" i="24"/>
  <c r="G27" i="23"/>
  <c r="H25" i="23"/>
  <c r="H26" i="23"/>
  <c r="H27" i="23" s="1"/>
  <c r="H69" i="24" l="1"/>
  <c r="I69" i="27"/>
  <c r="G69" i="24"/>
  <c r="E119" i="24"/>
  <c r="F119" i="27"/>
  <c r="H69" i="27"/>
  <c r="G119" i="27" s="1"/>
  <c r="I138" i="24"/>
  <c r="H119" i="24"/>
  <c r="K167" i="24" s="1"/>
  <c r="G119" i="24" l="1"/>
  <c r="J167" i="24" s="1"/>
  <c r="D119" i="27"/>
  <c r="F119" i="24"/>
  <c r="I167" i="24" s="1"/>
  <c r="H119" i="27"/>
  <c r="E121" i="27" l="1"/>
  <c r="G121" i="27"/>
  <c r="G126" i="27" s="1"/>
  <c r="F121" i="27"/>
  <c r="F126" i="27" s="1"/>
  <c r="H121" i="27"/>
  <c r="H126" i="27" s="1"/>
  <c r="D119" i="24"/>
  <c r="G121" i="24" s="1"/>
  <c r="G126" i="24" s="1"/>
  <c r="H121" i="24" l="1"/>
  <c r="H126" i="24" s="1"/>
  <c r="H145" i="24" s="1"/>
  <c r="H147" i="24" s="1"/>
  <c r="G145" i="27"/>
  <c r="G128" i="27"/>
  <c r="E121" i="24"/>
  <c r="E126" i="24" s="1"/>
  <c r="F121" i="24"/>
  <c r="F126" i="24" s="1"/>
  <c r="F128" i="24" s="1"/>
  <c r="E126" i="27"/>
  <c r="D121" i="27"/>
  <c r="H145" i="27"/>
  <c r="H128" i="27"/>
  <c r="F145" i="27"/>
  <c r="F128" i="27"/>
  <c r="G145" i="24"/>
  <c r="G147" i="24" s="1"/>
  <c r="G128" i="24"/>
  <c r="D121" i="24" l="1"/>
  <c r="F145" i="24"/>
  <c r="F147" i="24" s="1"/>
  <c r="H128" i="24"/>
  <c r="G147" i="27"/>
  <c r="J166" i="27"/>
  <c r="F147" i="27"/>
  <c r="I166" i="27"/>
  <c r="K166" i="27"/>
  <c r="H147" i="27"/>
  <c r="E145" i="27"/>
  <c r="E128" i="27"/>
  <c r="E128" i="24"/>
  <c r="E145" i="24"/>
  <c r="H167" i="24" s="1"/>
  <c r="H166" i="27" l="1"/>
  <c r="E147" i="27"/>
  <c r="D147" i="27" s="1"/>
  <c r="D145" i="27"/>
  <c r="E147" i="24"/>
  <c r="D147" i="24" s="1"/>
  <c r="D145" i="24"/>
  <c r="E160" i="27" l="1"/>
  <c r="F160" i="27"/>
  <c r="E162" i="24"/>
  <c r="F162" i="24"/>
  <c r="K17" i="29"/>
  <c r="L24" i="29"/>
  <c r="D30" i="23" s="1"/>
  <c r="D36" i="23" s="1"/>
  <c r="I21" i="29"/>
  <c r="I24" i="29" s="1"/>
  <c r="L21" i="29"/>
  <c r="M24" i="29" s="1"/>
  <c r="D31" i="23" s="1"/>
  <c r="D194" i="23" l="1"/>
  <c r="E194" i="23" s="1"/>
  <c r="E34" i="23"/>
  <c r="E67" i="23" s="1"/>
  <c r="D280" i="23"/>
  <c r="E36" i="23"/>
  <c r="D68" i="23"/>
  <c r="L26" i="29"/>
  <c r="D34" i="23"/>
  <c r="D67" i="23" s="1"/>
  <c r="D69" i="23"/>
  <c r="D35" i="23" l="1"/>
  <c r="E45" i="27"/>
  <c r="E45" i="24"/>
  <c r="D282" i="23"/>
  <c r="D283" i="23"/>
  <c r="D284" i="23" s="1"/>
  <c r="F194" i="23"/>
  <c r="F45" i="24"/>
  <c r="F45" i="27"/>
  <c r="E20" i="27"/>
  <c r="E20" i="24"/>
  <c r="F34" i="23"/>
  <c r="F67" i="23" s="1"/>
  <c r="E68" i="23"/>
  <c r="F36" i="23"/>
  <c r="E280" i="23"/>
  <c r="F74" i="24"/>
  <c r="F74" i="27"/>
  <c r="E35" i="27"/>
  <c r="E35" i="24"/>
  <c r="E74" i="24"/>
  <c r="E74" i="27"/>
  <c r="E33" i="23" l="1"/>
  <c r="E35" i="23" s="1"/>
  <c r="E66" i="23" s="1"/>
  <c r="D66" i="23"/>
  <c r="E24" i="24" s="1"/>
  <c r="F75" i="24" s="1"/>
  <c r="F73" i="24"/>
  <c r="F72" i="24"/>
  <c r="F73" i="27"/>
  <c r="F72" i="27"/>
  <c r="F280" i="23"/>
  <c r="F68" i="23"/>
  <c r="G34" i="23"/>
  <c r="G67" i="23" s="1"/>
  <c r="G36" i="23"/>
  <c r="E75" i="24"/>
  <c r="E54" i="24"/>
  <c r="G74" i="27"/>
  <c r="G74" i="24"/>
  <c r="F20" i="24"/>
  <c r="F20" i="27"/>
  <c r="D265" i="23"/>
  <c r="D285" i="23"/>
  <c r="G73" i="27"/>
  <c r="G72" i="27"/>
  <c r="E75" i="27"/>
  <c r="E54" i="27"/>
  <c r="G73" i="24"/>
  <c r="G72" i="24"/>
  <c r="E283" i="23"/>
  <c r="E284" i="23" s="1"/>
  <c r="E282" i="23"/>
  <c r="G194" i="23"/>
  <c r="G45" i="24"/>
  <c r="G45" i="27"/>
  <c r="F33" i="23" l="1"/>
  <c r="F35" i="23" s="1"/>
  <c r="G33" i="23" s="1"/>
  <c r="G35" i="23" s="1"/>
  <c r="E24" i="27"/>
  <c r="F75" i="27" s="1"/>
  <c r="F78" i="27" s="1"/>
  <c r="F78" i="24"/>
  <c r="H45" i="27"/>
  <c r="H45" i="24"/>
  <c r="H194" i="23"/>
  <c r="F283" i="23"/>
  <c r="F284" i="23" s="1"/>
  <c r="F282" i="23"/>
  <c r="G20" i="27"/>
  <c r="G20" i="24"/>
  <c r="E265" i="23"/>
  <c r="E285" i="23"/>
  <c r="E73" i="24"/>
  <c r="E72" i="24"/>
  <c r="E78" i="24" s="1"/>
  <c r="E120" i="24" s="1"/>
  <c r="H72" i="27"/>
  <c r="H73" i="27"/>
  <c r="F24" i="27"/>
  <c r="G75" i="27" s="1"/>
  <c r="G78" i="27" s="1"/>
  <c r="F24" i="24"/>
  <c r="G75" i="24" s="1"/>
  <c r="G78" i="24" s="1"/>
  <c r="H34" i="23"/>
  <c r="H67" i="23" s="1"/>
  <c r="G68" i="23"/>
  <c r="H36" i="23"/>
  <c r="G280" i="23"/>
  <c r="H72" i="24"/>
  <c r="H73" i="24"/>
  <c r="E73" i="27"/>
  <c r="E72" i="27"/>
  <c r="E78" i="27" s="1"/>
  <c r="D267" i="23"/>
  <c r="D270" i="23" s="1"/>
  <c r="H74" i="24"/>
  <c r="H74" i="27"/>
  <c r="F66" i="23" l="1"/>
  <c r="G24" i="24" s="1"/>
  <c r="H75" i="24" s="1"/>
  <c r="H78" i="24" s="1"/>
  <c r="G120" i="24" s="1"/>
  <c r="F120" i="24"/>
  <c r="E120" i="27"/>
  <c r="F120" i="27"/>
  <c r="I72" i="27"/>
  <c r="I73" i="27"/>
  <c r="H68" i="23"/>
  <c r="H280" i="23"/>
  <c r="G66" i="23"/>
  <c r="H33" i="23"/>
  <c r="H35" i="23" s="1"/>
  <c r="H66" i="23" s="1"/>
  <c r="I72" i="24"/>
  <c r="I73" i="24"/>
  <c r="I74" i="24"/>
  <c r="I74" i="27"/>
  <c r="F285" i="23"/>
  <c r="F265" i="23"/>
  <c r="G283" i="23"/>
  <c r="G284" i="23" s="1"/>
  <c r="G282" i="23"/>
  <c r="H20" i="24"/>
  <c r="H20" i="27"/>
  <c r="E267" i="23"/>
  <c r="E270" i="23" s="1"/>
  <c r="I45" i="24"/>
  <c r="I45" i="27"/>
  <c r="G24" i="27" l="1"/>
  <c r="H75" i="27" s="1"/>
  <c r="H78" i="27" s="1"/>
  <c r="G120" i="27" s="1"/>
  <c r="G265" i="23"/>
  <c r="G285" i="23"/>
  <c r="H283" i="23"/>
  <c r="H284" i="23" s="1"/>
  <c r="H282" i="23"/>
  <c r="I20" i="27"/>
  <c r="I20" i="24"/>
  <c r="H24" i="27"/>
  <c r="I75" i="27" s="1"/>
  <c r="I78" i="27" s="1"/>
  <c r="H24" i="24"/>
  <c r="I75" i="24" s="1"/>
  <c r="I78" i="24" s="1"/>
  <c r="H120" i="24" s="1"/>
  <c r="D120" i="24" s="1"/>
  <c r="F267" i="23"/>
  <c r="F270" i="23" s="1"/>
  <c r="I24" i="27"/>
  <c r="I24" i="24"/>
  <c r="H120" i="27" l="1"/>
  <c r="D120" i="27"/>
  <c r="F122" i="27" s="1"/>
  <c r="F130" i="27" s="1"/>
  <c r="G122" i="24"/>
  <c r="G130" i="24" s="1"/>
  <c r="F122" i="24"/>
  <c r="F130" i="24" s="1"/>
  <c r="H122" i="24"/>
  <c r="H130" i="24" s="1"/>
  <c r="E122" i="24"/>
  <c r="H285" i="23"/>
  <c r="H265" i="23"/>
  <c r="G267" i="23"/>
  <c r="G270" i="23" s="1"/>
  <c r="G122" i="27" l="1"/>
  <c r="G130" i="27" s="1"/>
  <c r="G132" i="27" s="1"/>
  <c r="G138" i="27" s="1"/>
  <c r="E122" i="27"/>
  <c r="H122" i="27"/>
  <c r="H130" i="27" s="1"/>
  <c r="F132" i="27"/>
  <c r="F138" i="27" s="1"/>
  <c r="F149" i="27"/>
  <c r="H149" i="27"/>
  <c r="H132" i="27"/>
  <c r="H138" i="27" s="1"/>
  <c r="E130" i="24"/>
  <c r="D122" i="24"/>
  <c r="H132" i="24"/>
  <c r="H138" i="24" s="1"/>
  <c r="H149" i="24"/>
  <c r="F149" i="24"/>
  <c r="F132" i="24"/>
  <c r="F138" i="24" s="1"/>
  <c r="G132" i="24"/>
  <c r="G138" i="24" s="1"/>
  <c r="G149" i="24"/>
  <c r="H267" i="23"/>
  <c r="H270" i="23" s="1"/>
  <c r="D122" i="27" l="1"/>
  <c r="E130" i="27"/>
  <c r="E132" i="27" s="1"/>
  <c r="E138" i="27" s="1"/>
  <c r="G149" i="27"/>
  <c r="G151" i="27" s="1"/>
  <c r="G157" i="27" s="1"/>
  <c r="G151" i="24"/>
  <c r="G157" i="24" s="1"/>
  <c r="J168" i="24"/>
  <c r="J172" i="24" s="1"/>
  <c r="H151" i="27"/>
  <c r="H157" i="27" s="1"/>
  <c r="K167" i="27"/>
  <c r="K171" i="27" s="1"/>
  <c r="F151" i="27"/>
  <c r="F157" i="27" s="1"/>
  <c r="I167" i="27"/>
  <c r="I171" i="27" s="1"/>
  <c r="I168" i="24"/>
  <c r="I172" i="24" s="1"/>
  <c r="F151" i="24"/>
  <c r="F157" i="24" s="1"/>
  <c r="H151" i="24"/>
  <c r="H157" i="24" s="1"/>
  <c r="K168" i="24"/>
  <c r="K172" i="24" s="1"/>
  <c r="E132" i="24"/>
  <c r="E138" i="24" s="1"/>
  <c r="E149" i="24"/>
  <c r="J167" i="27" l="1"/>
  <c r="J171" i="27" s="1"/>
  <c r="J173" i="27" s="1"/>
  <c r="E149" i="27"/>
  <c r="D149" i="27" s="1"/>
  <c r="E151" i="24"/>
  <c r="H168" i="24"/>
  <c r="H172" i="24" s="1"/>
  <c r="D149" i="24"/>
  <c r="K173" i="27" l="1"/>
  <c r="E151" i="27"/>
  <c r="E157" i="27" s="1"/>
  <c r="D157" i="27" s="1"/>
  <c r="H167" i="27"/>
  <c r="H171" i="27" s="1"/>
  <c r="H173" i="27" s="1"/>
  <c r="H175" i="27" s="1"/>
  <c r="D151" i="24"/>
  <c r="E157" i="24"/>
  <c r="D157" i="24" s="1"/>
  <c r="I173" i="27" l="1"/>
  <c r="I175" i="27" s="1"/>
  <c r="D151" i="27"/>
  <c r="F161" i="27" s="1"/>
  <c r="E163" i="24"/>
  <c r="F163" i="24"/>
  <c r="E161" i="27" l="1"/>
  <c r="K175" i="27"/>
  <c r="J175" i="27"/>
</calcChain>
</file>

<file path=xl/comments1.xml><?xml version="1.0" encoding="utf-8"?>
<comments xmlns="http://schemas.openxmlformats.org/spreadsheetml/2006/main">
  <authors>
    <author>Nicolas Stern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Preliminar (Según Estados Financieros y Regulados 2016 a verificar activos depreciables incorporados por ETESA)</t>
        </r>
      </text>
    </comment>
  </commentList>
</comments>
</file>

<file path=xl/comments2.xml><?xml version="1.0" encoding="utf-8"?>
<comments xmlns="http://schemas.openxmlformats.org/spreadsheetml/2006/main">
  <authors>
    <author>CarlosV</author>
  </authors>
  <commentList>
    <comment ref="B233" authorId="0" shapeId="0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4" authorId="0" shapeId="0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36" authorId="0" shapeId="0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37" authorId="0" shapeId="0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39" authorId="0" shapeId="0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40" authorId="0" shapeId="0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  <comment ref="B242" authorId="0" shapeId="0">
      <text>
        <r>
          <rPr>
            <sz val="9"/>
            <color indexed="81"/>
            <rFont val="Tahoma"/>
            <family val="2"/>
          </rPr>
          <t>Por ej: una inversión activada a fines de octubre, ha estado 75% del año tarifario activada</t>
        </r>
      </text>
    </comment>
    <comment ref="B243" authorId="0" shapeId="0">
      <text>
        <r>
          <rPr>
            <sz val="9"/>
            <color indexed="81"/>
            <rFont val="Tahoma"/>
            <family val="2"/>
          </rPr>
          <t>Por ej: una inversión activada a fines de marzo, ha estado 25% del año tarifario activada</t>
        </r>
      </text>
    </comment>
  </commentList>
</comments>
</file>

<file path=xl/comments3.xml><?xml version="1.0" encoding="utf-8"?>
<comments xmlns="http://schemas.openxmlformats.org/spreadsheetml/2006/main">
  <authors>
    <author>Nicolas Stern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</rPr>
          <t>Según criterio ASEP</t>
        </r>
      </text>
    </comment>
  </commentList>
</comments>
</file>

<file path=xl/comments4.xml><?xml version="1.0" encoding="utf-8"?>
<comments xmlns="http://schemas.openxmlformats.org/spreadsheetml/2006/main">
  <authors>
    <author>Nicolas Stern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Promedio empleados 2016</t>
        </r>
      </text>
    </comment>
  </commentList>
</comments>
</file>

<file path=xl/comments5.xml><?xml version="1.0" encoding="utf-8"?>
<comments xmlns="http://schemas.openxmlformats.org/spreadsheetml/2006/main">
  <authors>
    <author>Nicolas Stern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Nicolas Stern:</t>
        </r>
        <r>
          <rPr>
            <sz val="9"/>
            <color indexed="81"/>
            <rFont val="Tahoma"/>
            <family val="2"/>
          </rPr>
          <t xml:space="preserve">
Según definición preliminar ASEP</t>
        </r>
      </text>
    </comment>
  </commentList>
</comments>
</file>

<file path=xl/comments6.xml><?xml version="1.0" encoding="utf-8"?>
<comments xmlns="http://schemas.openxmlformats.org/spreadsheetml/2006/main">
  <authors>
    <author>jvisuette</author>
    <author>Julio Visuette</author>
  </authors>
  <commentList>
    <comment ref="S72" authorId="0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Extralibro $0.10- se ajusta en el mes de enero de 2013.</t>
        </r>
      </text>
    </comment>
    <comment ref="T72" authorId="1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Ajuste $1.00-
       $525.00-
uies 54922 &amp; 55087</t>
        </r>
      </text>
    </comment>
    <comment ref="AB72" authorId="0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Extralibro $0.10- se ajusta en el mes de enero de 2013.</t>
        </r>
      </text>
    </comment>
    <comment ref="AF72" authorId="1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Se ajusta $0.01 centecimo.</t>
        </r>
      </text>
    </comment>
    <comment ref="T73" authorId="1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ajuste en ui 55090 x $57.43-.</t>
        </r>
      </text>
    </comment>
  </commentList>
</comments>
</file>

<file path=xl/comments7.xml><?xml version="1.0" encoding="utf-8"?>
<comments xmlns="http://schemas.openxmlformats.org/spreadsheetml/2006/main">
  <authors>
    <author>Julio Visuette</author>
    <author>jvisuette</author>
  </authors>
  <commentList>
    <comment ref="D62" authorId="0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INCLUYE 2 TORRES DE EMERGENCIAS</t>
        </r>
      </text>
    </comment>
    <comment ref="C88" authorId="1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incluye valor extra libro</t>
        </r>
      </text>
    </comment>
    <comment ref="D88" authorId="1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se incluye valor extra libro por $1,035,234.07 de S/E 230kv Llano Sanchez cuentas en tramites 7, 8 y 9. Bancos de capacitores.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SE ADICIONA $105,983.50 EQUIPO DE PROTECCION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</rPr>
          <t>Julio Visuette:</t>
        </r>
        <r>
          <rPr>
            <sz val="9"/>
            <color indexed="81"/>
            <rFont val="Tahoma"/>
            <family val="2"/>
          </rPr>
          <t xml:space="preserve">
SE ADICIONA $217,268.51 OTROS EQUIPO DE S/E</t>
        </r>
      </text>
    </comment>
    <comment ref="C103" authorId="1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incluye valor extra libro</t>
        </r>
      </text>
    </comment>
    <comment ref="D103" authorId="1" shapeId="0">
      <text>
        <r>
          <rPr>
            <b/>
            <sz val="9"/>
            <color indexed="81"/>
            <rFont val="Tahoma"/>
            <family val="2"/>
          </rPr>
          <t>jvisuette:</t>
        </r>
        <r>
          <rPr>
            <sz val="9"/>
            <color indexed="81"/>
            <rFont val="Tahoma"/>
            <family val="2"/>
          </rPr>
          <t xml:space="preserve">
Se incluye valor extra libro $1,769,771.93 Banco de capacitores cuentas en tramite 7, 8 y 9. Patio Panamá II 115kv.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Los 456396,77 son los solicitados por ETESA en Nota ETE-DGC-GTA-010-2013 del 23 de Julio de 2013 por gastos 2009-2013.</t>
        </r>
      </text>
    </comment>
  </commentList>
</comments>
</file>

<file path=xl/sharedStrings.xml><?xml version="1.0" encoding="utf-8"?>
<sst xmlns="http://schemas.openxmlformats.org/spreadsheetml/2006/main" count="3526" uniqueCount="1150">
  <si>
    <t>EMPRESA DE TRANSMISION ELECTRICA S.A.</t>
  </si>
  <si>
    <t>BIENES E INSTALACIONES EN SERVICIOS</t>
  </si>
  <si>
    <t>COSTO AL</t>
  </si>
  <si>
    <t>DEPRECIACION</t>
  </si>
  <si>
    <t>VALOR NETO</t>
  </si>
  <si>
    <t>ADICIONES</t>
  </si>
  <si>
    <t>RETIROS</t>
  </si>
  <si>
    <t>RECLASIFICACIONES</t>
  </si>
  <si>
    <t xml:space="preserve">AJUSTES </t>
  </si>
  <si>
    <t>SISTEMA PRINCIPAL</t>
  </si>
  <si>
    <t>TERRENOS</t>
  </si>
  <si>
    <t>EDIFICIOS Y MEJORAS</t>
  </si>
  <si>
    <t>CAMINOS Y SENDEROS</t>
  </si>
  <si>
    <t>SERVIDUMBRE</t>
  </si>
  <si>
    <t>EQUIPO ELÉCTRICO AUXILIAR</t>
  </si>
  <si>
    <t>EQUIPO ELÉCTRICO MISCELÁNEO</t>
  </si>
  <si>
    <t>EQUIPO DE SUBESTACIONES</t>
  </si>
  <si>
    <t>TORRES Y ACCESORIOS</t>
  </si>
  <si>
    <t>CONDUCTORES AÉREOS Y ACCESORIOS</t>
  </si>
  <si>
    <t>EQUIPO MECANICO</t>
  </si>
  <si>
    <t>EQUIPO DE COMUNICACIÓN</t>
  </si>
  <si>
    <t>TRANSFORMADORES DE LÍNEAS</t>
  </si>
  <si>
    <t>EQUIPO DE PROTECCIÓN, CONTROL Y</t>
  </si>
  <si>
    <t>MOBILIARIO Y EQUIPO DE OFICINA</t>
  </si>
  <si>
    <t>HERRAMIENTAS ESPECIALIZADAS</t>
  </si>
  <si>
    <t>SUB TOTAL</t>
  </si>
  <si>
    <t>CONEXIÓN</t>
  </si>
  <si>
    <t>CENTRO NACIONAL DE DESPACHO</t>
  </si>
  <si>
    <t>EQUIPO ELECTRICO AUXILIAR</t>
  </si>
  <si>
    <t>EQUIPO DE INFORMÁTICA</t>
  </si>
  <si>
    <t>EQUIPO Y MOBILIARIO DE OFICINA</t>
  </si>
  <si>
    <t>EQUIPO DE TRANSPORTE</t>
  </si>
  <si>
    <t>HIDROMETEOROLOGIA</t>
  </si>
  <si>
    <t>ESTACIONES HIDROLÓGICAS</t>
  </si>
  <si>
    <t>ESTACIONES METEOROLÓGICAS</t>
  </si>
  <si>
    <t>EQUIPO DE HIDROMETEOROLOGÍA</t>
  </si>
  <si>
    <t>GERENCIAL APOYO</t>
  </si>
  <si>
    <t>EQUIPO DE LABORATORIO</t>
  </si>
  <si>
    <t>EQUIPO DE INFORMATICA</t>
  </si>
  <si>
    <t>GERENCIAL APOYO NO PRODUCTIVO</t>
  </si>
  <si>
    <t>TOTAL</t>
  </si>
  <si>
    <t xml:space="preserve">Bienes Donados - Informática - Hidromet </t>
  </si>
  <si>
    <t>EQUIPO TORRES - ACP / STP</t>
  </si>
  <si>
    <t>EQUIPO CONDUCTORES Y OTROS - ACP / STP</t>
  </si>
  <si>
    <t>Gran Total</t>
  </si>
  <si>
    <t>Unidad  de</t>
  </si>
  <si>
    <t>Fecha</t>
  </si>
  <si>
    <t>Mes de</t>
  </si>
  <si>
    <t>Numero de</t>
  </si>
  <si>
    <t>Vida</t>
  </si>
  <si>
    <t>Inventario</t>
  </si>
  <si>
    <t>Categoria</t>
  </si>
  <si>
    <t xml:space="preserve"> Descripción</t>
  </si>
  <si>
    <t>Puesta  en</t>
  </si>
  <si>
    <t>de la</t>
  </si>
  <si>
    <t>altas</t>
  </si>
  <si>
    <t>Proveedor</t>
  </si>
  <si>
    <t>Factura</t>
  </si>
  <si>
    <t>Costo Inicial</t>
  </si>
  <si>
    <t>Útil</t>
  </si>
  <si>
    <t xml:space="preserve"> Servicio</t>
  </si>
  <si>
    <t>masivas</t>
  </si>
  <si>
    <t>Ajuste a factura</t>
  </si>
  <si>
    <t>EQUIPO ELECTRICO MISCELANEO</t>
  </si>
  <si>
    <t>abril</t>
  </si>
  <si>
    <t>junio</t>
  </si>
  <si>
    <t>ESTACIONES METEOROLOGICAS TIPO A, B, C</t>
  </si>
  <si>
    <t>ESTACIONES HIDROLOGICAS</t>
  </si>
  <si>
    <t>EQUIPO DE HIDROMETEOROLOGIA</t>
  </si>
  <si>
    <t>julio</t>
  </si>
  <si>
    <t>Banco de Capacitores 115 kv</t>
  </si>
  <si>
    <t>BANCO CAPACITORES S/E PANAMA 2-115KV 120 MVAR</t>
  </si>
  <si>
    <t>C-4-S/E-2010-06</t>
  </si>
  <si>
    <t>Banco de capacitores 230 kV</t>
  </si>
  <si>
    <t>BANCO CAPAC-90 MVAR LL. SANCH.</t>
  </si>
  <si>
    <t>C-4-S/E-2010-12</t>
  </si>
  <si>
    <t>EQUIPO DE COMUNICACION</t>
  </si>
  <si>
    <t>SISTEMA DE MEDICIÓN COMERCIAL</t>
  </si>
  <si>
    <t>octubre</t>
  </si>
  <si>
    <t>SMEC CHANG. SMEC L/T 230-21</t>
  </si>
  <si>
    <t>C-4-S/E-2010-21 SMEC</t>
  </si>
  <si>
    <t>TRANSFORMADORES</t>
  </si>
  <si>
    <t>Auto Transformador de Potencia de MDN -230-115-34.5 kv Adición al costo</t>
  </si>
  <si>
    <t>noviembre</t>
  </si>
  <si>
    <t>REEMP.TRAFO T2 MATA DE NANCE</t>
  </si>
  <si>
    <t>C-4-2010-11</t>
  </si>
  <si>
    <t>Transformador T3 Chorrera adición de costo</t>
  </si>
  <si>
    <t>ADIC. TRAFO T3 CHORRERA</t>
  </si>
  <si>
    <t>C-4-S/E-2010-05</t>
  </si>
  <si>
    <t>Auto Transformador de Potencia T3 SE Ll Schz adición al costo</t>
  </si>
  <si>
    <t>ADIC. T3 LLANO SANCHEZ</t>
  </si>
  <si>
    <t>C-4-S/E-2010-07</t>
  </si>
  <si>
    <t>diciembre</t>
  </si>
  <si>
    <t>ADICION BANCO CAPACITORES 90 MVAR S/E LLANO . SANCHEZ</t>
  </si>
  <si>
    <t>Auto Transformador Adición al Costo</t>
  </si>
  <si>
    <t>ADICION TRANSFORMADOR T3 CHORRERA</t>
  </si>
  <si>
    <t>Auto Transformador de Potencia adición al costo</t>
  </si>
  <si>
    <t>Banco de capacitores adic al costo 230 kV</t>
  </si>
  <si>
    <t>Banco de Capacitores adic al costo 115kv</t>
  </si>
  <si>
    <t>SISTEMA DE MEDICIÓN SMEC (MEDIDOR)</t>
  </si>
  <si>
    <t>MEDIDOR SMEC ADIC AL COSTO F</t>
  </si>
  <si>
    <t>Reemplazo de Interruptor de potencia 11A22</t>
  </si>
  <si>
    <t>PATIO 115 KV-LLANO SANCHEZ</t>
  </si>
  <si>
    <t>C-4-S/E-2011-01</t>
  </si>
  <si>
    <t>Reemplazo de Interruptor de potencia 11B12</t>
  </si>
  <si>
    <t>Reemplazo de Interruptor de potencia 11A12</t>
  </si>
  <si>
    <t>Interruptor de potencia 3R1</t>
  </si>
  <si>
    <t>PATIO 34.5 KV-LLANO SANCHEZ</t>
  </si>
  <si>
    <t>C-4-S/E-2011-02</t>
  </si>
  <si>
    <t>Interruptor de potencia SA1</t>
  </si>
  <si>
    <t>PATIO 34.5 KV-MATA DE NANCE</t>
  </si>
  <si>
    <t>C-4-S/E-2011-03</t>
  </si>
  <si>
    <t>Interruptor de potencia SA2</t>
  </si>
  <si>
    <t>Interruptor de potencia 11A12</t>
  </si>
  <si>
    <t>PATIO 115KV-MATA DE NANCE</t>
  </si>
  <si>
    <t>C-4-S/E-2011-04</t>
  </si>
  <si>
    <t>Interruptor de potencia 11A22</t>
  </si>
  <si>
    <t>Interruptor de potencia 11M22</t>
  </si>
  <si>
    <t>Interruptor de potencia 11B12</t>
  </si>
  <si>
    <t>Interruptor de potencia 11B22</t>
  </si>
  <si>
    <t>55441</t>
  </si>
  <si>
    <t>Barras de 115 kV</t>
  </si>
  <si>
    <t>ADICIÓN DE 50 MVAR AL BANCO DE CAPACITORES DE LA SUBESTACIÓN PANAMÁ 115 KV</t>
  </si>
  <si>
    <t>C-8-S/E-2012-15</t>
  </si>
  <si>
    <t>55444</t>
  </si>
  <si>
    <t>Reactor limitador de corriente monofásicos de 115 kV</t>
  </si>
  <si>
    <t>55446</t>
  </si>
  <si>
    <t>55448</t>
  </si>
  <si>
    <t>55449</t>
  </si>
  <si>
    <t>Interruptor de potencia tipo tanque muerto de operación monopolar de 115 kV</t>
  </si>
  <si>
    <t>55450</t>
  </si>
  <si>
    <t>Interruptor de potencia tipo tanque muerto de operación monopolar 115 kV (GOM)</t>
  </si>
  <si>
    <t>55451</t>
  </si>
  <si>
    <t>55452</t>
  </si>
  <si>
    <t>Reactor limitador de corriente monofásico 115 kV (GOM, reemplazo de existentes)</t>
  </si>
  <si>
    <t>55453</t>
  </si>
  <si>
    <t>55454</t>
  </si>
  <si>
    <t>55455</t>
  </si>
  <si>
    <t>Seccionador tripolar manual de 115 kV</t>
  </si>
  <si>
    <t>55456</t>
  </si>
  <si>
    <t>55457</t>
  </si>
  <si>
    <t>55458</t>
  </si>
  <si>
    <t>55459</t>
  </si>
  <si>
    <t>55460</t>
  </si>
  <si>
    <t>Seccionador tetrapolar manual con cuchilla de puesta a tierra de 115 kV</t>
  </si>
  <si>
    <t>55461</t>
  </si>
  <si>
    <t>55462</t>
  </si>
  <si>
    <t>55463</t>
  </si>
  <si>
    <t>55464</t>
  </si>
  <si>
    <t>55465</t>
  </si>
  <si>
    <t>55466</t>
  </si>
  <si>
    <t>Banco de capacitores trifásicos de 20.31 MVAR de 115 kV</t>
  </si>
  <si>
    <t>55467</t>
  </si>
  <si>
    <t>55468</t>
  </si>
  <si>
    <t>55469</t>
  </si>
  <si>
    <t>55470</t>
  </si>
  <si>
    <t>55471</t>
  </si>
  <si>
    <t>55472</t>
  </si>
  <si>
    <t>55473</t>
  </si>
  <si>
    <t>55474</t>
  </si>
  <si>
    <t>55475</t>
  </si>
  <si>
    <t>55476</t>
  </si>
  <si>
    <t>Banco de capacitores trifásicos 20.31 MVAR, 115 kV (GOM, reemplazo existentes)</t>
  </si>
  <si>
    <t>55477</t>
  </si>
  <si>
    <t>55478</t>
  </si>
  <si>
    <t>55479</t>
  </si>
  <si>
    <t>55480</t>
  </si>
  <si>
    <t>Barras de 230 kV</t>
  </si>
  <si>
    <t>BANCO DE CAPACITORES DE 120 MVAR EN SUBESTACIÓN PANAMÁ II 230 KV</t>
  </si>
  <si>
    <t>C-8-S/E-2012-16</t>
  </si>
  <si>
    <t>55484</t>
  </si>
  <si>
    <t>Interruptor de potencia tipo tanque muerto de operación tripolar de 230 kV</t>
  </si>
  <si>
    <t>55485</t>
  </si>
  <si>
    <t>55486</t>
  </si>
  <si>
    <t>55487</t>
  </si>
  <si>
    <t>Interruptor de potencia tipo tanque muerto de operación monopolar de 230 kV</t>
  </si>
  <si>
    <t>55488</t>
  </si>
  <si>
    <t>55489</t>
  </si>
  <si>
    <t>Seccionador tripolar manual de 230 kV</t>
  </si>
  <si>
    <t>55490</t>
  </si>
  <si>
    <t>55491</t>
  </si>
  <si>
    <t>55492</t>
  </si>
  <si>
    <t>55493</t>
  </si>
  <si>
    <t>55494</t>
  </si>
  <si>
    <t>55495</t>
  </si>
  <si>
    <t>55496</t>
  </si>
  <si>
    <t>55497</t>
  </si>
  <si>
    <t>55498</t>
  </si>
  <si>
    <t>55499</t>
  </si>
  <si>
    <t>Seccionador tripolar motorizada con cuchilla de puesta a tierra de 230 kV</t>
  </si>
  <si>
    <t>55500</t>
  </si>
  <si>
    <t>55501</t>
  </si>
  <si>
    <t>Seccionador tetrapolar manual con cuchilla de puesta a tierra de 230 kV</t>
  </si>
  <si>
    <t>55502</t>
  </si>
  <si>
    <t>55503</t>
  </si>
  <si>
    <t>55504</t>
  </si>
  <si>
    <t>55505</t>
  </si>
  <si>
    <t>Reactor limitador de corriente de 230 kV</t>
  </si>
  <si>
    <t>55506</t>
  </si>
  <si>
    <t>55507</t>
  </si>
  <si>
    <t>55508</t>
  </si>
  <si>
    <t>55509</t>
  </si>
  <si>
    <t>55510</t>
  </si>
  <si>
    <t>55511</t>
  </si>
  <si>
    <t>Banco de capacitores trifásicos de 29.5 MVAR de 230 kV</t>
  </si>
  <si>
    <t>55512</t>
  </si>
  <si>
    <t>55513</t>
  </si>
  <si>
    <t>55514</t>
  </si>
  <si>
    <t>55515</t>
  </si>
  <si>
    <t>Columnas de pórtico de 230 kV</t>
  </si>
  <si>
    <t>55516</t>
  </si>
  <si>
    <t>55517</t>
  </si>
  <si>
    <t>55518</t>
  </si>
  <si>
    <t>55519</t>
  </si>
  <si>
    <t>55520</t>
  </si>
  <si>
    <t>55521</t>
  </si>
  <si>
    <t>55523</t>
  </si>
  <si>
    <t>55524</t>
  </si>
  <si>
    <t>55525</t>
  </si>
  <si>
    <t>55526</t>
  </si>
  <si>
    <t>55527</t>
  </si>
  <si>
    <t>55528</t>
  </si>
  <si>
    <t>55529</t>
  </si>
  <si>
    <t>Vigas de pórtico de 230 kV</t>
  </si>
  <si>
    <t>55530</t>
  </si>
  <si>
    <t>55531</t>
  </si>
  <si>
    <t>55532</t>
  </si>
  <si>
    <t>55533</t>
  </si>
  <si>
    <t>55534</t>
  </si>
  <si>
    <t>55535</t>
  </si>
  <si>
    <t>55536</t>
  </si>
  <si>
    <t>55537</t>
  </si>
  <si>
    <t>55538</t>
  </si>
  <si>
    <t>55539</t>
  </si>
  <si>
    <t>55541</t>
  </si>
  <si>
    <t>Transformador de potencial de 230 kV</t>
  </si>
  <si>
    <t>55543</t>
  </si>
  <si>
    <t>55544</t>
  </si>
  <si>
    <t>55545</t>
  </si>
  <si>
    <t>55546</t>
  </si>
  <si>
    <t>55547</t>
  </si>
  <si>
    <t>55548</t>
  </si>
  <si>
    <t>Pararrayos de 230 kV</t>
  </si>
  <si>
    <t>55549</t>
  </si>
  <si>
    <t>55550</t>
  </si>
  <si>
    <t>55551</t>
  </si>
  <si>
    <t>55552</t>
  </si>
  <si>
    <t>55553</t>
  </si>
  <si>
    <t>55554</t>
  </si>
  <si>
    <t>55555</t>
  </si>
  <si>
    <t>55556</t>
  </si>
  <si>
    <t>55559</t>
  </si>
  <si>
    <t>55560</t>
  </si>
  <si>
    <t>55561</t>
  </si>
  <si>
    <t>55562</t>
  </si>
  <si>
    <t>55563</t>
  </si>
  <si>
    <t>ajuste en la factura 128 se reversa</t>
  </si>
  <si>
    <t>BANCO DE CAPACITORES</t>
  </si>
  <si>
    <t>PATIO 115KV-PANAMA II</t>
  </si>
  <si>
    <t>Ajuste en fact 128 proy C-4-S/E-2010-12</t>
  </si>
  <si>
    <t>PATIO 230 KV-LLANO SANCHEZ</t>
  </si>
  <si>
    <t>Cuchilla seccionadora motorizada 230 kV, 2000 Amp, 70 kA, sin cuchilla de tierra</t>
  </si>
  <si>
    <t>SE LAS GUIAS 230/34.5 KV (EL HIGO)</t>
  </si>
  <si>
    <t>C-4-S/E-2009-04</t>
  </si>
  <si>
    <t>Barras e hilos de guarda</t>
  </si>
  <si>
    <t>Estructuras de acero galvanizado</t>
  </si>
  <si>
    <t>Cuchilla sección. Operac0 motoriz. 230 kv, 2000 Amp, 70 Ka con cuhilla a tierra</t>
  </si>
  <si>
    <t>Barras e Hilo de Guarda</t>
  </si>
  <si>
    <t>Estructuras galvanizadas</t>
  </si>
  <si>
    <t>Parrarayos clase estación de 192 kv, 154MCOV con contador de descarga</t>
  </si>
  <si>
    <t>63534 - Cuchilla seccionadora motorizada 230 kv, 2000 Amp, 70 KA con puesta tierra</t>
  </si>
  <si>
    <t>Cuchilla seccionadora motorizada 230 kv, 2000 Amp, 70 KA con puesta tierra</t>
  </si>
  <si>
    <t xml:space="preserve">Cuchilla seccionadora operación manual 230 kv, 2000 Amp, 70 KA </t>
  </si>
  <si>
    <t>Pararrayos clase estación 192 kv, 154 mcouv con contador de descargas</t>
  </si>
  <si>
    <t>Transformadores de potencial tipo capacitivo 230 KV</t>
  </si>
  <si>
    <t>Interruptor de potencia monopolar SF6 230 KV, 2000 A, disparo monofásico y trif</t>
  </si>
  <si>
    <t>Interruptor de potencia tripolar de gas SF6, 230 kv, 2000 Amp, de disparo trifas</t>
  </si>
  <si>
    <t>Cuchilla seccionadora de operación manual 230 kv, 2000 Amp, 70 KA</t>
  </si>
  <si>
    <t>Transformador de potencial tipo capacitivo 230 KV</t>
  </si>
  <si>
    <t>Adición al costo en S/E 115kv</t>
  </si>
  <si>
    <t>S/E PANAMÁ 115 KV</t>
  </si>
  <si>
    <t>Pararrallo en S/E 115KV</t>
  </si>
  <si>
    <t xml:space="preserve"> Adición al costo S/E 230 KV</t>
  </si>
  <si>
    <t>S/E PANAMÁ II 230 KV</t>
  </si>
  <si>
    <t>INTERRUPTOR 23B12</t>
  </si>
  <si>
    <t>SE LA ESPERANZA NAVE 1 Y LT 230 KV CHAN 1 TRAMO A Y B</t>
  </si>
  <si>
    <t>C-4-S/E-2011-AESCHAN</t>
  </si>
  <si>
    <t>INTERRUPTOR 23M12</t>
  </si>
  <si>
    <t>INTERRUPTOR 23A12</t>
  </si>
  <si>
    <t>TRANSFORMADOR DE CORRIENTE</t>
  </si>
  <si>
    <t>TRANSFORMADOR DE POTENCIAL</t>
  </si>
  <si>
    <t>LLAVE SECCIONADORA</t>
  </si>
  <si>
    <t>BARRAS 115 KV</t>
  </si>
  <si>
    <t>AMPLIACIÓN S/E PANAMÁ 2 P-115</t>
  </si>
  <si>
    <t>C-4-S/E-2010-02</t>
  </si>
  <si>
    <t>PORTICO 115KV</t>
  </si>
  <si>
    <t>INTERRUPTOR 115 KV TANQUE VIVO</t>
  </si>
  <si>
    <t>SECCIONADORA MANUAL 115 KV</t>
  </si>
  <si>
    <t>SECCIONADORA MOTORIZADA DE LPINEA 115 KV</t>
  </si>
  <si>
    <t>TRANSFORMADOR DE POTENCIAL 115 KV</t>
  </si>
  <si>
    <t>TRANSFORMADOR DE CORRIENTE 115 KV</t>
  </si>
  <si>
    <t>BARRAS 115 KV EXTENSIÓN NAVES 3 Y 4</t>
  </si>
  <si>
    <t xml:space="preserve">AMPLIACIÓN S/E SANTA RITA </t>
  </si>
  <si>
    <t>C-4-S/E-2010-01</t>
  </si>
  <si>
    <t>NAVES 3 Y 4 EXTENSIÓN</t>
  </si>
  <si>
    <t>INTERRUPTOR ALSTOM 115 KV TANQUE MUERTO</t>
  </si>
  <si>
    <t xml:space="preserve">SECCIONADORA MANUAL DE 115 KV </t>
  </si>
  <si>
    <t>SECCIONADORA MOTORIZADA CON CUCHILLA DE PUESTA A TIERRA DE 115 KV</t>
  </si>
  <si>
    <t>PARARRAYOS 115 KV</t>
  </si>
  <si>
    <t>TRANSFORMADOR DE INSTRUMENTACIÓN 115 KV</t>
  </si>
  <si>
    <t>TRANSFORMADOR DE VOLTAJE Y POTENCIA 115 KV</t>
  </si>
  <si>
    <t>INTERRUPTOR TANQUE VIVO 245 KV</t>
  </si>
  <si>
    <t>COMPRAVENTA PATIO 230 KV S/E CAÑAZA - PTP</t>
  </si>
  <si>
    <t>C-8-S/E-2016-PTP</t>
  </si>
  <si>
    <t>SECCIONADOR MANUAL 245 KV</t>
  </si>
  <si>
    <t>SECCIONADOR MOTORIZADO 245 KV</t>
  </si>
  <si>
    <t>TRANSFORMADOR DE CORRIENTE 230 KV</t>
  </si>
  <si>
    <t>TRANSFORMADOR VOLTAJE CAPACITIVO 230 KV</t>
  </si>
  <si>
    <t>PARARRAYOS TIPO ESTACIÓN</t>
  </si>
  <si>
    <t>Depreciación Acumulada</t>
  </si>
  <si>
    <t>Sensibilidad</t>
  </si>
  <si>
    <t>EMPRESA DE TRANSMISIÓN, S.A.</t>
  </si>
  <si>
    <t>BIENES E INSTALACIONES EN SERVICIO</t>
  </si>
  <si>
    <t>AL 31 DE DICIEMBRE DE 2016</t>
  </si>
  <si>
    <t>(Balboas)</t>
  </si>
  <si>
    <t>TRANSMISIÓN</t>
  </si>
  <si>
    <t>SUBESTACIONES</t>
  </si>
  <si>
    <t>LÍNEAS</t>
  </si>
  <si>
    <t xml:space="preserve">PLANTA GENERAL </t>
  </si>
  <si>
    <t>HIDROMETEOROLOGÍA</t>
  </si>
  <si>
    <t>CND</t>
  </si>
  <si>
    <t>PLANTA GENERAL NO PRODUCTIVO</t>
  </si>
  <si>
    <t xml:space="preserve">TOTAL </t>
  </si>
  <si>
    <t>SUBESTACIONES Y LÍNEAS, SEGÚN CONEXIÓN Y SISTEMA PRINCIPAL, POR NIVEL DE VOLTAJE</t>
  </si>
  <si>
    <t>230 KV</t>
  </si>
  <si>
    <t>PATIO 230 KV LLANO SANCHEZ (2 CUCHILLAS MOTORIZADAS DE 230 KV Y 2 TRFOS 230/115/34.5 KV)</t>
  </si>
  <si>
    <t>nuevo</t>
  </si>
  <si>
    <t>PATIO 230 KV-CHORRERA (3 INTERRUPTORES DE 230KV Y 2 TRAFOS 230/115/34.5 KV)</t>
  </si>
  <si>
    <t>PATIO 230/34.5 KV - LAS GUIAS</t>
  </si>
  <si>
    <t>115 KV</t>
  </si>
  <si>
    <t>PATIO 115 KV-CHARCO AZUL</t>
  </si>
  <si>
    <t>PATIO 115 KV-PROGRESO</t>
  </si>
  <si>
    <t>34.5 KV</t>
  </si>
  <si>
    <t>PATIO 34.5 KV-CHORRERA</t>
  </si>
  <si>
    <t>PATIO 34.5 KV-PROGRESO</t>
  </si>
  <si>
    <t>PATIO 34.5 KV-CHANGUINOLA</t>
  </si>
  <si>
    <t>L/T 115 KV-CALDERA-ESTRELLA-17</t>
  </si>
  <si>
    <t>L/T 115 KV-CALDERA-LOS VALLES-18</t>
  </si>
  <si>
    <t>L/T 115 KV-CALDERA-PAJA DE SOMBRERO-19</t>
  </si>
  <si>
    <t>L/T 115 KV-PROGRESO-CHARCO AZUL-25</t>
  </si>
  <si>
    <t>Líneas 230KV-Bayano-Pacora (230-1A)</t>
  </si>
  <si>
    <t>Líneas 230KV-Chorrera-Llano Sánchez (230-3B, 230-4B)</t>
  </si>
  <si>
    <t>Líneas 230KV-Llano Sánchez-Veladero (230-14, 230-15)</t>
  </si>
  <si>
    <t>Líneas 230KV-Llano Sánchez-Veladero (230-5A, 230-6A)</t>
  </si>
  <si>
    <t>Líneas 230KV-Mata de Nance-Progreso (230-9)</t>
  </si>
  <si>
    <t>Líneas 230KV-Panamá II-Llano Sánchez (230-12, 230-13)</t>
  </si>
  <si>
    <t>Líneas 230KV-Panamá II-Panamá (230-1C, 230-2B)</t>
  </si>
  <si>
    <t>Líneas 230KV-Panamá-Chorrera (230-3A, 230-4A)</t>
  </si>
  <si>
    <t>Líneas 230KV-Pacora-Panamá II (230-1B)</t>
  </si>
  <si>
    <t>L/T 230 KV-PROGRESO-FRONTERA (COSTA RICA) (230-10)</t>
  </si>
  <si>
    <t>L/T 230 KV-SANTA RITA-PANAMA II</t>
  </si>
  <si>
    <t>Líneas 230KV-Veladero-Guasquitas (230-16, 230-17)</t>
  </si>
  <si>
    <t>L/T 230 KV-GUASQUITAS-FORTUNA-18</t>
  </si>
  <si>
    <t>L/T 230 KV-FORTUNA-CHANGUINOLA (230-20)</t>
  </si>
  <si>
    <t>L/T 230 KV-CHANGUINOLA-FRONTERA (230-21)</t>
  </si>
  <si>
    <t>Líneas 230KV-Mata de Nance-Fortuna (230-7, 230-8)</t>
  </si>
  <si>
    <t>L/T 230 KV-VELADERO-MATA DE NANCE-5B</t>
  </si>
  <si>
    <t>L/T 230 KV-NAVE 1 LA ESPERANZA</t>
  </si>
  <si>
    <t>L/T 230 KV-CAÑAZA - PTP</t>
  </si>
  <si>
    <t>Líneas 115Kv-CPSA-BLM2 (115-4B)</t>
  </si>
  <si>
    <t>Líneas 115Kv-BLM1-Santa Rita (115-1B, 115-2B)</t>
  </si>
  <si>
    <t>Líneas 115KV-Panamá CPSA (115-4A)</t>
  </si>
  <si>
    <t>Líneas 115Kv-Mata de Nance-Caldera (115-15, 115-16)</t>
  </si>
  <si>
    <t>Líneas 115Kv-Panamá-Cáceres (115-12)</t>
  </si>
  <si>
    <t>Líneas 115Kv-Panamá-Cáceres (115-37) Subterránea</t>
  </si>
  <si>
    <t xml:space="preserve">Líneas 115Kv-Santa Rita-Cáceres (115-1A, 115-2A) </t>
  </si>
  <si>
    <t>PATIO 230 KV-CHANGUINOLA</t>
  </si>
  <si>
    <t>PATIO 230 KV-CHORRERA</t>
  </si>
  <si>
    <t>PATIO 230 KV-GUASQUITAS</t>
  </si>
  <si>
    <t>PATIO 230 KV-MATA DE NANCE</t>
  </si>
  <si>
    <t>PATIO 230 KV-PANAMA</t>
  </si>
  <si>
    <t>PATIO 230 KV-PANAMA II</t>
  </si>
  <si>
    <t>segregado</t>
  </si>
  <si>
    <t>PATIO 230 KV-PROGRESO</t>
  </si>
  <si>
    <t>PATIO 230 KV-VELADERO</t>
  </si>
  <si>
    <t>PATIO 230 KV-NAVE 3 FORTUNA</t>
  </si>
  <si>
    <t>PATIO 230 KV-NAVE 1 LA ESPERANZA</t>
  </si>
  <si>
    <t>PATIO 230 KV-CAÑAZA - PTP</t>
  </si>
  <si>
    <t>PATIO 230/34.5 KV - EL HIGO</t>
  </si>
  <si>
    <t>115KV</t>
  </si>
  <si>
    <t>PATIO 115 KV-CACERES</t>
  </si>
  <si>
    <t>PATIO 115 KV-CALDERA</t>
  </si>
  <si>
    <t>PATIO 115 KV-MATA DE NANCE</t>
  </si>
  <si>
    <t>PATIO 115 KV-PANAMA</t>
  </si>
  <si>
    <t>PATIO 115 KV-PANAMA II</t>
  </si>
  <si>
    <t>transferido</t>
  </si>
  <si>
    <t>PATIO 115 KV-SANTA RITA</t>
  </si>
  <si>
    <t>PLANTA GENERAL</t>
  </si>
  <si>
    <t>PLANTA GENERAL -  NO PRODUCTIVOS</t>
  </si>
  <si>
    <t>Fuente: Gerencia de Contabilidad/ETESA</t>
  </si>
  <si>
    <t>Renglón Anexo A1 Estado Financiero diciembre 2016</t>
  </si>
  <si>
    <t>Costo Cierre</t>
  </si>
  <si>
    <t>Depreciaciones</t>
  </si>
  <si>
    <t>AL 31 DE DICIEMBRE DE 2013, 2014, 2015, 2016</t>
  </si>
  <si>
    <t>Valor Neto</t>
  </si>
  <si>
    <t>Depreciaciones Acumuladas</t>
  </si>
  <si>
    <t>Depreciaciones Anuales</t>
  </si>
  <si>
    <t>Sistema Principal</t>
  </si>
  <si>
    <t>Conexión</t>
  </si>
  <si>
    <t>Costo Bruto Activos</t>
  </si>
  <si>
    <t>Año</t>
  </si>
  <si>
    <t>Tasa Anual Media Depreciación</t>
  </si>
  <si>
    <t>Total Depreciaciones</t>
  </si>
  <si>
    <t>Total</t>
  </si>
  <si>
    <t>Promedios</t>
  </si>
  <si>
    <t>ACTIVOS RECONOCIDOS</t>
  </si>
  <si>
    <t>Tasa de depreciación activos</t>
  </si>
  <si>
    <t>Activos brutos al comienzo del año</t>
  </si>
  <si>
    <t>Activos netos al comienzo del año</t>
  </si>
  <si>
    <t>Depreciación Anual</t>
  </si>
  <si>
    <t>Activos brutos al final del año</t>
  </si>
  <si>
    <t>Activos netos al final del año</t>
  </si>
  <si>
    <t>Activos netos al final del año (verificación)</t>
  </si>
  <si>
    <t>Valores expresados en Balboas</t>
  </si>
  <si>
    <t>Inversiones</t>
  </si>
  <si>
    <t>Inversion anual Comunicaciones</t>
  </si>
  <si>
    <t>Tasa de depreciación</t>
  </si>
  <si>
    <t>Depreciación</t>
  </si>
  <si>
    <t>Activo Fijo</t>
  </si>
  <si>
    <t>Costo</t>
  </si>
  <si>
    <t>Ajuste Equivalente Depreciaciones según revisiones tarifarias anteriores</t>
  </si>
  <si>
    <t xml:space="preserve"> </t>
  </si>
  <si>
    <t>ADICION TRANSFORMADOR T3 S/E BOQUERON III 230/34.5 KV</t>
  </si>
  <si>
    <t>PLAN ESTRATEGICO</t>
  </si>
  <si>
    <t>SUBESTACION PANAMA</t>
  </si>
  <si>
    <t>SALON DE REUNIONES VALBUENA</t>
  </si>
  <si>
    <t>TALLER DE S/E VELADERO</t>
  </si>
  <si>
    <t>2016 - 2021</t>
  </si>
  <si>
    <t>2014 - 2021</t>
  </si>
  <si>
    <t>REEMPLAZO FLOTA VEHICULAR</t>
  </si>
  <si>
    <t>2017 - 2022</t>
  </si>
  <si>
    <t>EDIFICIO-ETESA</t>
  </si>
  <si>
    <t>PLAN DE PLANTA GENERAL</t>
  </si>
  <si>
    <t>2017 - 2019</t>
  </si>
  <si>
    <t>Nuevo</t>
  </si>
  <si>
    <t>AMPLIACION PATIO 34.5 KV S/E LLANO SÁNCHEZ</t>
  </si>
  <si>
    <t>Nueva Fecha</t>
  </si>
  <si>
    <t>REEMPLAZO CTs S/E LLANO SANCHEZ 115 Y 34.5 KV</t>
  </si>
  <si>
    <t>REEMPLAZO PTs S/E MATA DE NANCE 34.5 KV</t>
  </si>
  <si>
    <t>REEMPLAZO PTs S/E PROGRESO 34.5 KV</t>
  </si>
  <si>
    <t>2016 - 2018</t>
  </si>
  <si>
    <t>1/12/15 y 1/12/17</t>
  </si>
  <si>
    <t>REEMPLAZO PARARRAYOS S/E LLANO SANCHEZ 115 Y 34.5 KV</t>
  </si>
  <si>
    <t>REEMPLAZO CUCHILLAS MANUALES S/E LL. SANCHEZ 115 KV</t>
  </si>
  <si>
    <t>REEMPLAZO CUCHILLAS MOTORIZADAS S/E LL. SANCHEZ 115 KV</t>
  </si>
  <si>
    <t>REEMPLAZO T1 S/E CHORRERA 100 MVA</t>
  </si>
  <si>
    <t>REEMPLAZO T2 S/E LLANO SÁNCHEZ 100 MVA</t>
  </si>
  <si>
    <t>REEMPLAZO T2 S/E CHORRERA 100 MVA</t>
  </si>
  <si>
    <t>REEMPLAZO T1 S/E LLANO SÁNCHEZ 100 MVA</t>
  </si>
  <si>
    <t>SISTEMA DE CONEXIÓN</t>
  </si>
  <si>
    <t>CENTRO DE MONITOREO Y CONTROL</t>
  </si>
  <si>
    <t>PLANTAS ELECTRICAS AUXILIARES S/E MATA DE NANCE</t>
  </si>
  <si>
    <t>SISTEMA DE MONITOREO DE CONTAMINACION DE AISLADORES</t>
  </si>
  <si>
    <t>AUTOMATIZACION DE S/E CACERES</t>
  </si>
  <si>
    <t>EQUIPAMIENTO PARA MONITOREO EN LINEA DE TRANSFORMADORES</t>
  </si>
  <si>
    <t>REEMPLAZO MAQUINA EXTRACCION Y FILTRADO DE SF6</t>
  </si>
  <si>
    <t>REEMPLAZO MAQUINA REGENERADORA DE ACEITE DE TRANSFORMADOR</t>
  </si>
  <si>
    <t>REEMPLAZO DE REGISTRADORES DE OSCILOGRAFIAS</t>
  </si>
  <si>
    <t>REEMPLAZO DE EQUIPO DE PRUEBAS</t>
  </si>
  <si>
    <t>2014 - 2018</t>
  </si>
  <si>
    <t>REEMPLAZO EQUIPO DE INYECCION SECUNDARIA</t>
  </si>
  <si>
    <t>REEMPLAZO Y ADQUISICIÓN DE PROT. DIFERENCIALES ETAPA II</t>
  </si>
  <si>
    <t>REEMPLAZO DE TORRES CORROIDAS EN PANAMÁ Y COLÓN</t>
  </si>
  <si>
    <t>REEMPLAZO PROTECCIONES S/E CHORRERA</t>
  </si>
  <si>
    <t>Nueva fecha</t>
  </si>
  <si>
    <t xml:space="preserve">1/6/16 (MDN) y 1/6/17 (PAN) </t>
  </si>
  <si>
    <t>REEMPLAZO PTs S/E PANAMA Y MATA DE NANCE 115 KV</t>
  </si>
  <si>
    <t>REEMPLAZO PTs S/E PANAMA, CACERES Y CALDERA 115 KV</t>
  </si>
  <si>
    <t>REEMPLAZO PARARRAYOS S/E PANAMA Y CHORRERA 230 KV</t>
  </si>
  <si>
    <t>REEMPLAZO CUCHILLAS MANUALES S/E PANAMA Y LLS  230 KV</t>
  </si>
  <si>
    <t>REEMPLAZO CUCHILLAS MOTORIZADAS S/E LLS 230 KV</t>
  </si>
  <si>
    <t>REEMPLAZO CUCHILLAS MOTORIZADAS S/E CACERES 115 KV</t>
  </si>
  <si>
    <t>REEMPLAZO CUCHILLAS MOTORIZADAS S/E PANAMA 115 KV</t>
  </si>
  <si>
    <t>2017 y 2018</t>
  </si>
  <si>
    <t>REEMPLAZO INTERRUPTORES BANCOS.,DE CAPACITORES 230 KV LLS Y PAN II</t>
  </si>
  <si>
    <t>REEMPLAZO INTERRUPTORES S/E CALDERA 115 KV</t>
  </si>
  <si>
    <t>REEMPLAZO INTERRUPTORES S/E MATA DE NANCE 230 KV</t>
  </si>
  <si>
    <t>REEMPLAZO INTERRUPTORES S/E PROGRESO 230 KV</t>
  </si>
  <si>
    <t>REEMPLAZO REACTORES R1 Y R2 S/E M. NANCE 20 MVAR</t>
  </si>
  <si>
    <t>REEMPLAZO T1 S/E PROGRESO 100 MVA</t>
  </si>
  <si>
    <t>REEMPLAZO T2 S/E PANAMA 175 MVA</t>
  </si>
  <si>
    <t>REEMPLAZO T1 S/E MATA DE NANCE 100 MVA</t>
  </si>
  <si>
    <t>SISTEMA DE ADQUISICION DE DATOS POR RELES</t>
  </si>
  <si>
    <t xml:space="preserve">REPOSICIÓN DE CORTO PLAZO </t>
  </si>
  <si>
    <t xml:space="preserve">PLAN DE REPOSICIÓN </t>
  </si>
  <si>
    <t>REPOSICION DE HILO DE GUARDA CONVENCIONAL POR OPGW MDN-VEL</t>
  </si>
  <si>
    <t>2019-2021</t>
  </si>
  <si>
    <t>REPOSICION DE OPGW LT GUASQUITAS - PANAMA II</t>
  </si>
  <si>
    <t>REPOSICION DE AIRES ACONDICIONADOS</t>
  </si>
  <si>
    <t>REPOSICION DE TORRES</t>
  </si>
  <si>
    <t>2016-2018</t>
  </si>
  <si>
    <t>1/6/14, 1/6/15, 1/6/16 y 1/6/17</t>
  </si>
  <si>
    <t>REPOSICION DE RECTIFICADORES</t>
  </si>
  <si>
    <t>AMPLIACION DE COBERTURA DE RADIO TRONCALES LT 230-20y30</t>
  </si>
  <si>
    <t>AMPLIACION DE COBERTURA DE RADIO TRONCALES LT CHEPO - METETI</t>
  </si>
  <si>
    <t>2016-2020</t>
  </si>
  <si>
    <t>EQUIP. Y DISPOSITIVOS DE COMUNIC. INTEGRACION NUEVOS AGENTES</t>
  </si>
  <si>
    <t>INTERCONEX. POR FIBRA OPTICA DE VALBUENA, CHIMENEA Y TABOGA</t>
  </si>
  <si>
    <t>2016-2019</t>
  </si>
  <si>
    <t>PLANTAS ELECTRICAS AUXILIARES DE RESPALDO</t>
  </si>
  <si>
    <t>PLAN DEL SISTEMA DE COMUNICACIONES</t>
  </si>
  <si>
    <t>LINEA LT4 CHIRIQUI GRANDE - PANAMA III 500 KV OPERANDO EN 230 KV</t>
  </si>
  <si>
    <t>LÍNEA SABANITAS - PANAMÁ III 230 KV Y S/E SABANITAS</t>
  </si>
  <si>
    <t>LT PROG-BUR-PORT-DOM 230 KV Y SUBESTACIONES</t>
  </si>
  <si>
    <t>S/E CAÑAZAS 230 KV 1 NAVE</t>
  </si>
  <si>
    <t>S/E 24 DE DICIEMBRE 230 KV 1 NAVE</t>
  </si>
  <si>
    <t>S/E LA ESPERANZA 230 KV 1 NAVE</t>
  </si>
  <si>
    <t>S/E EL COCO 230 KV 3 NAVES Y TRANSFORMADORES</t>
  </si>
  <si>
    <t>PLAN DEL SISTEMA DE TRANSMISIÓN DE LARGO PLAZO</t>
  </si>
  <si>
    <t>SEGUNDA LINEA SUBTERRANEA PANAMA - CACERES 115 KV</t>
  </si>
  <si>
    <t>ADICION REACTORES 20 MVAR GUASQUITAS 230 KV</t>
  </si>
  <si>
    <t>ADICION REACTORES 40 MVAR CHANGUINOLA 230 KV</t>
  </si>
  <si>
    <t>ADICION BANCO CAPACITORES 30 MVAR LLANO SÁNCHEZ 230 KV</t>
  </si>
  <si>
    <t>ADICION BANCO CAPACITORES 60 MVAR SAN BARTOLO 230 KV</t>
  </si>
  <si>
    <t>ADICION BANCO CAPACITORES 90 MVAR VELADERO 230 KV</t>
  </si>
  <si>
    <t>ADICION BANCO CAPACITORES 90 MVAR CHORRERA  230 KV (SVC)</t>
  </si>
  <si>
    <t>ADICION BANCO CAPACITORES 60 MVAR PANAMA II 230 KV (SVC)</t>
  </si>
  <si>
    <t>SVC S/E PANAMA II  230 KV +120/-30 MVAR</t>
  </si>
  <si>
    <t>SVC S/E LLANO SANCHEZ 230 KV +120/-30 MVAR</t>
  </si>
  <si>
    <t>ADICION TRANSFORMADOR T2 S/E CHANGUINOLA 50 MVA</t>
  </si>
  <si>
    <t>ADICION TRANSFORMADOR T3 S/E PANAMA II 175 MVA</t>
  </si>
  <si>
    <t>LINEA SANTA RITA - PANAMA II 115 KV</t>
  </si>
  <si>
    <t>30/09/16 y 30/4/17</t>
  </si>
  <si>
    <t>TERCERA LINEA VEL - LLS - CHO - PANAMA 230 KV</t>
  </si>
  <si>
    <t>PLAN DEL SISTEMA DE TRANSMISIÓN DE CORTO PLAZO</t>
  </si>
  <si>
    <t>Plan 2012</t>
  </si>
  <si>
    <t xml:space="preserve">Observación </t>
  </si>
  <si>
    <t xml:space="preserve">Fecha de Plan 2014 </t>
  </si>
  <si>
    <t>hasta</t>
  </si>
  <si>
    <t>(MILES DE B/.)</t>
  </si>
  <si>
    <t>PROYECTOS DE EXPANSIÓN DEL SISTEMA DE TRANSMISIÓN</t>
  </si>
  <si>
    <t xml:space="preserve">PLAN DE INVERSIÓN  </t>
  </si>
  <si>
    <t>EMPRESA DE TRANSMISIÓN ELÉCTRICA S. A.</t>
  </si>
  <si>
    <t>Inversión anual Sistema Principal Transmisión</t>
  </si>
  <si>
    <t>Inversión anual Estrategica (no suma en la base)</t>
  </si>
  <si>
    <t>Tasa de depreciación retiros</t>
  </si>
  <si>
    <t>Retiros</t>
  </si>
  <si>
    <t>Inversión anual</t>
  </si>
  <si>
    <t>ACTIVOS NETOS CONEXIÓN TRANSPORTE</t>
  </si>
  <si>
    <t>ACTIVOS BRUTOS CONEXIÓN TRANSPORTE</t>
  </si>
  <si>
    <t>Base de Capital Bruta</t>
  </si>
  <si>
    <t>Planta General</t>
  </si>
  <si>
    <t>Base de Capital Neta</t>
  </si>
  <si>
    <t>Adiciones</t>
  </si>
  <si>
    <t>Reclasificaciones</t>
  </si>
  <si>
    <t>Ajustes</t>
  </si>
  <si>
    <t>Base de Capital Bruta al 31 de Diciembre 2016</t>
  </si>
  <si>
    <t>Base de Capital Neta al 31 de Diciembre 2016</t>
  </si>
  <si>
    <t>L/T VELADERO-LL.SANCHEZ-CHORRERA-PANAMA II DOBLE CTO. 1200 ACAR</t>
  </si>
  <si>
    <t>ADICIÓN S/E VELADERO 230 KV</t>
  </si>
  <si>
    <t>ADICIÓN S/E LLANO SANCHEZ 230 KV</t>
  </si>
  <si>
    <t>ADICIÓN S/E CHORRERA 230 KV</t>
  </si>
  <si>
    <t>ADICIÓN S/E PANAMA 230 KV</t>
  </si>
  <si>
    <t>LINEA SANTA RITA - PANAMA II (CHAG.-PMA II 230 y CHAG-CAC 115)</t>
  </si>
  <si>
    <t>ADICION S/E SANTA RITA 115 KV</t>
  </si>
  <si>
    <t>ADICIÓN S/E PANAMA II 115 KV</t>
  </si>
  <si>
    <t>NUEVA LINEA DOBLE CTO. M. NANCE - BOQ - PROGRESO - FRONT  230 KV</t>
  </si>
  <si>
    <t>L/T MATA DE NANCE-BOQ-PRO (DOBLE CTO)-FRONT 230 KV 1200 ACAR</t>
  </si>
  <si>
    <t>ADICIÓN S/E MATA DE NANCE 230 KV</t>
  </si>
  <si>
    <t>ADICIÓN S/E PROGRESO 230 KV</t>
  </si>
  <si>
    <t>ADICION TRANSFORMADOR T4 S/E PANAMA 350 MVA</t>
  </si>
  <si>
    <t>AUMENTO DE CAPACIDAD LT2 GUASQUITAS  - VELADERO 230 KV</t>
  </si>
  <si>
    <t>AUMENTO DE CAPACIDAD LT1 MATA DE NANCE - VELADERO 230 KV 714 ACCC</t>
  </si>
  <si>
    <t>LINEA SUBTERRANEA PANAMA - CACERES 115 KV 1 CTO.</t>
  </si>
  <si>
    <t>ADICION EN PANAMA 115 KV</t>
  </si>
  <si>
    <t>ADICION EN CACERES 115 KV</t>
  </si>
  <si>
    <t>LINEA A CHEPO 230 KV</t>
  </si>
  <si>
    <t>LINEA PANAMA II - CHEPO 230 KV DOBLE CTO COND. 714 ACCC</t>
  </si>
  <si>
    <t>NUEVA S/E CHEPO 230 KV</t>
  </si>
  <si>
    <t>NUEVA SUBESTACION BURUNGA 230 KV</t>
  </si>
  <si>
    <t>NUEVA SUBESTACIÓN PANAMA III 230 KV</t>
  </si>
  <si>
    <t>LINEA PANAMA II - SABANITAS DOBLE CIRCUITO  230 KV COND. 2x1200 ACAR</t>
  </si>
  <si>
    <t>NUEVA S/E SABANITAS 230 KV</t>
  </si>
  <si>
    <t>AUMENTO DE CAPACIDAD LT2 VELADERO - PANAMÁ II 230 KV</t>
  </si>
  <si>
    <t>S/E BELLA VISTA (BARRO BLANCO) 230 KV 1 NAVE</t>
  </si>
  <si>
    <t>LT COSTA NORTE 230 KV Y AMP. PAN II</t>
  </si>
  <si>
    <t>LT REPOTENCIACION  115-1 y 2</t>
  </si>
  <si>
    <t>LT REPOTENCIACION  115-3 y 4</t>
  </si>
  <si>
    <t>S/E BOQUERON III BARRA B  34.5 KV</t>
  </si>
  <si>
    <t>S/E LLANO SANCHEZ BARRA 34.5 KV</t>
  </si>
  <si>
    <t>AUMENTO DE CAPACIDAD LT1 VEL - LLS - CHO - PAN 230 KV</t>
  </si>
  <si>
    <t>LINEA A METETI 230 KV</t>
  </si>
  <si>
    <t>LINEA CHEPO - METETI 230 KV CIRCUITO SENCILLO COND. 750 ACAR</t>
  </si>
  <si>
    <t>NUEVA S/E METETI 230 KV</t>
  </si>
  <si>
    <t>ADICION BANCO CAPACITORES 40 MVAR STA. RITA 115 KV 2x20 MVAR</t>
  </si>
  <si>
    <t>ADICION BANCO CAPACITORES 60 MVAR LLANO SÁNCHEZ 230 KV 2x30 MVAR</t>
  </si>
  <si>
    <t>LINEA CHIRIQUI GRANDE - PANAMA IIII DOBLE CTO. 500 KV  2 X 750 ACAR OP. 230 KV</t>
  </si>
  <si>
    <t>ADICION S/E PANAMA III 230 KV</t>
  </si>
  <si>
    <t>S/E CHIRIQUI GRANDE 230 KV</t>
  </si>
  <si>
    <t>LINEA LT4 CHIRIQUI GRANDE - PANAMA3 ELEVADA A 500 KV</t>
  </si>
  <si>
    <t>S/E CHIRIQUI GRANDE 500/230 KV</t>
  </si>
  <si>
    <t>S/E PANAMA 3 500/230 KV</t>
  </si>
  <si>
    <t>SVC PANAMA 3 250 MVAR</t>
  </si>
  <si>
    <t>SVC CHIRIQUI GRANDE 50 MVAR</t>
  </si>
  <si>
    <t>LINEA SUBTERRANEA PANAMA - PANAMA III 230 KV</t>
  </si>
  <si>
    <t>LINEA SUBTERRANEA PANAMA - PANAMA III 230 KV I CTO.</t>
  </si>
  <si>
    <t>ADICION S/E PANAMA 230 KV</t>
  </si>
  <si>
    <t>REEMPLAZO INTERRUPTORES S/E PANAMA 230 KV</t>
  </si>
  <si>
    <t>REEMPLAZO CUCHILLAS MOTORIZADAS S/E PANAMA Y LLS 230 KV</t>
  </si>
  <si>
    <t>REEMPLAZO CTs A NIVEL NACIONAL y PANAMAA 230 y 115 KV</t>
  </si>
  <si>
    <t>REEMPLAZO CTs S/E MATA DE NANCE 115 KV</t>
  </si>
  <si>
    <t>REEMPLAZO CTs S/E CALDERA/LLANO SANCHEZ 115 KV</t>
  </si>
  <si>
    <t>REPOSICIÓN DE LARGO PLAZO</t>
  </si>
  <si>
    <t>REEMPLAZO T3 S/E PANAMA 350 MVA</t>
  </si>
  <si>
    <t>REEMPLAZO HILO DE GUARDA ZONAS 1 Y 3 LINEAS 230 Y 115 KV</t>
  </si>
  <si>
    <t>REEMPLAZO Y ADQ. DE PROT. DIFERENCIALES LINEAS 230 Y 115 KV</t>
  </si>
  <si>
    <t>REEMPLAZO DE PROTECCIONES DE 230 Y 115 KV DE S/E PANAMA 2</t>
  </si>
  <si>
    <t>REEMPLAZO INTERRUPTORES S/E PROGRESO 34.5 KV</t>
  </si>
  <si>
    <t>REEMPLAZO INTERRUPTORES S/E CHORRERA 34.5 KV</t>
  </si>
  <si>
    <t>REEMPLAZO PTs S/E LL. SANCHEZ  34.5 KV</t>
  </si>
  <si>
    <t>TALLER DE S/E PANAMA II</t>
  </si>
  <si>
    <t>Nueva Fecha Plan 2017</t>
  </si>
  <si>
    <t>Valor libro Equipo de Comunicación de Planta General</t>
  </si>
  <si>
    <t>Relacion entre VNR SPT y Valor libro SPT</t>
  </si>
  <si>
    <t>VNR Equipo de comunicación</t>
  </si>
  <si>
    <t>Activos Eléctricos (AE) valor libros (SPT+EC)</t>
  </si>
  <si>
    <t>Activos No Eléctricos (ANE) - valor de libros sin EC</t>
  </si>
  <si>
    <t>ANE/AE</t>
  </si>
  <si>
    <t>Activos PG Tope 10%</t>
  </si>
  <si>
    <t>Mínimo</t>
  </si>
  <si>
    <t>Porcentaje Eficiente Resultante</t>
  </si>
  <si>
    <t>VNR Planta General</t>
  </si>
  <si>
    <t>Balboas</t>
  </si>
  <si>
    <t>%</t>
  </si>
  <si>
    <t>Activos Contables Eficientes (Tope Artículo 186 RT)</t>
  </si>
  <si>
    <t>Verificación Artículo 186 Reglamento de Transmisión (Tope 10%)</t>
  </si>
  <si>
    <t>Verificación del Artículo 186 Reglamento de Transmisión</t>
  </si>
  <si>
    <t>VNR 230 KV</t>
  </si>
  <si>
    <t>VNR 115 KV</t>
  </si>
  <si>
    <t>VNR SPT
PRESENTACIÓN ETESA</t>
  </si>
  <si>
    <t>VNR SPT TOTAL
AJUSTADO</t>
  </si>
  <si>
    <t>AJUSTE</t>
  </si>
  <si>
    <t>PANAMA II</t>
  </si>
  <si>
    <t>PANAMA</t>
  </si>
  <si>
    <t>CHORRERA</t>
  </si>
  <si>
    <t>EL HIGO</t>
  </si>
  <si>
    <t>LLANO SANCHEZ</t>
  </si>
  <si>
    <t>VELADERO</t>
  </si>
  <si>
    <t>GUASQUITAS</t>
  </si>
  <si>
    <t xml:space="preserve">MATA DE NANCE </t>
  </si>
  <si>
    <t>PROGRESO</t>
  </si>
  <si>
    <t>FORTUNA NAVE 3</t>
  </si>
  <si>
    <t>LA ESPERANZA NAVE 1</t>
  </si>
  <si>
    <t>CAÑAZAS</t>
  </si>
  <si>
    <t>CHANGUINOLA</t>
  </si>
  <si>
    <t>CACERES</t>
  </si>
  <si>
    <t>SANTA RITA</t>
  </si>
  <si>
    <t>CALDERA</t>
  </si>
  <si>
    <t>VNR CONEXIÓN
AJUSTADO</t>
  </si>
  <si>
    <t>BOQUERON III</t>
  </si>
  <si>
    <t>SAN BARTOLO</t>
  </si>
  <si>
    <t>E LHIGO</t>
  </si>
  <si>
    <t>CHARCO AZUL</t>
  </si>
  <si>
    <t>VNR</t>
  </si>
  <si>
    <t>Longitud</t>
  </si>
  <si>
    <t>Longitud por Circuito</t>
  </si>
  <si>
    <t>Aceptado Revisión 2013</t>
  </si>
  <si>
    <t>ETESA 2017</t>
  </si>
  <si>
    <t>2017 vs 2013
%</t>
  </si>
  <si>
    <t>230-1A/B,2A</t>
  </si>
  <si>
    <t>BAYANO - PACORA - PANAMA II</t>
  </si>
  <si>
    <t>230-2A</t>
  </si>
  <si>
    <t xml:space="preserve">BAY - 24 DICIEMBRE </t>
  </si>
  <si>
    <t>230-2B</t>
  </si>
  <si>
    <t xml:space="preserve">24 DICIEMBRE - PANAMA II </t>
  </si>
  <si>
    <t>230-1C,2B</t>
  </si>
  <si>
    <t>PANAMA II - PANAMA</t>
  </si>
  <si>
    <t>230-3A,4A</t>
  </si>
  <si>
    <t>PANAMA - CHORRERA</t>
  </si>
  <si>
    <t>230-3B,4B</t>
  </si>
  <si>
    <t>CHORRERA - LL.SANCHEZ</t>
  </si>
  <si>
    <t>LINEAS DE 230 kV</t>
  </si>
  <si>
    <t>230-5A,6A</t>
  </si>
  <si>
    <t>LL.SANCHEZ - VELADERO</t>
  </si>
  <si>
    <t>DOBLE CIRCUITO</t>
  </si>
  <si>
    <t>230-5B,6B</t>
  </si>
  <si>
    <t>VELADERO - MATA NANCE</t>
  </si>
  <si>
    <t>230-7,8</t>
  </si>
  <si>
    <t>MATA NANCE - FORTUNA</t>
  </si>
  <si>
    <t>230-12,13</t>
  </si>
  <si>
    <t>LL.SANCHEZ - PANAMA II</t>
  </si>
  <si>
    <t>230-14,15</t>
  </si>
  <si>
    <t>VELADERO - LL. SANCHEZ</t>
  </si>
  <si>
    <t>230-16,17</t>
  </si>
  <si>
    <t>GUASQUITAS - VELADERO</t>
  </si>
  <si>
    <t>230-18, 29</t>
  </si>
  <si>
    <t>GUASQUITAS - FORTUNA (*)</t>
  </si>
  <si>
    <t>230-20A</t>
  </si>
  <si>
    <t>FORTUNA - LA ESPERANZA</t>
  </si>
  <si>
    <t>230-20B</t>
  </si>
  <si>
    <t>LA ESPERANZA - CHANGUINOLA</t>
  </si>
  <si>
    <t>230-29</t>
  </si>
  <si>
    <t>GUASQUITAS - CAÑAZAS</t>
  </si>
  <si>
    <t>230-30</t>
  </si>
  <si>
    <t>CAÑAZAS - CHANGUINOLA</t>
  </si>
  <si>
    <t>(*) Pasa a Circuito Sencillo en VNR 2017</t>
  </si>
  <si>
    <t>230-9A</t>
  </si>
  <si>
    <t>MATA NANCE - BOQUERON III</t>
  </si>
  <si>
    <t>230-9B</t>
  </si>
  <si>
    <t>BOQUERON III - PROGRESO</t>
  </si>
  <si>
    <t>CIRCUITO SENCILLO</t>
  </si>
  <si>
    <t>230-10</t>
  </si>
  <si>
    <t>PROGRESO - FRONTERA</t>
  </si>
  <si>
    <t>230-21</t>
  </si>
  <si>
    <t>CHANGUINOLA - FRONTERA</t>
  </si>
  <si>
    <t>230- XX</t>
  </si>
  <si>
    <t>DESVIACIÓN FORTUNA</t>
  </si>
  <si>
    <t>115-1A,2A</t>
  </si>
  <si>
    <t xml:space="preserve">CACERES - STA. RITA </t>
  </si>
  <si>
    <t>LINEAS DE 115 kV</t>
  </si>
  <si>
    <t>115-1B,2B</t>
  </si>
  <si>
    <t>STA. RITA - BLM 1</t>
  </si>
  <si>
    <t>115-15,16</t>
  </si>
  <si>
    <t>MATA NANCE - CALDERA</t>
  </si>
  <si>
    <t>115-3A,3B,4A,4B</t>
  </si>
  <si>
    <t>BAHIA LAS MINAS - PANAMA</t>
  </si>
  <si>
    <t>115-12</t>
  </si>
  <si>
    <t>PANAMA - CACERES</t>
  </si>
  <si>
    <t>115-37</t>
  </si>
  <si>
    <t>PANAMA - CACERES SUBT.</t>
  </si>
  <si>
    <t>115-17</t>
  </si>
  <si>
    <t>CALDERA - LA ESTRELLA</t>
  </si>
  <si>
    <t>115-18</t>
  </si>
  <si>
    <t>CALDERA - LOS VALLES</t>
  </si>
  <si>
    <t>115-19</t>
  </si>
  <si>
    <t>CALDERA - PAJA DE SOMBRERO</t>
  </si>
  <si>
    <t>115-25</t>
  </si>
  <si>
    <t>PROGRESO - CHARCO AZUL</t>
  </si>
  <si>
    <t>VNR LINEAS</t>
  </si>
  <si>
    <t>ACTIVOS EFICIENTES</t>
  </si>
  <si>
    <t>VNR Estrategicos</t>
  </si>
  <si>
    <t>VNR asignado a demanda</t>
  </si>
  <si>
    <t>VNR Conexiones</t>
  </si>
  <si>
    <t>VNR Sistema Principal</t>
  </si>
  <si>
    <t>VNR EFICIENTE (SPT_ESTRATEGICAS_PLANTA GENERAL)</t>
  </si>
  <si>
    <t>VNR TOTAL</t>
  </si>
  <si>
    <t>x</t>
  </si>
  <si>
    <t>VNR 2008</t>
  </si>
  <si>
    <t>VNR 2012</t>
  </si>
  <si>
    <t>VNR ETESA</t>
  </si>
  <si>
    <t>Líneas SPT</t>
  </si>
  <si>
    <t>Líneas Conexión</t>
  </si>
  <si>
    <t>Subestaciones SPT</t>
  </si>
  <si>
    <t>Subestaciones Conexión</t>
  </si>
  <si>
    <t>Subestaciones Estrategicas</t>
  </si>
  <si>
    <t>nd</t>
  </si>
  <si>
    <t>Tercer Línea 2015 -2016</t>
  </si>
  <si>
    <t>VNR Actual</t>
  </si>
  <si>
    <t>VNR Líneas 2016</t>
  </si>
  <si>
    <t>VNR SSEE SPT 2016</t>
  </si>
  <si>
    <t>VNR SSEE EST 2016</t>
  </si>
  <si>
    <t>Activos netos al final del año calendario (verificación)</t>
  </si>
  <si>
    <t>Activos brutos al final del año calendario</t>
  </si>
  <si>
    <t>Activos netos al final del año calendario</t>
  </si>
  <si>
    <t>Adiciones Planta General. Asignada a D</t>
  </si>
  <si>
    <t>Adiciones Planta General. Asignada a G y D</t>
  </si>
  <si>
    <t>Adiciones Sistema Principal Transmisión. Asignada a D</t>
  </si>
  <si>
    <t>Adiciones Sistema Principal Transmisión. Asignada a G y D</t>
  </si>
  <si>
    <t>Inversión anual PG (incluye comunicaciones). Asignada a D</t>
  </si>
  <si>
    <t>Inversión anual PG (incluye Comunicaciones). Asignada a G y D</t>
  </si>
  <si>
    <t>Sistema Principal de Transmisión. Asignado a D</t>
  </si>
  <si>
    <t>Sistema Principal de Transmisión. Asignado a G y D</t>
  </si>
  <si>
    <t>ACTIVOS EXISTENTES</t>
  </si>
  <si>
    <t>Tasa de depreciación de inversiones</t>
  </si>
  <si>
    <t>Planta General + Activos Estratégicos. Asignado a G y D</t>
  </si>
  <si>
    <t>Planta General + Activos Estratégicos. Asignado a D</t>
  </si>
  <si>
    <t>Conexiones (incluye adiciones)</t>
  </si>
  <si>
    <t>ACTIVOS EXISTENTES (al final del año calendario)</t>
  </si>
  <si>
    <t>ADICIONES (al final del año calendario)</t>
  </si>
  <si>
    <t>ACTIVOS EFICIENTES (VNR)</t>
  </si>
  <si>
    <t>230 kV + PG</t>
  </si>
  <si>
    <t>Composición</t>
  </si>
  <si>
    <t>1er Semestre Año Tarifario</t>
  </si>
  <si>
    <t>2do Semestre Año Tarifario</t>
  </si>
  <si>
    <t>% del año tarifario activado. 1er Semestre Año Tarifario</t>
  </si>
  <si>
    <t>% del año tarifario activado. 2do Semestre Año Tarifario</t>
  </si>
  <si>
    <t>Adiciones SP +  PG. Asignada a G y D. Activada durante el año</t>
  </si>
  <si>
    <t>Adiciones SP +  PG. Asignada a D. Activada durante el año</t>
  </si>
  <si>
    <t>Inversión (proporcional)</t>
  </si>
  <si>
    <t>Depreciación Año calendario</t>
  </si>
  <si>
    <t>ADICIONES ACUMULADAS (al final del año calendario)</t>
  </si>
  <si>
    <t>Fecha puesta en servicio</t>
  </si>
  <si>
    <t>Proporción del año en servicio</t>
  </si>
  <si>
    <t>Comunicación</t>
  </si>
  <si>
    <t>Inversiones Estratégicas</t>
  </si>
  <si>
    <t>chequeo</t>
  </si>
  <si>
    <t>ADICIONES PROPORCIONALES (al final del año calendario)</t>
  </si>
  <si>
    <t>Proporción de inversión</t>
  </si>
  <si>
    <t>UNIDAD</t>
  </si>
  <si>
    <t>OMT</t>
  </si>
  <si>
    <t>ADMT</t>
  </si>
  <si>
    <t>Tasa depreciación nuevas inversiones</t>
  </si>
  <si>
    <t>RRT</t>
  </si>
  <si>
    <t>ACTSPT (Activo bruto Sistema Principal) + PG. Asignado a G y D</t>
  </si>
  <si>
    <t>B/.MILES</t>
  </si>
  <si>
    <t>ACTSPTL (Activo bruto Sistema Principal) + PG. Asignado a D</t>
  </si>
  <si>
    <t>ACTCT (Activo bruto Conexión)</t>
  </si>
  <si>
    <t>ACTH (Activo bruto Hidro. Remanente)</t>
  </si>
  <si>
    <t>ACTNSPT (Activo Neto Sistema Principal) + PG. Asignado a G y D</t>
  </si>
  <si>
    <t>ACTNSPTL (Activo Neto Sistema Principal) + PG. Asignado a D</t>
  </si>
  <si>
    <t>ACTNTC (Activo Neto Conexión)</t>
  </si>
  <si>
    <t>ACTNH (Activo Neto Hidro. Remanente)</t>
  </si>
  <si>
    <t>ACTBAGyD (Adic Activo Bruto) + PG. Asignado a G y D</t>
  </si>
  <si>
    <t>ACTBAD (Adic Activo Bruto) + PG. Asignado a D</t>
  </si>
  <si>
    <t>ACTNAGyD (Adic Activo Neto) + PG. Asignado a G y D</t>
  </si>
  <si>
    <t>ACTNAD (Adic Activo Neto) + PG. Asignado a D</t>
  </si>
  <si>
    <t>∆ACTBAGyD (Adic Activo Bruto) + PG. Asignado a G y D</t>
  </si>
  <si>
    <t>∆ACTBAD (Adic Activo Bruto) + PG. Asignado a D</t>
  </si>
  <si>
    <t>∆ACTBAC (Adic Conexión)</t>
  </si>
  <si>
    <t>ACTIVOS EXISTENTES (al final del año)</t>
  </si>
  <si>
    <t>ACTEGyDef (Sistema Principal + PG). Asignado a G y D</t>
  </si>
  <si>
    <t>ACTEDef (Sistema Principal + PG). Asignado a D</t>
  </si>
  <si>
    <t>ACTCTef (Conexión)</t>
  </si>
  <si>
    <t>ACTIVOS EFICIENTES ADICIONALES (Al final del año calendario)</t>
  </si>
  <si>
    <t>ACTAGyDef (Sistema Principal + PG). Asignado a G y D</t>
  </si>
  <si>
    <t>ACTADef (Sistema Principal + PG). Asignado a D</t>
  </si>
  <si>
    <t>ACTCAef (Conexión)</t>
  </si>
  <si>
    <t>ACTIVOS INCORPORADOS PARCIALMENTE</t>
  </si>
  <si>
    <t>∆ACTAD (3era línea). Asignado a D</t>
  </si>
  <si>
    <t>∆ACTAGyD (parcial)</t>
  </si>
  <si>
    <t>∆ACTAD (parcial)</t>
  </si>
  <si>
    <t>∆ACTAC (parcial)</t>
  </si>
  <si>
    <t>ACTIVOS EXISTENTES. Asignados a G y D</t>
  </si>
  <si>
    <t>Operación y Mantenimiento</t>
  </si>
  <si>
    <t>Administración</t>
  </si>
  <si>
    <t>Rentabilidad sobre Activos</t>
  </si>
  <si>
    <t>Generación Obligada</t>
  </si>
  <si>
    <t>Estudio PEST y por gestión de compra de potencia y energía</t>
  </si>
  <si>
    <t>ACTIVOS EXISTENTES. Asignados a D</t>
  </si>
  <si>
    <t>ACTIVOS ADICIONALES. Asignados a G y D</t>
  </si>
  <si>
    <t>Diferido Proximo Período</t>
  </si>
  <si>
    <t>Operación y Mantenimiento. OMSPAGyD</t>
  </si>
  <si>
    <t>Adicional O&amp;M. ∆OMSPAGyD</t>
  </si>
  <si>
    <t>Administración. ADMSPAGyD</t>
  </si>
  <si>
    <t>Adicional Administración. ∆ADMSPAGyD</t>
  </si>
  <si>
    <t>Adicional Depreciación.  ∆DepSPAGyD</t>
  </si>
  <si>
    <t>Adicional Rentabilidad.  ∆RentSPAGyD</t>
  </si>
  <si>
    <t>ACTIVOS ADICIONALES. Asignados a D</t>
  </si>
  <si>
    <t>Operación y Mantenimiento. OMSPAD</t>
  </si>
  <si>
    <t>Adicional O&amp;M. ∆OMSPAD</t>
  </si>
  <si>
    <t>Administración. ADMSPAD</t>
  </si>
  <si>
    <t>Adicional Administración. ∆ADMSPAD</t>
  </si>
  <si>
    <t>Adicional Depreciación.  ∆DepSPAD</t>
  </si>
  <si>
    <t>Adicional Rentabilidad.  ∆RentSPAD</t>
  </si>
  <si>
    <t>SERVICIO DE OPERACIÓN INTEGRADA</t>
  </si>
  <si>
    <t>Centro Nacional de Despacho</t>
  </si>
  <si>
    <t>Hidrometeorología</t>
  </si>
  <si>
    <t>INGRESO ANUAL PERMITIDO (Año Tarifario)</t>
  </si>
  <si>
    <t>VPN</t>
  </si>
  <si>
    <t>IPSPEGyD. EXISTENTE</t>
  </si>
  <si>
    <t>IPSPED. EXISTENTE</t>
  </si>
  <si>
    <t>IPSPEGyD. EXISTENTE. CONSTANTE</t>
  </si>
  <si>
    <t>IPSPED. EXISTENTE. CONSTANTE</t>
  </si>
  <si>
    <t>SISTEMA PRINCIPAL Asignado a G y D</t>
  </si>
  <si>
    <t>IPSPAGyD. ADICIONAL</t>
  </si>
  <si>
    <t>IPSPGyD. TOTAL</t>
  </si>
  <si>
    <t>SISTEMA PRINCIPAL Asignado a D</t>
  </si>
  <si>
    <t>IPSPAD. ADICIONAL</t>
  </si>
  <si>
    <t>IPSPD. TOTAL</t>
  </si>
  <si>
    <t>SOI. TOTAL</t>
  </si>
  <si>
    <t xml:space="preserve">FACTOR DE ACTUALIZACIÓN </t>
  </si>
  <si>
    <t>VPN del IMP (Año Tarifario) (A comienzos del período tarifario)</t>
  </si>
  <si>
    <t>Inversiones. Asignado a Demanda (3° línea)</t>
  </si>
  <si>
    <t>INVERSIONES</t>
  </si>
  <si>
    <t>Inversión Planta General</t>
  </si>
  <si>
    <t>Asignada a Demanda</t>
  </si>
  <si>
    <t>Asignada a Generación y Demanda</t>
  </si>
  <si>
    <r>
      <t xml:space="preserve">Planta General </t>
    </r>
    <r>
      <rPr>
        <b/>
        <vertAlign val="superscript"/>
        <sz val="8.5"/>
        <color theme="0"/>
        <rFont val="Calibri"/>
        <family val="2"/>
      </rPr>
      <t>(#)</t>
    </r>
    <r>
      <rPr>
        <b/>
        <sz val="10"/>
        <color theme="0"/>
        <rFont val="Calibri"/>
        <family val="2"/>
        <scheme val="minor"/>
      </rPr>
      <t>. Asignado a Generación y Demanda</t>
    </r>
  </si>
  <si>
    <r>
      <t xml:space="preserve">Planta General </t>
    </r>
    <r>
      <rPr>
        <b/>
        <vertAlign val="superscript"/>
        <sz val="8.5"/>
        <color theme="0"/>
        <rFont val="Calibri"/>
        <family val="2"/>
      </rPr>
      <t>(#)</t>
    </r>
    <r>
      <rPr>
        <b/>
        <sz val="10"/>
        <color theme="0"/>
        <rFont val="Calibri"/>
        <family val="2"/>
        <scheme val="minor"/>
      </rPr>
      <t>. Asignado a Demanda</t>
    </r>
  </si>
  <si>
    <t>(#) No aplica Artículo 186 Reglamento de Transmisión</t>
  </si>
  <si>
    <t>SPT + Planta General Asignado a Generación y Demanda</t>
  </si>
  <si>
    <t>SPT. Asignado a Generación y Demanda</t>
  </si>
  <si>
    <t>SPT. Asignado a Demanda (3° línea)</t>
  </si>
  <si>
    <t>DEPRECIACIONES</t>
  </si>
  <si>
    <t>SPT + Planta General Asignado a Demanda</t>
  </si>
  <si>
    <t>Generación desplazada</t>
  </si>
  <si>
    <t>Fuente: Nota ETE·DCND-GME-MEN-1894-2017, 21 sept 2017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</si>
  <si>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</si>
  <si>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</si>
  <si>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</si>
  <si>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</si>
  <si>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</si>
  <si>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</si>
  <si>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</si>
  <si>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</si>
  <si>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</si>
  <si>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</si>
  <si>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</si>
  <si>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</si>
  <si>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B/.</t>
  </si>
  <si>
    <t>MWh</t>
  </si>
  <si>
    <t>Generación Desplazada</t>
  </si>
  <si>
    <t>Mes</t>
  </si>
  <si>
    <t>Plan Inversiones CND</t>
  </si>
  <si>
    <t>Plan Fortalecimiento CND</t>
  </si>
  <si>
    <t>#</t>
  </si>
  <si>
    <t>Gastos anuales del CND en personal</t>
  </si>
  <si>
    <t>Gastos Personal Reconocidos en Otros Gastos</t>
  </si>
  <si>
    <t>Otros Gastos</t>
  </si>
  <si>
    <t>B/. /Año</t>
  </si>
  <si>
    <t>Costo Personal CND</t>
  </si>
  <si>
    <t>Sobre Costo Personal CND [%]</t>
  </si>
  <si>
    <t>Salario y Otros Costos de Personal</t>
  </si>
  <si>
    <t>Cantidad Personal Propuesto para CND</t>
  </si>
  <si>
    <t>Alquileres</t>
  </si>
  <si>
    <t>TOTAL GASTOS</t>
  </si>
  <si>
    <t>TOTAL GASTOS A RECONOCER AL CND</t>
  </si>
  <si>
    <t>B/. /Persona/mes</t>
  </si>
  <si>
    <t>ADQUISICIÓN DE EQUIPOS</t>
  </si>
  <si>
    <t>Reemplazo Flota Vehicular</t>
  </si>
  <si>
    <t>Mejoras al Edificio</t>
  </si>
  <si>
    <t>Cambio Piso Falso de la Sala de Despacho</t>
  </si>
  <si>
    <t>Sistema de control de acceso y video vigilancia para el edificio del CND</t>
  </si>
  <si>
    <t>Muro Anti inundación</t>
  </si>
  <si>
    <t>INVERSIONES SCADA</t>
  </si>
  <si>
    <t>Actualización Hw/Sw y Apps SCADA escalonado a partir del 5to año de operación (desde 2014)</t>
  </si>
  <si>
    <t>Sintonización SCADA</t>
  </si>
  <si>
    <t>Mejoras al sistema de Video Proyección Magnificada en la Sala de Despacho (video wall)</t>
  </si>
  <si>
    <t>Centro de Despacho Alterno para emergencias y Salón de Simulación para entrenamiento de despachadores</t>
  </si>
  <si>
    <t>Mejoras al Equipo Informático y Otros</t>
  </si>
  <si>
    <t>Actualización de sistemas de Video Conferencias</t>
  </si>
  <si>
    <t>Adecuación de la plataforma WAMS de Elpros, adicionando 15 PMUs</t>
  </si>
  <si>
    <t>Adición de Almacenamiento (Storage) para respaldo de información en la plataforma operativa comercial BDI</t>
  </si>
  <si>
    <t>Renovación de la plataforma web CND para publicación e intercambio de información con los agentes robusteciendo la seguridad informática</t>
  </si>
  <si>
    <t>Actualización de equipos de usuarios, laboratorios de simulación y licencias de programas</t>
  </si>
  <si>
    <t>Finalizar procesos comerciales en la nueva plataforma operativa comercial BDI</t>
  </si>
  <si>
    <t>Equipos Auxiliares para asegurar la confiabilidad y transparencia en la operación integrada</t>
  </si>
  <si>
    <t>Reemplazo de UPS de 80 KVA</t>
  </si>
  <si>
    <t>Unidad Enfriadora de Agua (Chiller)</t>
  </si>
  <si>
    <t>Sistema de Extinción de llamas en el Generador Eléctrico y Cuarto de Baterías</t>
  </si>
  <si>
    <t>Equipamiento SMEC</t>
  </si>
  <si>
    <t>Patrón Portátil</t>
  </si>
  <si>
    <t>Generador Portátil</t>
  </si>
  <si>
    <t>Analizador de Transformadores</t>
  </si>
  <si>
    <t>Mejoras para el Cumplimiento de los Objetivos previstos en la Operación Integrada y la Administración del Mercado</t>
  </si>
  <si>
    <t>Consultoría Plan Estratégico</t>
  </si>
  <si>
    <t>Plan de Continuidad de Negocio</t>
  </si>
  <si>
    <t>Creación de Indicadores de la Operación Integrada e Integración en la BDI</t>
  </si>
  <si>
    <t>Adquisición de herramientas y consultorías para apoyo en la operación</t>
  </si>
  <si>
    <t xml:space="preserve">Metodología y ensayos de campo, para la validación y homologación de los parámetros y modelos de equipos de control en las unidades de generación del plantel de generación nacional. </t>
  </si>
  <si>
    <t xml:space="preserve">Adquisición de licencias del programa simulaciones eléctricas DSATOOLS con los módulos TSAT/VSAT/SSAT/PSAT para realizar estudios de las oscilaciones de potencia en el Sistema Interconectado Nacional (SIN) y en el Sistema Eléctrico Regional (SER). </t>
  </si>
  <si>
    <t xml:space="preserve">Adquisición de licencias del programa de optimización matemática aplicada (MATLAB y SIMULINK). </t>
  </si>
  <si>
    <t>Adquisición de un módulo de simulación ASPEN Oneliner.</t>
  </si>
  <si>
    <t>Revisión de la implementación de los programas de aplicación Nostradamus y Genops del SCADA ABB para la programación del despacho.</t>
  </si>
  <si>
    <t>1° Sem 2017</t>
  </si>
  <si>
    <t>2° Sem 2017</t>
  </si>
  <si>
    <t>1° Sem 2018</t>
  </si>
  <si>
    <t>2° Sem 2018</t>
  </si>
  <si>
    <t>1° Sem 2019</t>
  </si>
  <si>
    <t>2° Sem 2019</t>
  </si>
  <si>
    <t>1° Sem 2020</t>
  </si>
  <si>
    <t>2° Sem 2020</t>
  </si>
  <si>
    <t>1° Sem 2021</t>
  </si>
  <si>
    <t>2° Sem 2021</t>
  </si>
  <si>
    <t>RESUMEN GASTOS PROPUESTOS</t>
  </si>
  <si>
    <t>RESUMEN INVERSIONES PROPUESTAS</t>
  </si>
  <si>
    <t>DETALLE INVERSIONES REQUERIDAS POR SEMESTRE</t>
  </si>
  <si>
    <t>DIRECCIÓN DE HIDROMETEOROLOGÍA</t>
  </si>
  <si>
    <t xml:space="preserve">Estaciones meteorológicas </t>
  </si>
  <si>
    <t xml:space="preserve">Adquisición de estaciones meteorológicas </t>
  </si>
  <si>
    <t>Instalación y puesta en operación de estaciones meteorológicas (Gastos de transporte, materiales, estructuras)</t>
  </si>
  <si>
    <t>Adquisición, instalación y puesta en operación de un radar meteorológico, banda C de doble polaridad con tecnología Doppler Fase II. (Chiriquí)</t>
  </si>
  <si>
    <t>Adquisición, instalación y puesta en operación de un radar meteorológico de última generación. (Bocas del Toro y Darién)</t>
  </si>
  <si>
    <t>Adquisición de Vehículos doble tracción con malacate.</t>
  </si>
  <si>
    <t>Equipamiento para el lanzamiento de Radio Sondas.</t>
  </si>
  <si>
    <t xml:space="preserve">Adquisición de Estación de Recepción de Imágenes Satelitales GOES–R.  </t>
  </si>
  <si>
    <t>Adquisición de un software de integración de los sistemas meteorológicos e hidrológicos.</t>
  </si>
  <si>
    <t>Adquisición de un sistema de modelado de pronóstico hidrológico (software) interactivo a corto mediano y largo plazo para centrales hidroeléctricas.</t>
  </si>
  <si>
    <t>Estaciones hidrológicas</t>
  </si>
  <si>
    <t>Adquisición de estaciones hidrológicas</t>
  </si>
  <si>
    <t>Instalación y puesta en operación de estaciones hidrológicas (Gastos de transporte, materiales, estructuras).</t>
  </si>
  <si>
    <t>Adquisición, instalaciones y puesta en operación de 3 estaciones de calidad del agua.</t>
  </si>
  <si>
    <t>Adquisición de sensores de descargas eléctricas y un cerebro</t>
  </si>
  <si>
    <t>Instalación de la comunicación para los sensores de descarga eléctrica.</t>
  </si>
  <si>
    <t>Cámaras de vigilancia para subestaciones eléctricas</t>
  </si>
  <si>
    <t>Horn de alerta para subestaciones eléctricas</t>
  </si>
  <si>
    <t>Implementación de un APPS de Hidrometeorología.</t>
  </si>
  <si>
    <t>PROYECTO DE MODELACIÓN METEOROLÓGICA PARA PRONÓSTICO INTERACTIVO A CORTO PLAZO PARA CENTRALES EÓLICAS Y FOTOVOLTAICAS.</t>
  </si>
  <si>
    <t>Adquisición estaciones de radiación ultravioleta</t>
  </si>
  <si>
    <t>Instalación y puesta en operación de estaciones de radiación ultravioleta</t>
  </si>
  <si>
    <t>Adquisición, instalaciones y puesta en operación de 2 estaciones de calidad del aire.</t>
  </si>
  <si>
    <t>Adquisición de software para la generación de las curvas Intensidad Duración Frecuencia(IDF) y para la generación de la Rosa de los Vientos.</t>
  </si>
  <si>
    <t>Consultoría y adquisición de un sistema de modelado de pronóstico de viento interactivo para parques eólicos.</t>
  </si>
  <si>
    <t>Sistema para predicción numérica climática y actualizaciones</t>
  </si>
  <si>
    <t>Sistema de Generación de escenarios de cambio climático (Suministro de un servidor, entrenamiento).</t>
  </si>
  <si>
    <t>Adquisición de estaciones de nivel del mar con sensores meteorológicos (mareógrafos).</t>
  </si>
  <si>
    <t>MODERNIZACIÓN DE LAS OFICINAS DE LA DIRECCIÓN DE HIDROMETEOROLOGÍA</t>
  </si>
  <si>
    <t>Remodelación de las oficinas de Hidromet</t>
  </si>
  <si>
    <t>PROYECTO DE PROTECCIÓN DE LÍNEAS DE TRANSMISIÓN Y SUBESTACIONES ELÉCTRICAS</t>
  </si>
  <si>
    <t>PROYECTO DE MODELACIÓN HIDROLÓGICA PARA PRONÓSTICO INTERACTIVO A CORTO MEDIANO Y LARGO PLAZO EN CENTRALES HIDROELÉCTRICAS</t>
  </si>
  <si>
    <t>TOTAL INVERSIÓN CND</t>
  </si>
  <si>
    <t>TOTAL INVERSIÓN HIDROMETEOROLOGÍA</t>
  </si>
  <si>
    <t>ADICIONES Parciales (durante el año calendario)</t>
  </si>
  <si>
    <t>Cantidad de Personal</t>
  </si>
  <si>
    <t>PROMEDIO</t>
  </si>
  <si>
    <t xml:space="preserve"> B/.</t>
  </si>
  <si>
    <t>Gastos Anuales de Personal</t>
  </si>
  <si>
    <t>B/./empleado</t>
  </si>
  <si>
    <t>Gastos de Funcionamiento</t>
  </si>
  <si>
    <t>Relación Gastos Totales / Gastos Salariales / Empleado</t>
  </si>
  <si>
    <t>Promedio Relación Gastos Totales / Gastos Salariales / Empleado</t>
  </si>
  <si>
    <t>Gastos Operativos Hidrometeorología</t>
  </si>
  <si>
    <t>GASTOS OPERATIVOS PROPUESTOS</t>
  </si>
  <si>
    <t>INVERSIONES PROPUESTAS</t>
  </si>
  <si>
    <t>Calidad del Servicio (C)</t>
  </si>
  <si>
    <t>Inversión anual Planta General (PG)</t>
  </si>
  <si>
    <t>Inversión anual SPT. Asignada a Demanda</t>
  </si>
  <si>
    <t>Inversión anual SPT. Asignada a Generación y Demanda</t>
  </si>
  <si>
    <t>Inversión corto, largo plazo y reposición</t>
  </si>
  <si>
    <t>SERVICIO DE OPERACIÓN INTEGRADA (SOI)</t>
  </si>
  <si>
    <t>VALOR NUEVO DE REEMPLAZO EFICIENTE</t>
  </si>
  <si>
    <t>PARAMETROS IMP</t>
  </si>
  <si>
    <t>Fuentes:</t>
  </si>
  <si>
    <t>Control VNR SUB 2017 SPT.xlsx</t>
  </si>
  <si>
    <t>Control VNR SUB 2017 ESTRATEGICAS.xlsx</t>
  </si>
  <si>
    <t>Control VNR SUB 2017 CONEX.xlsx</t>
  </si>
  <si>
    <t>Centro Nacional de Despacho.xlsx</t>
  </si>
  <si>
    <t>Hidrometeorología.xlsx</t>
  </si>
  <si>
    <t>Valores Expresados en Miles de Balboas</t>
  </si>
  <si>
    <t>∆ACTBAD (TERCERA LÍNEA). Asignado a D</t>
  </si>
  <si>
    <t>AJUSTES SERVIDUMBRES RECONOCIDAS</t>
  </si>
  <si>
    <t xml:space="preserve">Incorporaciones Semestrales CND </t>
  </si>
  <si>
    <t>Adiciones Sistema Principal Transmisión</t>
  </si>
  <si>
    <t xml:space="preserve"> Asignada a D</t>
  </si>
  <si>
    <t>Adiciones Planta General</t>
  </si>
  <si>
    <t>Asignada a D</t>
  </si>
  <si>
    <t>30% Comunicaciones + Planta General + Resto Plan Expansión Corto, Largo Plazo y Reposición sin Tercera Línea ni Santa Rita Panamá II</t>
  </si>
  <si>
    <t>70% Comunicaciones + Planta General según Plan de Expansión</t>
  </si>
  <si>
    <t>Asignada a G y D</t>
  </si>
  <si>
    <t>Adiciones. Sistema Principal de Transmisión + Pta Gral.</t>
  </si>
  <si>
    <t>Asignado a D</t>
  </si>
  <si>
    <t>Asignado a G y D</t>
  </si>
  <si>
    <t>SI</t>
  </si>
  <si>
    <t>NO</t>
  </si>
  <si>
    <t>Proporcional Tercera Línea</t>
  </si>
  <si>
    <t>OBSERVACIONES</t>
  </si>
  <si>
    <t>CONTROL SI/NO</t>
  </si>
  <si>
    <t>Inversiones en Planta General y Comunicaciones según Plan de Expansión</t>
  </si>
  <si>
    <t>INGRESO ANUAL PERMITIDO EXISTENTE (Año Tarifario)</t>
  </si>
  <si>
    <t>IMP EXISTENTE TOTAL</t>
  </si>
  <si>
    <t>IMP INDICATIVO TOTAL</t>
  </si>
  <si>
    <t>Preliminar (Promedio Semestral según Solicitud ETESA en Período Tarifario 2013 - 2017)</t>
  </si>
  <si>
    <t>INGRESOS MÁXIMOS PERMITIDOS INDICATIVO</t>
  </si>
  <si>
    <t>SPT GyD</t>
  </si>
  <si>
    <t>SPT D</t>
  </si>
  <si>
    <t>SOI</t>
  </si>
  <si>
    <t>VPN 2013 - 2017</t>
  </si>
  <si>
    <t>Delta VPN 
2017 -2021 vs
 2013 - 2016</t>
  </si>
  <si>
    <t>VPN 2017 - 2021</t>
  </si>
  <si>
    <t>SOI TOTAL</t>
  </si>
  <si>
    <t xml:space="preserve"> INGRESOS MÁXIMOS PERMITIDOS</t>
  </si>
  <si>
    <t>Sem 1</t>
  </si>
  <si>
    <t>Sem 2</t>
  </si>
  <si>
    <t>EQUIPAMIENTO PRINCIPAL</t>
  </si>
  <si>
    <t>EQUIPAMIENTO ASOCIADO TOTALMENTE A  LA DEMANDA</t>
  </si>
  <si>
    <t>RESUMEN</t>
  </si>
  <si>
    <r>
      <t>INGRESO ANUAL</t>
    </r>
    <r>
      <rPr>
        <sz val="10"/>
        <rFont val="Arial"/>
        <family val="2"/>
      </rPr>
      <t xml:space="preserve"> (Año Calendario)</t>
    </r>
  </si>
  <si>
    <t xml:space="preserve">Centro Nacional de Despacho </t>
  </si>
  <si>
    <r>
      <t>INGRESO ANUAL</t>
    </r>
    <r>
      <rPr>
        <sz val="10"/>
        <rFont val="Arial"/>
        <family val="2"/>
      </rPr>
      <t xml:space="preserve"> (Año Tarifario)(1)</t>
    </r>
  </si>
  <si>
    <t>2013-2014</t>
  </si>
  <si>
    <t>2014-2015</t>
  </si>
  <si>
    <t>2015-2016</t>
  </si>
  <si>
    <t>2016-2017</t>
  </si>
  <si>
    <t>2017-2018</t>
  </si>
  <si>
    <r>
      <t xml:space="preserve">Valor Presente Neto del IMP </t>
    </r>
    <r>
      <rPr>
        <b/>
        <sz val="9"/>
        <rFont val="Arial"/>
        <family val="2"/>
      </rPr>
      <t>(Al 1 de julio de 2013)</t>
    </r>
  </si>
  <si>
    <t>VPN(2)</t>
  </si>
  <si>
    <t>230 kV</t>
  </si>
  <si>
    <t>115 kV</t>
  </si>
  <si>
    <t xml:space="preserve">230 kV </t>
  </si>
  <si>
    <t>3era línea</t>
  </si>
  <si>
    <t>Sistema Principal de Transmisión (no incluye 3era línea)</t>
  </si>
  <si>
    <t>IMP Existente</t>
  </si>
  <si>
    <t>IMP Indicativo</t>
  </si>
  <si>
    <t>Sala de Conferencias Inalámbrica</t>
  </si>
  <si>
    <t>Mejora en la Atención de Reclamos y Consultas</t>
  </si>
  <si>
    <t>Relación Indirectos/Inversiones</t>
  </si>
  <si>
    <t>Incremento Anual Acumulado 2017 - 2021</t>
  </si>
  <si>
    <t>Variación Anual 2017 - 2021</t>
  </si>
  <si>
    <t>Compensación Restricción Tercera Línea</t>
  </si>
  <si>
    <t>Calidad de servicio</t>
  </si>
  <si>
    <t>SUBESTACION
ESTRATÉGICAS</t>
  </si>
  <si>
    <t>SUBESTACION
CONEXIÓN</t>
  </si>
  <si>
    <t>SUBESTACION
SPT</t>
  </si>
  <si>
    <t>VNR
ESTRATÉGICAS ETESA</t>
  </si>
  <si>
    <t>VNR
AJUSTADO
ESTRATÉGICAS</t>
  </si>
  <si>
    <t>VNR
230 KV</t>
  </si>
  <si>
    <t>VNR
115 KV</t>
  </si>
  <si>
    <t>VNR
34 KV</t>
  </si>
  <si>
    <t>VNR PRESENTACIÓN ETESA</t>
  </si>
  <si>
    <t>Contrato</t>
  </si>
  <si>
    <t>ITBM</t>
  </si>
  <si>
    <t>Administración de la obra y EIA</t>
  </si>
  <si>
    <t>Avalúos, Negociación y Movilización</t>
  </si>
  <si>
    <t>Servidumbre</t>
  </si>
  <si>
    <t>Línea de Transmisión</t>
  </si>
  <si>
    <t>Ampliación S/E Veladero</t>
  </si>
  <si>
    <t>Ampliación S/E Llano Sánchez</t>
  </si>
  <si>
    <t>Ampliación S/EChorrera</t>
  </si>
  <si>
    <t>Ampliación S/E Panamá</t>
  </si>
  <si>
    <t>Sub Total</t>
  </si>
  <si>
    <t>Intereses durante Construcción</t>
  </si>
  <si>
    <t>Servidumbre Etesa</t>
  </si>
  <si>
    <t>Ajuste por Eficiencia Servidumbre total</t>
  </si>
  <si>
    <t>Costos Indirectos</t>
  </si>
  <si>
    <t>Valores en Millones de Balboas</t>
  </si>
  <si>
    <t>TERCERA LÍNEA DE TRANSMISIÓN</t>
  </si>
  <si>
    <t>VELADERO - PANAMÁ II</t>
  </si>
  <si>
    <t>TRAMO</t>
  </si>
  <si>
    <t>Km</t>
  </si>
  <si>
    <t>Costo Directo</t>
  </si>
  <si>
    <t>Costo Indirecto 16%</t>
  </si>
  <si>
    <t>Servidumbre Contrato</t>
  </si>
  <si>
    <t>Servidumbre ETESA</t>
  </si>
  <si>
    <t>Torres de Transmisión</t>
  </si>
  <si>
    <t>Apliación S/E Veladero</t>
  </si>
  <si>
    <t>Apliación S/E Llano Sánchez</t>
  </si>
  <si>
    <t>Apliación S/E Chorrera</t>
  </si>
  <si>
    <t>Apliación S/E Panamá II</t>
  </si>
  <si>
    <t>Total Costo Directo</t>
  </si>
  <si>
    <t>TRAMO 1</t>
  </si>
  <si>
    <t>TRAMO 2</t>
  </si>
  <si>
    <t>TRAMO 3</t>
  </si>
  <si>
    <t>Fecha de Entrada en Operación</t>
  </si>
  <si>
    <t>COSTO DIRECTO</t>
  </si>
  <si>
    <t>ITBMS</t>
  </si>
  <si>
    <t>Financiamiento</t>
  </si>
  <si>
    <t>COSTO DEL CONTRATO</t>
  </si>
  <si>
    <t>COSTO INDIRECTO</t>
  </si>
  <si>
    <t>Ajuste por Servidumbre</t>
  </si>
  <si>
    <t>TOTAL DE LA OBRA</t>
  </si>
  <si>
    <t>MONTO OBRA A RECONOCER 2017 SEGÚN ENTRADA EN OPERACIÓN</t>
  </si>
  <si>
    <t>Crédito por Restricción Tercera Línea</t>
  </si>
  <si>
    <t>Total Costo Directo con ITBMS</t>
  </si>
  <si>
    <t>INGRESOS MÁXIMOS PERMITIDOS POR ACTIVOS EXISTENTES</t>
  </si>
  <si>
    <t>EMPRESA DE TRANSMISIÓN ELÉCTRICA S.A.</t>
  </si>
  <si>
    <t xml:space="preserve">PARÁMETROS Y VALORES UTILIZADOS EN EL CÁLCULO DE LOS INGRESOS MÁXIMOS  PERMITIDOS </t>
  </si>
  <si>
    <t>(Miles de Balboas)</t>
  </si>
  <si>
    <t>VNA</t>
  </si>
  <si>
    <t xml:space="preserve">Nota: En base a los Estados Financieros de 2016 preliminares en revisión </t>
  </si>
  <si>
    <t>Nota: Esta información es solo de referencia en base a los Estados Financieros presentados ya que los valores han sido ajustados por eficiciencia en periodos tarifarios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</si>
</sst>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_-;\-* #,##0.0_-;_-* &quot;-&quot;?_-;_-@_-"/>
    <numFmt numFmtId="167" formatCode="0.0%"/>
    <numFmt numFmtId="168" formatCode="d/m/yy;@"/>
    <numFmt numFmtId="169" formatCode="#,##0.0"/>
    <numFmt numFmtId="170" formatCode="_(* #,##0_);_(* \(#,##0\);_(* &quot;-&quot;??_);_(@_)"/>
    <numFmt numFmtId="171" formatCode="#,##0_ ;\-#,##0\ "/>
    <numFmt numFmtId="172" formatCode="_-* #,##0_-;\-* #,##0_-;_-* &quot;-&quot;??_-;_-@_-"/>
    <numFmt numFmtId="173" formatCode="#.0\ &quot;x&quot;"/>
    <numFmt numFmtId="174" formatCode="#,##0.00_ ;\-#,##0.00\ "/>
    <numFmt numFmtId="175" formatCode="_(* #,##0.0000_);_(* \(#,##0.0000\);_(* &quot;-&quot;??_);_(@_)"/>
    <numFmt numFmtId="176" formatCode="_(* #,##0.00000_);_(* \(#,##0.00000\);_(* &quot;-&quot;??_);_(@_)"/>
    <numFmt numFmtId="177" formatCode="0.0"/>
    <numFmt numFmtId="178" formatCode="0.0000"/>
    <numFmt numFmtId="179" formatCode="_-* #,##0.0000_-;\-* #,##0.0000_-;_-* &quot;-&quot;??_-;_-@_-"/>
    <numFmt numFmtId="180" formatCode="###0;###0"/>
    <numFmt numFmtId="181" formatCode="_-* #,##0.00\ _€_-;\-* #,##0.00\ _€_-;_-* &quot;-&quot;??\ _€_-;_-@_-"/>
    <numFmt numFmtId="182" formatCode="_-* #,##0\ _€_-;\-* #,##0\ _€_-;_-* &quot;-&quot;??\ _€_-;_-@_-"/>
    <numFmt numFmtId="183" formatCode="_-* #,##0.000\ _€_-;\-* #,##0.000\ _€_-;_-* &quot;-&quot;??\ _€_-;_-@_-"/>
    <numFmt numFmtId="184" formatCode="#,##0;#,##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16"/>
      <name val="Times New Roman"/>
      <family val="1"/>
    </font>
    <font>
      <b/>
      <sz val="14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18"/>
      <name val="Calibri"/>
      <family val="2"/>
      <scheme val="minor"/>
    </font>
    <font>
      <sz val="12"/>
      <color indexed="9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4"/>
      <color indexed="9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name val="Arial"/>
      <family val="2"/>
    </font>
    <font>
      <sz val="8"/>
      <name val="Courier"/>
      <family val="3"/>
    </font>
    <font>
      <sz val="11"/>
      <name val="Courier New"/>
      <family val="3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0"/>
      <color rgb="FF0070C0"/>
      <name val="Calibri"/>
      <family val="2"/>
      <scheme val="minor"/>
    </font>
    <font>
      <b/>
      <vertAlign val="superscript"/>
      <sz val="8.5"/>
      <color theme="0"/>
      <name val="Calibri"/>
      <family val="2"/>
    </font>
    <font>
      <i/>
      <sz val="9"/>
      <color theme="1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color indexed="6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6" fillId="4" borderId="6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169" fontId="41" fillId="0" borderId="0"/>
    <xf numFmtId="165" fontId="1" fillId="0" borderId="0" applyFont="0" applyFill="0" applyBorder="0" applyAlignment="0" applyProtection="0"/>
    <xf numFmtId="0" fontId="8" fillId="0" borderId="0"/>
    <xf numFmtId="0" fontId="65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81" fontId="8" fillId="0" borderId="0" applyFont="0" applyFill="0" applyBorder="0" applyAlignment="0" applyProtection="0"/>
  </cellStyleXfs>
  <cellXfs count="1047">
    <xf numFmtId="0" fontId="0" fillId="0" borderId="0" xfId="0"/>
    <xf numFmtId="0" fontId="10" fillId="0" borderId="0" xfId="0" applyFont="1"/>
    <xf numFmtId="0" fontId="0" fillId="0" borderId="0" xfId="0" applyFill="1" applyAlignment="1">
      <alignment horizontal="center"/>
    </xf>
    <xf numFmtId="0" fontId="2" fillId="0" borderId="0" xfId="0" applyFont="1"/>
    <xf numFmtId="4" fontId="0" fillId="0" borderId="0" xfId="0" applyNumberFormat="1"/>
    <xf numFmtId="0" fontId="0" fillId="0" borderId="0" xfId="0" applyFill="1"/>
    <xf numFmtId="4" fontId="2" fillId="0" borderId="0" xfId="0" applyNumberFormat="1" applyFont="1"/>
    <xf numFmtId="4" fontId="0" fillId="0" borderId="0" xfId="0" applyNumberFormat="1" applyFill="1"/>
    <xf numFmtId="0" fontId="0" fillId="0" borderId="0" xfId="0" applyAlignment="1">
      <alignment horizontal="center"/>
    </xf>
    <xf numFmtId="0" fontId="15" fillId="2" borderId="0" xfId="0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4" fontId="0" fillId="3" borderId="0" xfId="0" applyNumberFormat="1" applyFill="1"/>
    <xf numFmtId="14" fontId="0" fillId="0" borderId="0" xfId="0" applyNumberFormat="1" applyFill="1" applyAlignment="1">
      <alignment horizontal="center"/>
    </xf>
    <xf numFmtId="3" fontId="8" fillId="0" borderId="0" xfId="0" applyNumberFormat="1" applyFont="1" applyFill="1"/>
    <xf numFmtId="3" fontId="5" fillId="0" borderId="0" xfId="0" applyNumberFormat="1" applyFont="1" applyFill="1"/>
    <xf numFmtId="3" fontId="7" fillId="0" borderId="2" xfId="0" applyNumberFormat="1" applyFont="1" applyFill="1" applyBorder="1"/>
    <xf numFmtId="3" fontId="7" fillId="0" borderId="0" xfId="0" applyNumberFormat="1" applyFont="1" applyFill="1"/>
    <xf numFmtId="3" fontId="7" fillId="0" borderId="10" xfId="0" applyNumberFormat="1" applyFont="1" applyFill="1" applyBorder="1"/>
    <xf numFmtId="3" fontId="9" fillId="0" borderId="4" xfId="0" applyNumberFormat="1" applyFont="1" applyFill="1" applyBorder="1"/>
    <xf numFmtId="3" fontId="13" fillId="0" borderId="0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3" fillId="0" borderId="0" xfId="0" applyNumberFormat="1" applyFont="1" applyAlignment="1"/>
    <xf numFmtId="0" fontId="13" fillId="0" borderId="0" xfId="0" applyFont="1"/>
    <xf numFmtId="0" fontId="2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4" fontId="10" fillId="0" borderId="0" xfId="0" applyNumberFormat="1" applyFont="1"/>
    <xf numFmtId="4" fontId="21" fillId="0" borderId="0" xfId="0" applyNumberFormat="1" applyFont="1"/>
    <xf numFmtId="4" fontId="22" fillId="0" borderId="0" xfId="0" applyNumberFormat="1" applyFont="1" applyFill="1"/>
    <xf numFmtId="4" fontId="21" fillId="0" borderId="0" xfId="0" applyNumberFormat="1" applyFont="1" applyFill="1"/>
    <xf numFmtId="0" fontId="23" fillId="0" borderId="0" xfId="0" applyFont="1"/>
    <xf numFmtId="4" fontId="23" fillId="0" borderId="2" xfId="0" applyNumberFormat="1" applyFont="1" applyBorder="1"/>
    <xf numFmtId="4" fontId="21" fillId="0" borderId="0" xfId="0" applyNumberFormat="1" applyFont="1" applyFill="1" applyBorder="1"/>
    <xf numFmtId="4" fontId="21" fillId="0" borderId="3" xfId="0" applyNumberFormat="1" applyFont="1" applyFill="1" applyBorder="1"/>
    <xf numFmtId="4" fontId="10" fillId="0" borderId="3" xfId="0" applyNumberFormat="1" applyFont="1" applyFill="1" applyBorder="1"/>
    <xf numFmtId="4" fontId="10" fillId="0" borderId="0" xfId="0" applyNumberFormat="1" applyFont="1" applyFill="1" applyBorder="1"/>
    <xf numFmtId="4" fontId="10" fillId="0" borderId="2" xfId="0" applyNumberFormat="1" applyFont="1" applyBorder="1"/>
    <xf numFmtId="4" fontId="23" fillId="0" borderId="4" xfId="0" applyNumberFormat="1" applyFont="1" applyBorder="1"/>
    <xf numFmtId="0" fontId="10" fillId="0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Border="1"/>
    <xf numFmtId="4" fontId="23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" fontId="23" fillId="0" borderId="0" xfId="0" applyNumberFormat="1" applyFont="1" applyFill="1"/>
    <xf numFmtId="4" fontId="23" fillId="0" borderId="2" xfId="0" applyNumberFormat="1" applyFont="1" applyFill="1" applyBorder="1"/>
    <xf numFmtId="4" fontId="23" fillId="0" borderId="4" xfId="0" applyNumberFormat="1" applyFont="1" applyFill="1" applyBorder="1"/>
    <xf numFmtId="0" fontId="23" fillId="0" borderId="0" xfId="0" applyFont="1" applyAlignment="1">
      <alignment horizontal="center"/>
    </xf>
    <xf numFmtId="0" fontId="20" fillId="7" borderId="0" xfId="0" applyFont="1" applyFill="1"/>
    <xf numFmtId="0" fontId="24" fillId="6" borderId="0" xfId="0" applyFont="1" applyFill="1"/>
    <xf numFmtId="3" fontId="10" fillId="0" borderId="0" xfId="0" applyNumberFormat="1" applyFont="1"/>
    <xf numFmtId="3" fontId="10" fillId="0" borderId="0" xfId="0" applyNumberFormat="1" applyFont="1" applyFill="1"/>
    <xf numFmtId="3" fontId="23" fillId="0" borderId="2" xfId="0" applyNumberFormat="1" applyFont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/>
    <xf numFmtId="3" fontId="10" fillId="0" borderId="2" xfId="0" applyNumberFormat="1" applyFont="1" applyBorder="1"/>
    <xf numFmtId="3" fontId="23" fillId="0" borderId="4" xfId="0" applyNumberFormat="1" applyFont="1" applyBorder="1"/>
    <xf numFmtId="3" fontId="21" fillId="0" borderId="0" xfId="0" applyNumberFormat="1" applyFont="1" applyFill="1"/>
    <xf numFmtId="3" fontId="19" fillId="0" borderId="0" xfId="0" applyNumberFormat="1" applyFont="1" applyFill="1"/>
    <xf numFmtId="3" fontId="21" fillId="0" borderId="0" xfId="0" applyNumberFormat="1" applyFont="1" applyFill="1" applyBorder="1"/>
    <xf numFmtId="3" fontId="21" fillId="0" borderId="3" xfId="0" applyNumberFormat="1" applyFont="1" applyFill="1" applyBorder="1"/>
    <xf numFmtId="3" fontId="19" fillId="0" borderId="3" xfId="0" applyNumberFormat="1" applyFont="1" applyFill="1" applyBorder="1"/>
    <xf numFmtId="3" fontId="19" fillId="0" borderId="0" xfId="0" applyNumberFormat="1" applyFont="1" applyFill="1" applyBorder="1"/>
    <xf numFmtId="3" fontId="23" fillId="0" borderId="2" xfId="0" applyNumberFormat="1" applyFont="1" applyFill="1" applyBorder="1"/>
    <xf numFmtId="3" fontId="25" fillId="0" borderId="0" xfId="0" applyNumberFormat="1" applyFont="1" applyFill="1"/>
    <xf numFmtId="3" fontId="23" fillId="0" borderId="4" xfId="0" applyNumberFormat="1" applyFont="1" applyFill="1" applyBorder="1"/>
    <xf numFmtId="3" fontId="23" fillId="0" borderId="10" xfId="0" applyNumberFormat="1" applyFont="1" applyFill="1" applyBorder="1"/>
    <xf numFmtId="3" fontId="23" fillId="0" borderId="0" xfId="0" applyNumberFormat="1" applyFont="1" applyFill="1"/>
    <xf numFmtId="3" fontId="13" fillId="0" borderId="0" xfId="0" applyNumberFormat="1" applyFont="1" applyFill="1"/>
    <xf numFmtId="166" fontId="13" fillId="0" borderId="0" xfId="0" applyNumberFormat="1" applyFont="1"/>
    <xf numFmtId="166" fontId="20" fillId="7" borderId="0" xfId="0" applyNumberFormat="1" applyFont="1" applyFill="1"/>
    <xf numFmtId="166" fontId="20" fillId="0" borderId="0" xfId="0" applyNumberFormat="1" applyFont="1"/>
    <xf numFmtId="166" fontId="24" fillId="6" borderId="0" xfId="0" applyNumberFormat="1" applyFont="1" applyFill="1"/>
    <xf numFmtId="3" fontId="18" fillId="0" borderId="0" xfId="0" applyNumberFormat="1" applyFont="1" applyFill="1"/>
    <xf numFmtId="3" fontId="18" fillId="0" borderId="0" xfId="0" applyNumberFormat="1" applyFont="1" applyFill="1" applyBorder="1"/>
    <xf numFmtId="3" fontId="18" fillId="0" borderId="3" xfId="0" applyNumberFormat="1" applyFont="1" applyFill="1" applyBorder="1"/>
    <xf numFmtId="164" fontId="0" fillId="0" borderId="0" xfId="0" applyNumberFormat="1"/>
    <xf numFmtId="0" fontId="4" fillId="2" borderId="0" xfId="0" applyFont="1" applyFill="1"/>
    <xf numFmtId="0" fontId="0" fillId="8" borderId="0" xfId="0" applyFill="1"/>
    <xf numFmtId="167" fontId="0" fillId="0" borderId="0" xfId="6" applyNumberFormat="1" applyFont="1" applyAlignment="1">
      <alignment horizontal="center"/>
    </xf>
    <xf numFmtId="0" fontId="3" fillId="9" borderId="0" xfId="0" applyFont="1" applyFill="1" applyAlignment="1">
      <alignment horizontal="center"/>
    </xf>
    <xf numFmtId="167" fontId="3" fillId="9" borderId="0" xfId="0" applyNumberFormat="1" applyFont="1" applyFill="1" applyAlignment="1">
      <alignment horizontal="center"/>
    </xf>
    <xf numFmtId="0" fontId="26" fillId="2" borderId="0" xfId="0" applyFont="1" applyFill="1"/>
    <xf numFmtId="4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20" fillId="0" borderId="0" xfId="0" applyFont="1" applyFill="1"/>
    <xf numFmtId="166" fontId="13" fillId="0" borderId="0" xfId="0" applyNumberFormat="1" applyFont="1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center"/>
    </xf>
    <xf numFmtId="15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7" fontId="24" fillId="2" borderId="1" xfId="0" applyNumberFormat="1" applyFont="1" applyFill="1" applyBorder="1" applyAlignment="1">
      <alignment horizontal="center"/>
    </xf>
    <xf numFmtId="166" fontId="22" fillId="0" borderId="0" xfId="0" applyNumberFormat="1" applyFont="1"/>
    <xf numFmtId="0" fontId="24" fillId="2" borderId="0" xfId="0" applyFont="1" applyFill="1"/>
    <xf numFmtId="0" fontId="10" fillId="0" borderId="0" xfId="4" applyFont="1" applyBorder="1"/>
    <xf numFmtId="4" fontId="27" fillId="0" borderId="0" xfId="4" applyNumberFormat="1" applyFont="1" applyFill="1" applyBorder="1"/>
    <xf numFmtId="4" fontId="30" fillId="0" borderId="0" xfId="4" applyNumberFormat="1" applyFont="1" applyFill="1" applyBorder="1" applyAlignment="1">
      <alignment horizontal="right"/>
    </xf>
    <xf numFmtId="4" fontId="30" fillId="0" borderId="0" xfId="4" applyNumberFormat="1" applyFont="1" applyFill="1" applyBorder="1"/>
    <xf numFmtId="0" fontId="23" fillId="0" borderId="0" xfId="4" applyFont="1" applyBorder="1" applyAlignment="1">
      <alignment horizontal="center"/>
    </xf>
    <xf numFmtId="0" fontId="31" fillId="0" borderId="0" xfId="4" applyFont="1" applyBorder="1"/>
    <xf numFmtId="4" fontId="33" fillId="0" borderId="0" xfId="4" applyNumberFormat="1" applyFont="1" applyFill="1" applyBorder="1"/>
    <xf numFmtId="3" fontId="23" fillId="0" borderId="0" xfId="4" applyNumberFormat="1" applyFont="1" applyBorder="1"/>
    <xf numFmtId="3" fontId="10" fillId="0" borderId="0" xfId="4" applyNumberFormat="1" applyFont="1" applyBorder="1"/>
    <xf numFmtId="3" fontId="9" fillId="0" borderId="0" xfId="4" applyNumberFormat="1" applyFont="1" applyBorder="1"/>
    <xf numFmtId="3" fontId="5" fillId="0" borderId="0" xfId="4" applyNumberFormat="1" applyFont="1" applyBorder="1"/>
    <xf numFmtId="3" fontId="32" fillId="5" borderId="0" xfId="4" applyNumberFormat="1" applyFont="1" applyFill="1" applyBorder="1"/>
    <xf numFmtId="3" fontId="32" fillId="5" borderId="7" xfId="4" applyNumberFormat="1" applyFont="1" applyFill="1" applyBorder="1"/>
    <xf numFmtId="3" fontId="10" fillId="0" borderId="9" xfId="4" applyNumberFormat="1" applyFont="1" applyBorder="1"/>
    <xf numFmtId="3" fontId="35" fillId="0" borderId="0" xfId="4" applyNumberFormat="1" applyFont="1" applyBorder="1"/>
    <xf numFmtId="3" fontId="5" fillId="0" borderId="5" xfId="4" applyNumberFormat="1" applyFont="1" applyFill="1" applyBorder="1" applyAlignment="1" applyProtection="1"/>
    <xf numFmtId="3" fontId="5" fillId="0" borderId="5" xfId="4" applyNumberFormat="1" applyFont="1" applyBorder="1"/>
    <xf numFmtId="3" fontId="10" fillId="0" borderId="9" xfId="4" applyNumberFormat="1" applyFont="1" applyFill="1" applyBorder="1"/>
    <xf numFmtId="3" fontId="35" fillId="0" borderId="0" xfId="4" applyNumberFormat="1" applyFont="1" applyFill="1" applyBorder="1"/>
    <xf numFmtId="0" fontId="10" fillId="0" borderId="0" xfId="4" applyFont="1" applyFill="1" applyBorder="1"/>
    <xf numFmtId="3" fontId="10" fillId="0" borderId="0" xfId="4" applyNumberFormat="1" applyFont="1" applyFill="1" applyBorder="1" applyAlignment="1" applyProtection="1"/>
    <xf numFmtId="3" fontId="34" fillId="5" borderId="9" xfId="4" applyNumberFormat="1" applyFont="1" applyFill="1" applyBorder="1"/>
    <xf numFmtId="3" fontId="36" fillId="0" borderId="0" xfId="5" applyNumberFormat="1" applyFont="1" applyBorder="1"/>
    <xf numFmtId="3" fontId="36" fillId="0" borderId="0" xfId="5" applyNumberFormat="1" applyFont="1" applyFill="1" applyBorder="1"/>
    <xf numFmtId="3" fontId="10" fillId="0" borderId="0" xfId="5" applyNumberFormat="1" applyFont="1" applyBorder="1"/>
    <xf numFmtId="3" fontId="23" fillId="0" borderId="9" xfId="4" applyNumberFormat="1" applyFont="1" applyFill="1" applyBorder="1" applyAlignment="1">
      <alignment horizontal="center"/>
    </xf>
    <xf numFmtId="3" fontId="5" fillId="0" borderId="5" xfId="4" applyNumberFormat="1" applyFont="1" applyFill="1" applyBorder="1" applyAlignment="1">
      <alignment horizontal="right"/>
    </xf>
    <xf numFmtId="3" fontId="37" fillId="0" borderId="9" xfId="4" applyNumberFormat="1" applyFont="1" applyBorder="1"/>
    <xf numFmtId="3" fontId="32" fillId="5" borderId="5" xfId="4" applyNumberFormat="1" applyFont="1" applyFill="1" applyBorder="1"/>
    <xf numFmtId="3" fontId="10" fillId="0" borderId="5" xfId="4" applyNumberFormat="1" applyFont="1" applyBorder="1"/>
    <xf numFmtId="3" fontId="32" fillId="5" borderId="9" xfId="4" applyNumberFormat="1" applyFont="1" applyFill="1" applyBorder="1"/>
    <xf numFmtId="3" fontId="38" fillId="5" borderId="11" xfId="4" applyNumberFormat="1" applyFont="1" applyFill="1" applyBorder="1"/>
    <xf numFmtId="3" fontId="32" fillId="5" borderId="3" xfId="4" applyNumberFormat="1" applyFont="1" applyFill="1" applyBorder="1" applyAlignment="1">
      <alignment horizontal="center"/>
    </xf>
    <xf numFmtId="3" fontId="32" fillId="5" borderId="3" xfId="4" applyNumberFormat="1" applyFont="1" applyFill="1" applyBorder="1"/>
    <xf numFmtId="4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3" fontId="34" fillId="2" borderId="0" xfId="4" applyNumberFormat="1" applyFont="1" applyFill="1" applyBorder="1"/>
    <xf numFmtId="3" fontId="32" fillId="2" borderId="0" xfId="4" applyNumberFormat="1" applyFont="1" applyFill="1" applyBorder="1" applyAlignment="1">
      <alignment horizontal="center"/>
    </xf>
    <xf numFmtId="3" fontId="32" fillId="2" borderId="0" xfId="4" applyNumberFormat="1" applyFont="1" applyFill="1" applyBorder="1"/>
    <xf numFmtId="0" fontId="32" fillId="2" borderId="0" xfId="4" applyFont="1" applyFill="1" applyBorder="1" applyAlignment="1">
      <alignment horizontal="center"/>
    </xf>
    <xf numFmtId="0" fontId="28" fillId="0" borderId="0" xfId="4" applyFont="1" applyBorder="1" applyAlignment="1"/>
    <xf numFmtId="0" fontId="29" fillId="0" borderId="0" xfId="4" applyFont="1" applyBorder="1" applyAlignment="1"/>
    <xf numFmtId="0" fontId="23" fillId="0" borderId="0" xfId="4" applyFont="1" applyBorder="1" applyAlignment="1"/>
    <xf numFmtId="10" fontId="39" fillId="11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3" fontId="26" fillId="0" borderId="0" xfId="0" applyNumberFormat="1" applyFont="1" applyFill="1" applyAlignment="1">
      <alignment horizontal="left"/>
    </xf>
    <xf numFmtId="0" fontId="14" fillId="0" borderId="0" xfId="0" applyFont="1" applyFill="1" applyBorder="1"/>
    <xf numFmtId="3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2" fillId="0" borderId="0" xfId="0" applyFont="1" applyFill="1" applyBorder="1"/>
    <xf numFmtId="0" fontId="42" fillId="4" borderId="0" xfId="0" applyFont="1" applyFill="1" applyBorder="1"/>
    <xf numFmtId="0" fontId="17" fillId="0" borderId="0" xfId="0" applyFont="1" applyFill="1" applyBorder="1" applyAlignment="1">
      <alignment horizontal="center"/>
    </xf>
    <xf numFmtId="0" fontId="14" fillId="12" borderId="0" xfId="0" applyFont="1" applyFill="1" applyBorder="1"/>
    <xf numFmtId="0" fontId="42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Continuous"/>
    </xf>
    <xf numFmtId="3" fontId="6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3" fontId="14" fillId="4" borderId="0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3" fontId="44" fillId="2" borderId="0" xfId="0" applyNumberFormat="1" applyFont="1" applyFill="1" applyBorder="1"/>
    <xf numFmtId="3" fontId="43" fillId="2" borderId="0" xfId="0" applyNumberFormat="1" applyFont="1" applyFill="1" applyBorder="1"/>
    <xf numFmtId="0" fontId="43" fillId="2" borderId="0" xfId="0" applyFont="1" applyFill="1" applyBorder="1"/>
    <xf numFmtId="3" fontId="44" fillId="2" borderId="0" xfId="0" applyNumberFormat="1" applyFont="1" applyFill="1" applyBorder="1" applyAlignment="1">
      <alignment horizontal="right"/>
    </xf>
    <xf numFmtId="168" fontId="43" fillId="2" borderId="0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Continuous"/>
    </xf>
    <xf numFmtId="0" fontId="46" fillId="0" borderId="0" xfId="0" applyFont="1"/>
    <xf numFmtId="170" fontId="46" fillId="0" borderId="0" xfId="0" applyNumberFormat="1" applyFont="1"/>
    <xf numFmtId="0" fontId="45" fillId="2" borderId="0" xfId="0" applyFont="1" applyFill="1" applyAlignment="1">
      <alignment horizontal="left" indent="2"/>
    </xf>
    <xf numFmtId="3" fontId="48" fillId="0" borderId="5" xfId="4" applyNumberFormat="1" applyFont="1" applyBorder="1"/>
    <xf numFmtId="3" fontId="23" fillId="0" borderId="5" xfId="5" applyNumberFormat="1" applyFont="1" applyBorder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3" fontId="13" fillId="0" borderId="5" xfId="0" applyNumberFormat="1" applyFont="1" applyFill="1" applyBorder="1"/>
    <xf numFmtId="3" fontId="10" fillId="0" borderId="5" xfId="4" applyNumberFormat="1" applyFont="1" applyFill="1" applyBorder="1" applyAlignment="1" applyProtection="1"/>
    <xf numFmtId="3" fontId="23" fillId="0" borderId="5" xfId="5" applyNumberFormat="1" applyFont="1" applyFill="1" applyBorder="1" applyAlignment="1">
      <alignment horizontal="right"/>
    </xf>
    <xf numFmtId="3" fontId="23" fillId="0" borderId="5" xfId="5" applyNumberFormat="1" applyFont="1" applyFill="1" applyBorder="1"/>
    <xf numFmtId="3" fontId="23" fillId="0" borderId="5" xfId="5" applyNumberFormat="1" applyFont="1" applyBorder="1"/>
    <xf numFmtId="3" fontId="36" fillId="0" borderId="5" xfId="5" applyNumberFormat="1" applyFont="1" applyFill="1" applyBorder="1"/>
    <xf numFmtId="3" fontId="36" fillId="0" borderId="5" xfId="4" applyNumberFormat="1" applyFont="1" applyFill="1" applyBorder="1"/>
    <xf numFmtId="3" fontId="23" fillId="0" borderId="5" xfId="4" applyNumberFormat="1" applyFont="1" applyFill="1" applyBorder="1"/>
    <xf numFmtId="3" fontId="10" fillId="0" borderId="6" xfId="4" applyNumberFormat="1" applyFont="1" applyBorder="1"/>
    <xf numFmtId="3" fontId="36" fillId="0" borderId="0" xfId="4" applyNumberFormat="1" applyFont="1" applyFill="1" applyBorder="1" applyAlignment="1" applyProtection="1"/>
    <xf numFmtId="3" fontId="23" fillId="0" borderId="6" xfId="4" applyNumberFormat="1" applyFont="1" applyFill="1" applyBorder="1"/>
    <xf numFmtId="3" fontId="49" fillId="0" borderId="5" xfId="4" applyNumberFormat="1" applyFont="1" applyFill="1" applyBorder="1"/>
    <xf numFmtId="3" fontId="10" fillId="0" borderId="5" xfId="4" applyNumberFormat="1" applyFont="1" applyFill="1" applyBorder="1"/>
    <xf numFmtId="3" fontId="10" fillId="0" borderId="5" xfId="4" applyNumberFormat="1" applyFont="1" applyFill="1" applyBorder="1" applyAlignment="1">
      <alignment horizontal="right"/>
    </xf>
    <xf numFmtId="3" fontId="50" fillId="0" borderId="0" xfId="4" applyNumberFormat="1" applyFont="1" applyBorder="1"/>
    <xf numFmtId="3" fontId="50" fillId="0" borderId="0" xfId="5" applyNumberFormat="1" applyFont="1" applyBorder="1"/>
    <xf numFmtId="3" fontId="49" fillId="0" borderId="6" xfId="4" applyNumberFormat="1" applyFont="1" applyFill="1" applyBorder="1"/>
    <xf numFmtId="3" fontId="37" fillId="0" borderId="11" xfId="4" applyNumberFormat="1" applyFont="1" applyFill="1" applyBorder="1"/>
    <xf numFmtId="3" fontId="37" fillId="0" borderId="3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9" fillId="0" borderId="3" xfId="4" applyNumberFormat="1" applyFont="1" applyFill="1" applyBorder="1" applyAlignment="1">
      <alignment horizontal="right"/>
    </xf>
    <xf numFmtId="3" fontId="34" fillId="2" borderId="12" xfId="4" applyNumberFormat="1" applyFont="1" applyFill="1" applyBorder="1"/>
    <xf numFmtId="3" fontId="47" fillId="2" borderId="13" xfId="4" applyNumberFormat="1" applyFont="1" applyFill="1" applyBorder="1" applyAlignment="1">
      <alignment horizontal="center"/>
    </xf>
    <xf numFmtId="3" fontId="47" fillId="2" borderId="8" xfId="4" applyNumberFormat="1" applyFont="1" applyFill="1" applyBorder="1"/>
    <xf numFmtId="3" fontId="47" fillId="2" borderId="13" xfId="4" applyNumberFormat="1" applyFont="1" applyFill="1" applyBorder="1"/>
    <xf numFmtId="0" fontId="51" fillId="2" borderId="0" xfId="0" applyFont="1" applyFill="1" applyAlignment="1">
      <alignment horizontal="center" vertical="center" wrapText="1"/>
    </xf>
    <xf numFmtId="0" fontId="52" fillId="0" borderId="0" xfId="0" applyFont="1"/>
    <xf numFmtId="0" fontId="52" fillId="0" borderId="0" xfId="0" applyFont="1" applyAlignment="1">
      <alignment horizontal="center"/>
    </xf>
    <xf numFmtId="171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5" fontId="53" fillId="2" borderId="0" xfId="0" applyNumberFormat="1" applyFont="1" applyFill="1" applyBorder="1" applyAlignment="1">
      <alignment horizontal="center"/>
    </xf>
    <xf numFmtId="4" fontId="53" fillId="2" borderId="0" xfId="0" applyNumberFormat="1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17" fontId="53" fillId="2" borderId="0" xfId="0" applyNumberFormat="1" applyFont="1" applyFill="1" applyBorder="1" applyAlignment="1">
      <alignment horizontal="center" vertical="center" wrapText="1"/>
    </xf>
    <xf numFmtId="0" fontId="54" fillId="2" borderId="0" xfId="0" applyFont="1" applyFill="1" applyBorder="1"/>
    <xf numFmtId="15" fontId="53" fillId="2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/>
    <xf numFmtId="4" fontId="55" fillId="0" borderId="0" xfId="0" applyNumberFormat="1" applyFont="1" applyFill="1" applyBorder="1"/>
    <xf numFmtId="4" fontId="56" fillId="0" borderId="0" xfId="0" applyNumberFormat="1" applyFont="1" applyFill="1" applyBorder="1"/>
    <xf numFmtId="0" fontId="55" fillId="0" borderId="0" xfId="0" applyFont="1" applyFill="1" applyBorder="1" applyAlignment="1">
      <alignment horizontal="center"/>
    </xf>
    <xf numFmtId="3" fontId="56" fillId="0" borderId="0" xfId="0" applyNumberFormat="1" applyFont="1" applyBorder="1"/>
    <xf numFmtId="3" fontId="56" fillId="0" borderId="0" xfId="0" applyNumberFormat="1" applyFont="1" applyFill="1" applyBorder="1"/>
    <xf numFmtId="0" fontId="56" fillId="0" borderId="0" xfId="0" applyFont="1"/>
    <xf numFmtId="164" fontId="57" fillId="0" borderId="0" xfId="0" applyNumberFormat="1" applyFont="1" applyFill="1"/>
    <xf numFmtId="0" fontId="55" fillId="15" borderId="0" xfId="0" applyFont="1" applyFill="1"/>
    <xf numFmtId="164" fontId="58" fillId="15" borderId="0" xfId="0" applyNumberFormat="1" applyFont="1" applyFill="1"/>
    <xf numFmtId="0" fontId="44" fillId="2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left" indent="1"/>
    </xf>
    <xf numFmtId="0" fontId="0" fillId="0" borderId="0" xfId="0" applyFont="1"/>
    <xf numFmtId="0" fontId="29" fillId="0" borderId="0" xfId="0" applyFont="1"/>
    <xf numFmtId="165" fontId="0" fillId="0" borderId="0" xfId="0" applyNumberFormat="1" applyFont="1"/>
    <xf numFmtId="0" fontId="24" fillId="14" borderId="0" xfId="0" applyFont="1" applyFill="1"/>
    <xf numFmtId="0" fontId="23" fillId="0" borderId="0" xfId="0" applyFont="1" applyFill="1" applyAlignment="1">
      <alignment horizontal="center"/>
    </xf>
    <xf numFmtId="0" fontId="24" fillId="2" borderId="0" xfId="0" applyFont="1" applyFill="1" applyAlignment="1">
      <alignment horizontal="left" indent="2"/>
    </xf>
    <xf numFmtId="172" fontId="13" fillId="0" borderId="0" xfId="0" applyNumberFormat="1" applyFont="1" applyFill="1" applyBorder="1"/>
    <xf numFmtId="170" fontId="13" fillId="0" borderId="0" xfId="0" applyNumberFormat="1" applyFont="1" applyFill="1" applyBorder="1"/>
    <xf numFmtId="10" fontId="13" fillId="0" borderId="0" xfId="6" applyNumberFormat="1" applyFont="1" applyFill="1" applyBorder="1"/>
    <xf numFmtId="10" fontId="13" fillId="12" borderId="0" xfId="6" applyNumberFormat="1" applyFont="1" applyFill="1" applyBorder="1"/>
    <xf numFmtId="0" fontId="13" fillId="0" borderId="0" xfId="0" applyFont="1" applyBorder="1"/>
    <xf numFmtId="0" fontId="0" fillId="0" borderId="0" xfId="0" applyFont="1" applyFill="1"/>
    <xf numFmtId="3" fontId="0" fillId="0" borderId="0" xfId="0" applyNumberFormat="1" applyFont="1" applyFill="1"/>
    <xf numFmtId="0" fontId="13" fillId="0" borderId="0" xfId="0" applyFont="1" applyFill="1" applyAlignment="1">
      <alignment horizontal="center"/>
    </xf>
    <xf numFmtId="167" fontId="21" fillId="0" borderId="0" xfId="6" applyNumberFormat="1" applyFont="1" applyFill="1" applyBorder="1" applyAlignment="1">
      <alignment horizontal="center"/>
    </xf>
    <xf numFmtId="0" fontId="15" fillId="14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indent="1"/>
    </xf>
    <xf numFmtId="0" fontId="3" fillId="15" borderId="0" xfId="0" applyFont="1" applyFill="1" applyAlignment="1">
      <alignment horizontal="left" indent="1"/>
    </xf>
    <xf numFmtId="0" fontId="1" fillId="0" borderId="0" xfId="0" applyFont="1" applyBorder="1"/>
    <xf numFmtId="0" fontId="15" fillId="0" borderId="0" xfId="0" applyFont="1" applyFill="1" applyBorder="1" applyAlignment="1">
      <alignment horizontal="center"/>
    </xf>
    <xf numFmtId="0" fontId="4" fillId="14" borderId="0" xfId="0" applyFont="1" applyFill="1" applyBorder="1"/>
    <xf numFmtId="0" fontId="15" fillId="14" borderId="0" xfId="0" applyFont="1" applyFill="1" applyBorder="1" applyAlignment="1">
      <alignment horizontal="center" vertical="center" wrapText="1"/>
    </xf>
    <xf numFmtId="0" fontId="15" fillId="14" borderId="0" xfId="9" applyFont="1" applyFill="1" applyBorder="1" applyAlignment="1">
      <alignment horizontal="left"/>
    </xf>
    <xf numFmtId="0" fontId="5" fillId="8" borderId="0" xfId="9" applyFont="1" applyFill="1" applyBorder="1" applyAlignment="1">
      <alignment horizontal="center"/>
    </xf>
    <xf numFmtId="0" fontId="5" fillId="8" borderId="0" xfId="9" applyFont="1" applyFill="1" applyBorder="1"/>
    <xf numFmtId="4" fontId="5" fillId="8" borderId="0" xfId="9" applyNumberFormat="1" applyFont="1" applyFill="1" applyBorder="1" applyAlignment="1">
      <alignment horizontal="center"/>
    </xf>
    <xf numFmtId="0" fontId="15" fillId="14" borderId="0" xfId="9" applyFont="1" applyFill="1" applyBorder="1"/>
    <xf numFmtId="0" fontId="5" fillId="12" borderId="0" xfId="9" applyFont="1" applyFill="1" applyBorder="1" applyAlignment="1">
      <alignment horizontal="center"/>
    </xf>
    <xf numFmtId="0" fontId="5" fillId="12" borderId="0" xfId="9" applyFont="1" applyFill="1" applyBorder="1"/>
    <xf numFmtId="0" fontId="15" fillId="14" borderId="0" xfId="9" applyFont="1" applyFill="1" applyBorder="1" applyAlignment="1">
      <alignment horizontal="center"/>
    </xf>
    <xf numFmtId="4" fontId="5" fillId="12" borderId="0" xfId="9" applyNumberFormat="1" applyFont="1" applyFill="1" applyBorder="1" applyAlignment="1">
      <alignment horizontal="center"/>
    </xf>
    <xf numFmtId="0" fontId="4" fillId="14" borderId="0" xfId="9" applyFont="1" applyFill="1" applyBorder="1"/>
    <xf numFmtId="2" fontId="5" fillId="12" borderId="0" xfId="9" applyNumberFormat="1" applyFont="1" applyFill="1" applyBorder="1" applyAlignment="1">
      <alignment horizontal="center"/>
    </xf>
    <xf numFmtId="2" fontId="5" fillId="8" borderId="0" xfId="9" applyNumberFormat="1" applyFont="1" applyFill="1" applyBorder="1" applyAlignment="1">
      <alignment horizontal="center"/>
    </xf>
    <xf numFmtId="0" fontId="15" fillId="14" borderId="0" xfId="0" applyFont="1" applyFill="1" applyBorder="1"/>
    <xf numFmtId="4" fontId="15" fillId="14" borderId="0" xfId="9" applyNumberFormat="1" applyFont="1" applyFill="1" applyBorder="1" applyAlignment="1">
      <alignment horizontal="center"/>
    </xf>
    <xf numFmtId="3" fontId="15" fillId="14" borderId="0" xfId="0" applyNumberFormat="1" applyFont="1" applyFill="1" applyBorder="1"/>
    <xf numFmtId="167" fontId="15" fillId="14" borderId="0" xfId="6" applyNumberFormat="1" applyFont="1" applyFill="1" applyBorder="1"/>
    <xf numFmtId="0" fontId="60" fillId="12" borderId="0" xfId="9" applyFont="1" applyFill="1" applyBorder="1" applyAlignment="1">
      <alignment horizontal="left"/>
    </xf>
    <xf numFmtId="0" fontId="61" fillId="0" borderId="0" xfId="0" applyFont="1" applyBorder="1"/>
    <xf numFmtId="0" fontId="15" fillId="14" borderId="0" xfId="9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14" borderId="0" xfId="9" applyFont="1" applyFill="1" applyBorder="1"/>
    <xf numFmtId="0" fontId="1" fillId="14" borderId="0" xfId="0" applyFont="1" applyFill="1" applyBorder="1"/>
    <xf numFmtId="4" fontId="1" fillId="0" borderId="0" xfId="0" applyNumberFormat="1" applyFont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5" fillId="0" borderId="0" xfId="9" applyFont="1" applyFill="1" applyBorder="1" applyAlignment="1">
      <alignment horizontal="center"/>
    </xf>
    <xf numFmtId="2" fontId="5" fillId="0" borderId="0" xfId="9" applyNumberFormat="1" applyFont="1" applyFill="1" applyBorder="1" applyAlignment="1">
      <alignment horizontal="center"/>
    </xf>
    <xf numFmtId="0" fontId="20" fillId="9" borderId="0" xfId="0" applyFont="1" applyFill="1"/>
    <xf numFmtId="170" fontId="20" fillId="9" borderId="0" xfId="0" applyNumberFormat="1" applyFont="1" applyFill="1"/>
    <xf numFmtId="0" fontId="20" fillId="8" borderId="0" xfId="0" applyFont="1" applyFill="1"/>
    <xf numFmtId="170" fontId="20" fillId="8" borderId="0" xfId="0" applyNumberFormat="1" applyFont="1" applyFill="1"/>
    <xf numFmtId="173" fontId="22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170" fontId="0" fillId="0" borderId="18" xfId="8" applyNumberFormat="1" applyFont="1" applyBorder="1"/>
    <xf numFmtId="170" fontId="0" fillId="0" borderId="19" xfId="8" applyNumberFormat="1" applyFont="1" applyBorder="1"/>
    <xf numFmtId="170" fontId="0" fillId="0" borderId="20" xfId="8" applyNumberFormat="1" applyFont="1" applyBorder="1"/>
    <xf numFmtId="0" fontId="7" fillId="0" borderId="21" xfId="0" applyFont="1" applyBorder="1"/>
    <xf numFmtId="170" fontId="0" fillId="0" borderId="22" xfId="8" applyNumberFormat="1" applyFont="1" applyBorder="1"/>
    <xf numFmtId="170" fontId="0" fillId="0" borderId="8" xfId="8" applyNumberFormat="1" applyFont="1" applyBorder="1"/>
    <xf numFmtId="170" fontId="0" fillId="0" borderId="23" xfId="8" applyNumberFormat="1" applyFont="1" applyBorder="1"/>
    <xf numFmtId="0" fontId="7" fillId="0" borderId="24" xfId="0" applyFont="1" applyBorder="1"/>
    <xf numFmtId="170" fontId="8" fillId="0" borderId="25" xfId="8" applyNumberFormat="1" applyFont="1" applyBorder="1" applyAlignment="1">
      <alignment horizontal="right"/>
    </xf>
    <xf numFmtId="170" fontId="0" fillId="0" borderId="26" xfId="8" applyNumberFormat="1" applyFont="1" applyBorder="1"/>
    <xf numFmtId="170" fontId="0" fillId="0" borderId="27" xfId="8" applyNumberFormat="1" applyFont="1" applyBorder="1"/>
    <xf numFmtId="0" fontId="7" fillId="0" borderId="28" xfId="0" applyFont="1" applyFill="1" applyBorder="1"/>
    <xf numFmtId="170" fontId="0" fillId="0" borderId="29" xfId="8" applyNumberFormat="1" applyFont="1" applyBorder="1"/>
    <xf numFmtId="170" fontId="0" fillId="0" borderId="30" xfId="8" applyNumberFormat="1" applyFont="1" applyBorder="1"/>
    <xf numFmtId="170" fontId="0" fillId="0" borderId="31" xfId="8" applyNumberFormat="1" applyFont="1" applyBorder="1"/>
    <xf numFmtId="170" fontId="0" fillId="0" borderId="0" xfId="0" applyNumberForma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170" fontId="3" fillId="0" borderId="0" xfId="0" applyNumberFormat="1" applyFont="1"/>
    <xf numFmtId="170" fontId="20" fillId="13" borderId="0" xfId="0" applyNumberFormat="1" applyFont="1" applyFill="1"/>
    <xf numFmtId="0" fontId="7" fillId="13" borderId="0" xfId="0" applyFont="1" applyFill="1" applyBorder="1"/>
    <xf numFmtId="170" fontId="13" fillId="0" borderId="0" xfId="0" applyNumberFormat="1" applyFont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/>
    <xf numFmtId="167" fontId="10" fillId="0" borderId="0" xfId="0" applyNumberFormat="1" applyFont="1"/>
    <xf numFmtId="167" fontId="21" fillId="0" borderId="0" xfId="6" applyNumberFormat="1" applyFont="1"/>
    <xf numFmtId="0" fontId="8" fillId="4" borderId="0" xfId="0" applyFont="1" applyFill="1" applyBorder="1" applyAlignment="1">
      <alignment horizontal="center"/>
    </xf>
    <xf numFmtId="167" fontId="22" fillId="0" borderId="0" xfId="6" applyNumberFormat="1" applyFont="1"/>
    <xf numFmtId="0" fontId="13" fillId="12" borderId="0" xfId="0" applyFont="1" applyFill="1" applyBorder="1" applyAlignment="1">
      <alignment horizontal="center"/>
    </xf>
    <xf numFmtId="0" fontId="13" fillId="12" borderId="0" xfId="0" applyFont="1" applyFill="1" applyBorder="1"/>
    <xf numFmtId="0" fontId="24" fillId="2" borderId="0" xfId="0" applyFont="1" applyFill="1" applyAlignment="1">
      <alignment horizontal="right"/>
    </xf>
    <xf numFmtId="170" fontId="20" fillId="0" borderId="0" xfId="0" applyNumberFormat="1" applyFont="1"/>
    <xf numFmtId="172" fontId="13" fillId="0" borderId="0" xfId="0" applyNumberFormat="1" applyFont="1"/>
    <xf numFmtId="9" fontId="62" fillId="0" borderId="0" xfId="0" applyNumberFormat="1" applyFont="1"/>
    <xf numFmtId="0" fontId="24" fillId="6" borderId="0" xfId="0" applyFont="1" applyFill="1" applyAlignment="1">
      <alignment horizontal="left" indent="2"/>
    </xf>
    <xf numFmtId="165" fontId="13" fillId="0" borderId="0" xfId="0" applyNumberFormat="1" applyFont="1"/>
    <xf numFmtId="167" fontId="13" fillId="0" borderId="0" xfId="0" applyNumberFormat="1" applyFont="1"/>
    <xf numFmtId="10" fontId="13" fillId="0" borderId="0" xfId="6" applyNumberFormat="1" applyFont="1"/>
    <xf numFmtId="9" fontId="13" fillId="0" borderId="0" xfId="0" applyNumberFormat="1" applyFont="1"/>
    <xf numFmtId="170" fontId="62" fillId="0" borderId="0" xfId="0" applyNumberFormat="1" applyFont="1"/>
    <xf numFmtId="164" fontId="13" fillId="10" borderId="0" xfId="0" applyNumberFormat="1" applyFont="1" applyFill="1"/>
    <xf numFmtId="167" fontId="10" fillId="0" borderId="0" xfId="6" applyNumberFormat="1" applyFont="1"/>
    <xf numFmtId="167" fontId="13" fillId="0" borderId="0" xfId="6" applyNumberFormat="1" applyFont="1"/>
    <xf numFmtId="43" fontId="13" fillId="0" borderId="0" xfId="0" applyNumberFormat="1" applyFont="1"/>
    <xf numFmtId="3" fontId="13" fillId="0" borderId="0" xfId="0" applyNumberFormat="1" applyFont="1"/>
    <xf numFmtId="170" fontId="13" fillId="0" borderId="0" xfId="0" applyNumberFormat="1" applyFont="1" applyFill="1"/>
    <xf numFmtId="172" fontId="13" fillId="0" borderId="0" xfId="0" applyNumberFormat="1" applyFont="1" applyFill="1"/>
    <xf numFmtId="0" fontId="13" fillId="6" borderId="0" xfId="0" applyFont="1" applyFill="1"/>
    <xf numFmtId="9" fontId="13" fillId="0" borderId="0" xfId="6" applyFont="1" applyFill="1"/>
    <xf numFmtId="0" fontId="26" fillId="6" borderId="0" xfId="0" applyFont="1" applyFill="1"/>
    <xf numFmtId="0" fontId="13" fillId="13" borderId="0" xfId="0" applyFont="1" applyFill="1"/>
    <xf numFmtId="9" fontId="13" fillId="13" borderId="0" xfId="6" applyFont="1" applyFill="1"/>
    <xf numFmtId="172" fontId="13" fillId="13" borderId="0" xfId="0" applyNumberFormat="1" applyFont="1" applyFill="1"/>
    <xf numFmtId="0" fontId="63" fillId="16" borderId="0" xfId="0" applyFont="1" applyFill="1" applyBorder="1" applyAlignment="1">
      <alignment horizontal="centerContinuous"/>
    </xf>
    <xf numFmtId="0" fontId="64" fillId="0" borderId="0" xfId="0" applyFont="1" applyFill="1" applyBorder="1"/>
    <xf numFmtId="0" fontId="63" fillId="17" borderId="0" xfId="0" applyFont="1" applyFill="1" applyBorder="1" applyAlignment="1">
      <alignment horizontal="centerContinuous"/>
    </xf>
    <xf numFmtId="165" fontId="14" fillId="0" borderId="0" xfId="8" applyFont="1" applyFill="1" applyBorder="1"/>
    <xf numFmtId="165" fontId="14" fillId="0" borderId="0" xfId="8" applyFont="1" applyFill="1" applyBorder="1" applyAlignment="1">
      <alignment horizontal="center"/>
    </xf>
    <xf numFmtId="165" fontId="6" fillId="0" borderId="0" xfId="8" applyFont="1" applyFill="1" applyBorder="1" applyAlignment="1">
      <alignment horizontal="center"/>
    </xf>
    <xf numFmtId="165" fontId="43" fillId="2" borderId="0" xfId="8" applyFont="1" applyFill="1" applyBorder="1" applyAlignment="1">
      <alignment horizontal="center"/>
    </xf>
    <xf numFmtId="165" fontId="14" fillId="0" borderId="0" xfId="8" applyNumberFormat="1" applyFont="1" applyFill="1" applyBorder="1" applyAlignment="1">
      <alignment horizontal="center"/>
    </xf>
    <xf numFmtId="174" fontId="14" fillId="0" borderId="0" xfId="0" applyNumberFormat="1" applyFont="1" applyFill="1" applyBorder="1"/>
    <xf numFmtId="0" fontId="14" fillId="0" borderId="3" xfId="0" applyFont="1" applyFill="1" applyBorder="1"/>
    <xf numFmtId="3" fontId="14" fillId="0" borderId="3" xfId="0" applyNumberFormat="1" applyFont="1" applyFill="1" applyBorder="1"/>
    <xf numFmtId="172" fontId="62" fillId="0" borderId="0" xfId="0" applyNumberFormat="1" applyFont="1" applyFill="1"/>
    <xf numFmtId="172" fontId="62" fillId="0" borderId="0" xfId="0" applyNumberFormat="1" applyFont="1"/>
    <xf numFmtId="165" fontId="13" fillId="0" borderId="0" xfId="8" applyFont="1"/>
    <xf numFmtId="0" fontId="15" fillId="2" borderId="0" xfId="0" applyFont="1" applyFill="1" applyAlignment="1">
      <alignment horizontal="center"/>
    </xf>
    <xf numFmtId="0" fontId="24" fillId="0" borderId="0" xfId="0" applyFont="1" applyFill="1" applyAlignment="1">
      <alignment horizontal="left" indent="1"/>
    </xf>
    <xf numFmtId="170" fontId="21" fillId="0" borderId="0" xfId="0" applyNumberFormat="1" applyFont="1"/>
    <xf numFmtId="170" fontId="22" fillId="0" borderId="0" xfId="0" applyNumberFormat="1" applyFont="1"/>
    <xf numFmtId="170" fontId="10" fillId="0" borderId="0" xfId="0" applyNumberFormat="1" applyFont="1"/>
    <xf numFmtId="3" fontId="66" fillId="0" borderId="0" xfId="0" applyNumberFormat="1" applyFont="1" applyFill="1" applyBorder="1"/>
    <xf numFmtId="0" fontId="66" fillId="0" borderId="0" xfId="0" applyFont="1" applyFill="1" applyBorder="1"/>
    <xf numFmtId="3" fontId="67" fillId="0" borderId="0" xfId="0" applyNumberFormat="1" applyFont="1" applyFill="1" applyBorder="1"/>
    <xf numFmtId="0" fontId="67" fillId="0" borderId="0" xfId="0" applyFont="1" applyFill="1" applyBorder="1"/>
    <xf numFmtId="0" fontId="14" fillId="19" borderId="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3" fontId="6" fillId="19" borderId="0" xfId="0" applyNumberFormat="1" applyFont="1" applyFill="1" applyBorder="1"/>
    <xf numFmtId="3" fontId="14" fillId="19" borderId="0" xfId="0" applyNumberFormat="1" applyFont="1" applyFill="1" applyBorder="1"/>
    <xf numFmtId="168" fontId="14" fillId="19" borderId="0" xfId="0" applyNumberFormat="1" applyFont="1" applyFill="1" applyBorder="1" applyAlignment="1">
      <alignment horizontal="center"/>
    </xf>
    <xf numFmtId="0" fontId="14" fillId="19" borderId="0" xfId="0" applyFont="1" applyFill="1" applyBorder="1"/>
    <xf numFmtId="165" fontId="14" fillId="19" borderId="0" xfId="8" applyFont="1" applyFill="1" applyBorder="1" applyAlignment="1">
      <alignment horizontal="center"/>
    </xf>
    <xf numFmtId="0" fontId="6" fillId="19" borderId="0" xfId="0" applyFont="1" applyFill="1" applyBorder="1" applyAlignment="1">
      <alignment horizontal="left"/>
    </xf>
    <xf numFmtId="168" fontId="6" fillId="19" borderId="0" xfId="0" applyNumberFormat="1" applyFont="1" applyFill="1" applyBorder="1" applyAlignment="1">
      <alignment horizontal="center"/>
    </xf>
    <xf numFmtId="165" fontId="6" fillId="19" borderId="0" xfId="8" applyFont="1" applyFill="1" applyBorder="1" applyAlignment="1">
      <alignment horizontal="center"/>
    </xf>
    <xf numFmtId="0" fontId="6" fillId="19" borderId="0" xfId="0" applyFont="1" applyFill="1" applyBorder="1"/>
    <xf numFmtId="0" fontId="13" fillId="0" borderId="0" xfId="0" applyFont="1" applyBorder="1" applyAlignment="1">
      <alignment horizontal="left"/>
    </xf>
    <xf numFmtId="170" fontId="13" fillId="0" borderId="0" xfId="0" applyNumberFormat="1" applyFont="1" applyBorder="1"/>
    <xf numFmtId="0" fontId="24" fillId="6" borderId="0" xfId="0" applyFont="1" applyFill="1" applyAlignment="1">
      <alignment horizontal="left" indent="1"/>
    </xf>
    <xf numFmtId="0" fontId="10" fillId="12" borderId="0" xfId="0" applyFont="1" applyFill="1" applyBorder="1" applyAlignment="1">
      <alignment horizontal="left" indent="1"/>
    </xf>
    <xf numFmtId="0" fontId="13" fillId="0" borderId="0" xfId="0" applyFont="1" applyAlignment="1">
      <alignment horizontal="left" indent="1"/>
    </xf>
    <xf numFmtId="0" fontId="10" fillId="12" borderId="0" xfId="0" applyFont="1" applyFill="1" applyBorder="1" applyAlignment="1">
      <alignment horizontal="left"/>
    </xf>
    <xf numFmtId="9" fontId="68" fillId="12" borderId="0" xfId="0" applyNumberFormat="1" applyFont="1" applyFill="1" applyBorder="1" applyAlignment="1">
      <alignment horizontal="center"/>
    </xf>
    <xf numFmtId="9" fontId="61" fillId="0" borderId="0" xfId="0" applyNumberFormat="1" applyFont="1" applyAlignment="1">
      <alignment horizontal="center"/>
    </xf>
    <xf numFmtId="0" fontId="70" fillId="12" borderId="0" xfId="0" applyFont="1" applyFill="1" applyBorder="1" applyAlignment="1">
      <alignment horizontal="left" indent="1"/>
    </xf>
    <xf numFmtId="0" fontId="60" fillId="12" borderId="0" xfId="0" applyFont="1" applyFill="1" applyBorder="1" applyAlignment="1">
      <alignment horizontal="left" indent="2"/>
    </xf>
    <xf numFmtId="9" fontId="21" fillId="0" borderId="0" xfId="6" applyFont="1" applyFill="1"/>
    <xf numFmtId="0" fontId="21" fillId="6" borderId="0" xfId="0" applyFont="1" applyFill="1"/>
    <xf numFmtId="0" fontId="15" fillId="2" borderId="0" xfId="0" applyFont="1" applyFill="1"/>
    <xf numFmtId="3" fontId="71" fillId="0" borderId="0" xfId="0" applyNumberFormat="1" applyFont="1" applyFill="1" applyBorder="1"/>
    <xf numFmtId="168" fontId="71" fillId="0" borderId="0" xfId="0" applyNumberFormat="1" applyFont="1" applyFill="1" applyBorder="1" applyAlignment="1">
      <alignment horizontal="center"/>
    </xf>
    <xf numFmtId="3" fontId="66" fillId="0" borderId="0" xfId="7" applyNumberFormat="1" applyFont="1" applyFill="1" applyBorder="1" applyAlignment="1" applyProtection="1">
      <alignment horizontal="right"/>
    </xf>
    <xf numFmtId="0" fontId="66" fillId="0" borderId="0" xfId="0" applyFont="1" applyFill="1" applyBorder="1" applyAlignment="1">
      <alignment horizontal="left"/>
    </xf>
    <xf numFmtId="3" fontId="66" fillId="0" borderId="0" xfId="0" applyNumberFormat="1" applyFont="1" applyFill="1" applyBorder="1" applyAlignment="1">
      <alignment horizontal="right"/>
    </xf>
    <xf numFmtId="0" fontId="71" fillId="0" borderId="0" xfId="0" applyFont="1" applyFill="1" applyBorder="1"/>
    <xf numFmtId="0" fontId="72" fillId="0" borderId="0" xfId="0" applyFont="1" applyFill="1" applyBorder="1"/>
    <xf numFmtId="0" fontId="71" fillId="2" borderId="0" xfId="0" applyFont="1" applyFill="1" applyBorder="1"/>
    <xf numFmtId="0" fontId="71" fillId="19" borderId="0" xfId="0" applyFont="1" applyFill="1" applyBorder="1"/>
    <xf numFmtId="0" fontId="72" fillId="19" borderId="0" xfId="0" applyFont="1" applyFill="1" applyBorder="1"/>
    <xf numFmtId="0" fontId="15" fillId="2" borderId="0" xfId="0" applyFont="1" applyFill="1" applyAlignment="1">
      <alignment horizontal="center"/>
    </xf>
    <xf numFmtId="10" fontId="13" fillId="0" borderId="0" xfId="0" applyNumberFormat="1" applyFont="1"/>
    <xf numFmtId="10" fontId="21" fillId="0" borderId="0" xfId="0" applyNumberFormat="1" applyFont="1"/>
    <xf numFmtId="0" fontId="5" fillId="0" borderId="0" xfId="0" applyFont="1"/>
    <xf numFmtId="0" fontId="9" fillId="2" borderId="0" xfId="0" applyFont="1" applyFill="1" applyAlignment="1"/>
    <xf numFmtId="170" fontId="75" fillId="0" borderId="0" xfId="3" applyNumberFormat="1" applyFont="1"/>
    <xf numFmtId="0" fontId="73" fillId="0" borderId="0" xfId="0" applyFont="1" applyBorder="1" applyAlignment="1">
      <alignment horizontal="justify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indent="1"/>
    </xf>
    <xf numFmtId="0" fontId="74" fillId="15" borderId="0" xfId="0" applyFont="1" applyFill="1" applyBorder="1" applyAlignment="1">
      <alignment horizontal="justify" vertical="center" wrapText="1"/>
    </xf>
    <xf numFmtId="0" fontId="74" fillId="15" borderId="0" xfId="0" applyFont="1" applyFill="1" applyBorder="1" applyAlignment="1">
      <alignment horizontal="left" vertical="center" wrapText="1"/>
    </xf>
    <xf numFmtId="9" fontId="18" fillId="0" borderId="0" xfId="0" applyNumberFormat="1" applyFont="1" applyBorder="1" applyAlignment="1">
      <alignment horizontal="right" vertical="center" wrapText="1"/>
    </xf>
    <xf numFmtId="9" fontId="73" fillId="0" borderId="0" xfId="6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3" fontId="74" fillId="15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center" wrapText="1"/>
    </xf>
    <xf numFmtId="0" fontId="5" fillId="0" borderId="0" xfId="4" applyFont="1" applyBorder="1"/>
    <xf numFmtId="4" fontId="76" fillId="0" borderId="0" xfId="4" applyNumberFormat="1" applyFont="1" applyFill="1" applyBorder="1"/>
    <xf numFmtId="0" fontId="5" fillId="12" borderId="0" xfId="0" applyFont="1" applyFill="1" applyBorder="1" applyAlignment="1">
      <alignment horizontal="left" vertical="center" wrapText="1"/>
    </xf>
    <xf numFmtId="0" fontId="1" fillId="12" borderId="0" xfId="0" applyFont="1" applyFill="1" applyBorder="1" applyAlignment="1">
      <alignment horizontal="left" vertical="center"/>
    </xf>
    <xf numFmtId="0" fontId="1" fillId="12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9" fillId="11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12" borderId="0" xfId="0" applyFont="1" applyFill="1" applyBorder="1" applyAlignment="1">
      <alignment horizontal="justify" vertical="center" wrapText="1"/>
    </xf>
    <xf numFmtId="0" fontId="3" fillId="7" borderId="0" xfId="0" applyFont="1" applyFill="1" applyBorder="1"/>
    <xf numFmtId="164" fontId="3" fillId="11" borderId="0" xfId="0" applyNumberFormat="1" applyFont="1" applyFill="1" applyBorder="1" applyAlignment="1">
      <alignment horizontal="right" vertical="center"/>
    </xf>
    <xf numFmtId="164" fontId="1" fillId="12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3" fillId="7" borderId="0" xfId="0" applyNumberFormat="1" applyFont="1" applyFill="1" applyBorder="1" applyAlignment="1">
      <alignment horizontal="right" vertical="center"/>
    </xf>
    <xf numFmtId="172" fontId="18" fillId="0" borderId="0" xfId="0" applyNumberFormat="1" applyFont="1" applyBorder="1" applyAlignment="1">
      <alignment horizontal="right" vertical="center" wrapText="1"/>
    </xf>
    <xf numFmtId="172" fontId="73" fillId="0" borderId="0" xfId="0" applyNumberFormat="1" applyFont="1" applyBorder="1" applyAlignment="1">
      <alignment horizontal="right" vertical="center" wrapText="1"/>
    </xf>
    <xf numFmtId="172" fontId="74" fillId="15" borderId="0" xfId="0" applyNumberFormat="1" applyFont="1" applyFill="1" applyBorder="1" applyAlignment="1">
      <alignment horizontal="right" vertical="center" wrapText="1"/>
    </xf>
    <xf numFmtId="164" fontId="18" fillId="12" borderId="0" xfId="0" applyNumberFormat="1" applyFont="1" applyFill="1" applyBorder="1" applyAlignment="1">
      <alignment horizontal="right" vertical="center"/>
    </xf>
    <xf numFmtId="164" fontId="77" fillId="12" borderId="0" xfId="0" applyNumberFormat="1" applyFont="1" applyFill="1" applyBorder="1" applyAlignment="1">
      <alignment horizontal="right" vertical="center"/>
    </xf>
    <xf numFmtId="164" fontId="18" fillId="12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/>
    </xf>
    <xf numFmtId="0" fontId="1" fillId="0" borderId="0" xfId="0" applyFont="1"/>
    <xf numFmtId="165" fontId="1" fillId="0" borderId="0" xfId="0" applyNumberFormat="1" applyFont="1"/>
    <xf numFmtId="0" fontId="15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justify" vertical="center"/>
    </xf>
    <xf numFmtId="170" fontId="9" fillId="1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170" fontId="5" fillId="0" borderId="0" xfId="8" applyNumberFormat="1" applyFont="1" applyFill="1" applyBorder="1" applyAlignment="1">
      <alignment horizontal="center" vertical="center"/>
    </xf>
    <xf numFmtId="170" fontId="77" fillId="0" borderId="0" xfId="0" applyNumberFormat="1" applyFont="1" applyFill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170" fontId="5" fillId="0" borderId="0" xfId="8" applyNumberFormat="1" applyFont="1" applyFill="1" applyBorder="1" applyAlignment="1">
      <alignment horizontal="center" vertical="center" wrapText="1"/>
    </xf>
    <xf numFmtId="170" fontId="1" fillId="0" borderId="0" xfId="0" applyNumberFormat="1" applyFont="1" applyBorder="1"/>
    <xf numFmtId="170" fontId="18" fillId="0" borderId="0" xfId="0" applyNumberFormat="1" applyFont="1" applyBorder="1"/>
    <xf numFmtId="170" fontId="5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Fill="1" applyBorder="1" applyAlignment="1">
      <alignment vertical="center" wrapText="1"/>
    </xf>
    <xf numFmtId="170" fontId="9" fillId="7" borderId="0" xfId="0" applyNumberFormat="1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65" fontId="9" fillId="21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72" fontId="9" fillId="13" borderId="0" xfId="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172" fontId="9" fillId="0" borderId="0" xfId="8" applyNumberFormat="1" applyFont="1" applyFill="1" applyBorder="1" applyAlignment="1">
      <alignment horizontal="center" vertical="center"/>
    </xf>
    <xf numFmtId="0" fontId="4" fillId="0" borderId="0" xfId="0" applyFont="1"/>
    <xf numFmtId="0" fontId="3" fillId="15" borderId="0" xfId="0" applyFont="1" applyFill="1" applyBorder="1" applyAlignment="1">
      <alignment horizontal="justify" vertical="center"/>
    </xf>
    <xf numFmtId="0" fontId="3" fillId="15" borderId="0" xfId="0" applyFont="1" applyFill="1"/>
    <xf numFmtId="0" fontId="3" fillId="15" borderId="0" xfId="0" applyFont="1" applyFill="1" applyAlignment="1">
      <alignment horizontal="center"/>
    </xf>
    <xf numFmtId="0" fontId="1" fillId="0" borderId="0" xfId="0" applyFont="1" applyFill="1"/>
    <xf numFmtId="183" fontId="6" fillId="0" borderId="0" xfId="14" applyNumberFormat="1" applyFont="1" applyFill="1" applyBorder="1" applyAlignment="1">
      <alignment vertical="center"/>
    </xf>
    <xf numFmtId="165" fontId="1" fillId="0" borderId="0" xfId="0" applyNumberFormat="1" applyFont="1" applyFill="1"/>
    <xf numFmtId="0" fontId="44" fillId="0" borderId="0" xfId="0" applyFont="1" applyFill="1" applyBorder="1" applyAlignment="1">
      <alignment horizontal="center" vertical="center"/>
    </xf>
    <xf numFmtId="182" fontId="6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15" fillId="2" borderId="0" xfId="0" applyFont="1" applyFill="1" applyBorder="1" applyAlignment="1">
      <alignment horizontal="left" indent="1"/>
    </xf>
    <xf numFmtId="4" fontId="5" fillId="0" borderId="0" xfId="0" applyNumberFormat="1" applyFont="1"/>
    <xf numFmtId="0" fontId="5" fillId="0" borderId="0" xfId="0" applyFont="1" applyFill="1"/>
    <xf numFmtId="0" fontId="4" fillId="0" borderId="0" xfId="0" applyFont="1" applyFill="1"/>
    <xf numFmtId="0" fontId="15" fillId="0" borderId="0" xfId="0" applyFont="1" applyFill="1"/>
    <xf numFmtId="0" fontId="5" fillId="0" borderId="0" xfId="13" applyFont="1"/>
    <xf numFmtId="184" fontId="18" fillId="20" borderId="0" xfId="13" applyNumberFormat="1" applyFont="1" applyFill="1" applyBorder="1" applyAlignment="1">
      <alignment horizontal="right" vertical="top" wrapText="1"/>
    </xf>
    <xf numFmtId="184" fontId="80" fillId="15" borderId="0" xfId="13" applyNumberFormat="1" applyFont="1" applyFill="1" applyBorder="1" applyAlignment="1">
      <alignment horizontal="right" vertical="top" wrapText="1"/>
    </xf>
    <xf numFmtId="0" fontId="81" fillId="0" borderId="0" xfId="13" applyFont="1"/>
    <xf numFmtId="0" fontId="15" fillId="2" borderId="0" xfId="13" applyFont="1" applyFill="1" applyBorder="1" applyAlignment="1">
      <alignment horizontal="left" vertical="top" wrapText="1"/>
    </xf>
    <xf numFmtId="0" fontId="15" fillId="2" borderId="0" xfId="13" applyFont="1" applyFill="1" applyBorder="1" applyAlignment="1">
      <alignment horizontal="center" vertical="top" wrapText="1"/>
    </xf>
    <xf numFmtId="0" fontId="5" fillId="0" borderId="0" xfId="13" applyFont="1" applyBorder="1"/>
    <xf numFmtId="3" fontId="5" fillId="0" borderId="0" xfId="13" applyNumberFormat="1" applyFont="1" applyBorder="1"/>
    <xf numFmtId="0" fontId="15" fillId="2" borderId="0" xfId="13" applyFont="1" applyFill="1" applyBorder="1"/>
    <xf numFmtId="0" fontId="15" fillId="2" borderId="0" xfId="13" applyFont="1" applyFill="1" applyBorder="1" applyAlignment="1">
      <alignment horizontal="centerContinuous"/>
    </xf>
    <xf numFmtId="0" fontId="4" fillId="0" borderId="0" xfId="0" applyFont="1" applyFill="1" applyBorder="1"/>
    <xf numFmtId="0" fontId="15" fillId="15" borderId="0" xfId="0" applyFont="1" applyFill="1" applyBorder="1"/>
    <xf numFmtId="0" fontId="9" fillId="15" borderId="0" xfId="13" applyFont="1" applyFill="1" applyBorder="1" applyAlignment="1">
      <alignment horizontal="left" indent="1"/>
    </xf>
    <xf numFmtId="0" fontId="78" fillId="20" borderId="0" xfId="13" applyFont="1" applyFill="1" applyBorder="1" applyAlignment="1">
      <alignment horizontal="left" vertical="top" wrapText="1"/>
    </xf>
    <xf numFmtId="0" fontId="79" fillId="15" borderId="0" xfId="13" applyFont="1" applyFill="1" applyBorder="1" applyAlignment="1">
      <alignment horizontal="left" vertical="top" wrapText="1" indent="1"/>
    </xf>
    <xf numFmtId="164" fontId="5" fillId="0" borderId="0" xfId="13" applyNumberFormat="1" applyFont="1" applyBorder="1"/>
    <xf numFmtId="164" fontId="9" fillId="15" borderId="0" xfId="13" applyNumberFormat="1" applyFont="1" applyFill="1" applyBorder="1"/>
    <xf numFmtId="0" fontId="5" fillId="0" borderId="0" xfId="13" applyFont="1" applyBorder="1" applyAlignment="1">
      <alignment horizontal="left"/>
    </xf>
    <xf numFmtId="0" fontId="0" fillId="0" borderId="0" xfId="0" applyFont="1" applyAlignment="1">
      <alignment horizontal="center"/>
    </xf>
    <xf numFmtId="183" fontId="0" fillId="0" borderId="0" xfId="0" applyNumberFormat="1" applyFont="1"/>
    <xf numFmtId="182" fontId="5" fillId="0" borderId="0" xfId="0" quotePrefix="1" applyNumberFormat="1" applyFont="1" applyBorder="1" applyAlignment="1">
      <alignment horizontal="center" vertical="center"/>
    </xf>
    <xf numFmtId="182" fontId="18" fillId="0" borderId="0" xfId="14" applyNumberFormat="1" applyFont="1" applyBorder="1" applyAlignment="1">
      <alignment vertical="center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center" vertical="center"/>
    </xf>
    <xf numFmtId="181" fontId="18" fillId="0" borderId="0" xfId="14" applyNumberFormat="1" applyFont="1" applyBorder="1" applyAlignment="1">
      <alignment vertical="center"/>
    </xf>
    <xf numFmtId="183" fontId="5" fillId="0" borderId="0" xfId="14" applyNumberFormat="1" applyFont="1" applyFill="1" applyBorder="1" applyAlignment="1">
      <alignment vertical="center"/>
    </xf>
    <xf numFmtId="183" fontId="9" fillId="15" borderId="0" xfId="14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182" fontId="9" fillId="0" borderId="0" xfId="0" quotePrefix="1" applyNumberFormat="1" applyFont="1" applyBorder="1" applyAlignment="1">
      <alignment horizontal="center" vertical="center"/>
    </xf>
    <xf numFmtId="182" fontId="9" fillId="15" borderId="0" xfId="14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9" fontId="13" fillId="0" borderId="0" xfId="6" applyFont="1"/>
    <xf numFmtId="164" fontId="18" fillId="0" borderId="0" xfId="13" applyNumberFormat="1" applyFont="1" applyBorder="1"/>
    <xf numFmtId="164" fontId="5" fillId="10" borderId="0" xfId="13" applyNumberFormat="1" applyFont="1" applyFill="1" applyBorder="1"/>
    <xf numFmtId="9" fontId="60" fillId="0" borderId="0" xfId="0" applyNumberFormat="1" applyFont="1" applyFill="1"/>
    <xf numFmtId="9" fontId="61" fillId="0" borderId="0" xfId="0" applyNumberFormat="1" applyFont="1" applyFill="1"/>
    <xf numFmtId="0" fontId="13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165" fontId="14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9" fontId="18" fillId="0" borderId="0" xfId="6" applyNumberFormat="1" applyFont="1" applyAlignment="1">
      <alignment horizontal="center"/>
    </xf>
    <xf numFmtId="3" fontId="18" fillId="1" borderId="0" xfId="0" applyNumberFormat="1" applyFont="1" applyFill="1" applyAlignment="1">
      <alignment horizontal="center"/>
    </xf>
    <xf numFmtId="0" fontId="18" fillId="1" borderId="0" xfId="0" applyFont="1" applyFill="1" applyAlignment="1">
      <alignment horizontal="center"/>
    </xf>
    <xf numFmtId="3" fontId="77" fillId="15" borderId="0" xfId="0" applyNumberFormat="1" applyFont="1" applyFill="1" applyAlignment="1">
      <alignment horizontal="center"/>
    </xf>
    <xf numFmtId="9" fontId="77" fillId="15" borderId="0" xfId="6" applyNumberFormat="1" applyFont="1" applyFill="1" applyAlignment="1">
      <alignment horizontal="center"/>
    </xf>
    <xf numFmtId="3" fontId="18" fillId="0" borderId="0" xfId="0" applyNumberFormat="1" applyFont="1" applyBorder="1"/>
    <xf numFmtId="167" fontId="18" fillId="0" borderId="0" xfId="6" applyNumberFormat="1" applyFont="1" applyBorder="1"/>
    <xf numFmtId="0" fontId="18" fillId="0" borderId="0" xfId="0" applyFont="1" applyBorder="1"/>
    <xf numFmtId="0" fontId="83" fillId="0" borderId="0" xfId="0" applyFont="1"/>
    <xf numFmtId="0" fontId="10" fillId="0" borderId="0" xfId="10" applyFont="1" applyFill="1"/>
    <xf numFmtId="0" fontId="10" fillId="0" borderId="0" xfId="10" applyFont="1"/>
    <xf numFmtId="0" fontId="23" fillId="0" borderId="0" xfId="10" applyFont="1" applyFill="1" applyAlignment="1"/>
    <xf numFmtId="0" fontId="10" fillId="0" borderId="0" xfId="10" applyFont="1" applyBorder="1"/>
    <xf numFmtId="0" fontId="24" fillId="14" borderId="18" xfId="10" applyFont="1" applyFill="1" applyBorder="1"/>
    <xf numFmtId="0" fontId="24" fillId="14" borderId="19" xfId="10" applyFont="1" applyFill="1" applyBorder="1" applyAlignment="1">
      <alignment horizontal="center"/>
    </xf>
    <xf numFmtId="0" fontId="24" fillId="14" borderId="20" xfId="10" applyFont="1" applyFill="1" applyBorder="1" applyAlignment="1">
      <alignment horizontal="center"/>
    </xf>
    <xf numFmtId="0" fontId="10" fillId="4" borderId="41" xfId="10" applyFont="1" applyFill="1" applyBorder="1" applyAlignment="1">
      <alignment horizontal="left" indent="1"/>
    </xf>
    <xf numFmtId="0" fontId="10" fillId="4" borderId="5" xfId="10" applyFont="1" applyFill="1" applyBorder="1" applyAlignment="1">
      <alignment horizontal="center"/>
    </xf>
    <xf numFmtId="10" fontId="10" fillId="12" borderId="5" xfId="11" applyNumberFormat="1" applyFont="1" applyFill="1" applyBorder="1" applyAlignment="1">
      <alignment horizontal="center"/>
    </xf>
    <xf numFmtId="10" fontId="10" fillId="12" borderId="34" xfId="11" applyNumberFormat="1" applyFont="1" applyFill="1" applyBorder="1" applyAlignment="1">
      <alignment horizontal="center"/>
    </xf>
    <xf numFmtId="167" fontId="10" fillId="0" borderId="0" xfId="11" applyNumberFormat="1" applyFont="1" applyBorder="1"/>
    <xf numFmtId="0" fontId="84" fillId="0" borderId="0" xfId="10" applyFont="1" applyBorder="1"/>
    <xf numFmtId="0" fontId="10" fillId="4" borderId="45" xfId="10" applyFont="1" applyFill="1" applyBorder="1" applyAlignment="1">
      <alignment horizontal="left" indent="1"/>
    </xf>
    <xf numFmtId="0" fontId="10" fillId="4" borderId="37" xfId="10" applyFont="1" applyFill="1" applyBorder="1" applyAlignment="1">
      <alignment horizontal="center"/>
    </xf>
    <xf numFmtId="10" fontId="10" fillId="12" borderId="37" xfId="11" applyNumberFormat="1" applyFont="1" applyFill="1" applyBorder="1" applyAlignment="1">
      <alignment horizontal="center"/>
    </xf>
    <xf numFmtId="10" fontId="21" fillId="12" borderId="37" xfId="11" applyNumberFormat="1" applyFont="1" applyFill="1" applyBorder="1" applyAlignment="1">
      <alignment horizontal="center"/>
    </xf>
    <xf numFmtId="10" fontId="10" fillId="12" borderId="38" xfId="11" applyNumberFormat="1" applyFont="1" applyFill="1" applyBorder="1" applyAlignment="1">
      <alignment horizontal="center"/>
    </xf>
    <xf numFmtId="10" fontId="10" fillId="12" borderId="0" xfId="11" applyNumberFormat="1" applyFont="1" applyFill="1" applyBorder="1" applyAlignment="1">
      <alignment horizontal="center"/>
    </xf>
    <xf numFmtId="0" fontId="24" fillId="14" borderId="18" xfId="10" applyFont="1" applyFill="1" applyBorder="1" applyAlignment="1">
      <alignment horizontal="left" indent="1"/>
    </xf>
    <xf numFmtId="0" fontId="10" fillId="4" borderId="19" xfId="10" applyFont="1" applyFill="1" applyBorder="1" applyAlignment="1">
      <alignment horizontal="center"/>
    </xf>
    <xf numFmtId="10" fontId="21" fillId="12" borderId="20" xfId="11" applyNumberFormat="1" applyFont="1" applyFill="1" applyBorder="1" applyAlignment="1">
      <alignment horizontal="center"/>
    </xf>
    <xf numFmtId="43" fontId="10" fillId="0" borderId="0" xfId="12" applyFont="1" applyBorder="1"/>
    <xf numFmtId="0" fontId="24" fillId="14" borderId="42" xfId="10" applyFont="1" applyFill="1" applyBorder="1" applyAlignment="1">
      <alignment horizontal="left" indent="1"/>
    </xf>
    <xf numFmtId="0" fontId="10" fillId="4" borderId="43" xfId="10" applyFont="1" applyFill="1" applyBorder="1" applyAlignment="1">
      <alignment horizontal="center"/>
    </xf>
    <xf numFmtId="10" fontId="21" fillId="12" borderId="44" xfId="10" applyNumberFormat="1" applyFont="1" applyFill="1" applyBorder="1" applyAlignment="1">
      <alignment horizontal="center"/>
    </xf>
    <xf numFmtId="0" fontId="10" fillId="4" borderId="0" xfId="10" applyFont="1" applyFill="1" applyBorder="1"/>
    <xf numFmtId="43" fontId="10" fillId="0" borderId="0" xfId="12" applyFont="1"/>
    <xf numFmtId="0" fontId="23" fillId="0" borderId="0" xfId="10" applyFont="1" applyFill="1" applyBorder="1"/>
    <xf numFmtId="0" fontId="10" fillId="4" borderId="33" xfId="10" applyFont="1" applyFill="1" applyBorder="1"/>
    <xf numFmtId="170" fontId="10" fillId="4" borderId="5" xfId="12" applyNumberFormat="1" applyFont="1" applyFill="1" applyBorder="1"/>
    <xf numFmtId="170" fontId="10" fillId="4" borderId="34" xfId="12" applyNumberFormat="1" applyFont="1" applyFill="1" applyBorder="1"/>
    <xf numFmtId="0" fontId="10" fillId="0" borderId="33" xfId="10" applyFont="1" applyFill="1" applyBorder="1"/>
    <xf numFmtId="0" fontId="10" fillId="0" borderId="5" xfId="10" applyFont="1" applyFill="1" applyBorder="1" applyAlignment="1">
      <alignment horizontal="center"/>
    </xf>
    <xf numFmtId="170" fontId="10" fillId="0" borderId="5" xfId="12" applyNumberFormat="1" applyFont="1" applyFill="1" applyBorder="1"/>
    <xf numFmtId="170" fontId="10" fillId="0" borderId="34" xfId="12" applyNumberFormat="1" applyFont="1" applyFill="1" applyBorder="1"/>
    <xf numFmtId="0" fontId="10" fillId="0" borderId="36" xfId="10" applyFont="1" applyFill="1" applyBorder="1"/>
    <xf numFmtId="0" fontId="10" fillId="0" borderId="37" xfId="10" applyFont="1" applyFill="1" applyBorder="1" applyAlignment="1">
      <alignment horizontal="center"/>
    </xf>
    <xf numFmtId="170" fontId="10" fillId="0" borderId="37" xfId="12" applyNumberFormat="1" applyFont="1" applyFill="1" applyBorder="1"/>
    <xf numFmtId="0" fontId="10" fillId="0" borderId="0" xfId="10" applyFont="1" applyFill="1" applyBorder="1"/>
    <xf numFmtId="0" fontId="10" fillId="0" borderId="0" xfId="10" applyFont="1" applyFill="1" applyBorder="1" applyAlignment="1">
      <alignment horizontal="center"/>
    </xf>
    <xf numFmtId="170" fontId="10" fillId="0" borderId="0" xfId="12" applyNumberFormat="1" applyFont="1" applyFill="1" applyBorder="1"/>
    <xf numFmtId="0" fontId="24" fillId="14" borderId="17" xfId="10" applyFont="1" applyFill="1" applyBorder="1"/>
    <xf numFmtId="170" fontId="10" fillId="0" borderId="39" xfId="12" applyNumberFormat="1" applyFont="1" applyFill="1" applyBorder="1"/>
    <xf numFmtId="0" fontId="10" fillId="4" borderId="36" xfId="10" applyFont="1" applyFill="1" applyBorder="1"/>
    <xf numFmtId="170" fontId="10" fillId="0" borderId="1" xfId="12" applyNumberFormat="1" applyFont="1" applyFill="1" applyBorder="1"/>
    <xf numFmtId="170" fontId="10" fillId="0" borderId="40" xfId="12" applyNumberFormat="1" applyFont="1" applyFill="1" applyBorder="1"/>
    <xf numFmtId="0" fontId="10" fillId="4" borderId="0" xfId="10" applyFont="1" applyFill="1" applyBorder="1" applyAlignment="1">
      <alignment horizontal="center"/>
    </xf>
    <xf numFmtId="0" fontId="62" fillId="0" borderId="0" xfId="10" applyFont="1"/>
    <xf numFmtId="0" fontId="10" fillId="4" borderId="35" xfId="10" applyFont="1" applyFill="1" applyBorder="1" applyAlignment="1">
      <alignment horizontal="center"/>
    </xf>
    <xf numFmtId="170" fontId="10" fillId="0" borderId="35" xfId="12" applyNumberFormat="1" applyFont="1" applyFill="1" applyBorder="1"/>
    <xf numFmtId="0" fontId="23" fillId="0" borderId="0" xfId="10" applyFont="1" applyAlignment="1">
      <alignment horizontal="center"/>
    </xf>
    <xf numFmtId="170" fontId="10" fillId="4" borderId="0" xfId="12" applyNumberFormat="1" applyFont="1" applyFill="1" applyBorder="1"/>
    <xf numFmtId="170" fontId="10" fillId="4" borderId="39" xfId="12" applyNumberFormat="1" applyFont="1" applyFill="1" applyBorder="1"/>
    <xf numFmtId="170" fontId="10" fillId="0" borderId="0" xfId="10" applyNumberFormat="1" applyFont="1"/>
    <xf numFmtId="170" fontId="10" fillId="0" borderId="0" xfId="10" applyNumberFormat="1" applyFont="1" applyFill="1"/>
    <xf numFmtId="170" fontId="10" fillId="4" borderId="1" xfId="12" applyNumberFormat="1" applyFont="1" applyFill="1" applyBorder="1"/>
    <xf numFmtId="170" fontId="10" fillId="4" borderId="37" xfId="12" applyNumberFormat="1" applyFont="1" applyFill="1" applyBorder="1"/>
    <xf numFmtId="170" fontId="10" fillId="4" borderId="40" xfId="12" applyNumberFormat="1" applyFont="1" applyFill="1" applyBorder="1"/>
    <xf numFmtId="0" fontId="62" fillId="0" borderId="0" xfId="10" applyFont="1" applyFill="1"/>
    <xf numFmtId="0" fontId="10" fillId="4" borderId="0" xfId="10" applyFont="1" applyFill="1"/>
    <xf numFmtId="0" fontId="23" fillId="0" borderId="0" xfId="10" applyFont="1" applyFill="1"/>
    <xf numFmtId="0" fontId="10" fillId="4" borderId="41" xfId="10" applyFont="1" applyFill="1" applyBorder="1"/>
    <xf numFmtId="0" fontId="10" fillId="4" borderId="5" xfId="10" applyFont="1" applyFill="1" applyBorder="1"/>
    <xf numFmtId="3" fontId="10" fillId="4" borderId="5" xfId="10" applyNumberFormat="1" applyFont="1" applyFill="1" applyBorder="1"/>
    <xf numFmtId="0" fontId="10" fillId="4" borderId="34" xfId="10" applyFont="1" applyFill="1" applyBorder="1"/>
    <xf numFmtId="0" fontId="10" fillId="0" borderId="41" xfId="10" applyFont="1" applyFill="1" applyBorder="1"/>
    <xf numFmtId="0" fontId="10" fillId="0" borderId="5" xfId="10" applyFont="1" applyFill="1" applyBorder="1"/>
    <xf numFmtId="0" fontId="23" fillId="15" borderId="42" xfId="10" applyFont="1" applyFill="1" applyBorder="1"/>
    <xf numFmtId="0" fontId="10" fillId="15" borderId="43" xfId="10" applyFont="1" applyFill="1" applyBorder="1"/>
    <xf numFmtId="170" fontId="10" fillId="15" borderId="43" xfId="10" applyNumberFormat="1" applyFont="1" applyFill="1" applyBorder="1"/>
    <xf numFmtId="170" fontId="10" fillId="15" borderId="44" xfId="10" applyNumberFormat="1" applyFont="1" applyFill="1" applyBorder="1"/>
    <xf numFmtId="0" fontId="10" fillId="12" borderId="0" xfId="10" applyFont="1" applyFill="1" applyBorder="1"/>
    <xf numFmtId="0" fontId="23" fillId="12" borderId="0" xfId="10" applyFont="1" applyFill="1" applyBorder="1"/>
    <xf numFmtId="170" fontId="10" fillId="12" borderId="0" xfId="10" applyNumberFormat="1" applyFont="1" applyFill="1" applyBorder="1"/>
    <xf numFmtId="0" fontId="10" fillId="4" borderId="45" xfId="10" applyFont="1" applyFill="1" applyBorder="1"/>
    <xf numFmtId="0" fontId="10" fillId="4" borderId="37" xfId="10" applyFont="1" applyFill="1" applyBorder="1"/>
    <xf numFmtId="0" fontId="10" fillId="4" borderId="38" xfId="10" applyFont="1" applyFill="1" applyBorder="1"/>
    <xf numFmtId="0" fontId="24" fillId="14" borderId="20" xfId="10" applyFont="1" applyFill="1" applyBorder="1" applyAlignment="1">
      <alignment horizontal="left"/>
    </xf>
    <xf numFmtId="170" fontId="10" fillId="4" borderId="38" xfId="12" applyNumberFormat="1" applyFont="1" applyFill="1" applyBorder="1"/>
    <xf numFmtId="0" fontId="23" fillId="4" borderId="25" xfId="10" applyFont="1" applyFill="1" applyBorder="1" applyAlignment="1">
      <alignment vertical="center"/>
    </xf>
    <xf numFmtId="0" fontId="10" fillId="12" borderId="26" xfId="10" applyFont="1" applyFill="1" applyBorder="1" applyAlignment="1">
      <alignment horizontal="center" vertical="center"/>
    </xf>
    <xf numFmtId="0" fontId="10" fillId="12" borderId="26" xfId="10" applyFont="1" applyFill="1" applyBorder="1"/>
    <xf numFmtId="170" fontId="10" fillId="12" borderId="26" xfId="10" applyNumberFormat="1" applyFont="1" applyFill="1" applyBorder="1"/>
    <xf numFmtId="170" fontId="10" fillId="12" borderId="27" xfId="10" applyNumberFormat="1" applyFont="1" applyFill="1" applyBorder="1"/>
    <xf numFmtId="0" fontId="10" fillId="4" borderId="41" xfId="10" applyFont="1" applyFill="1" applyBorder="1" applyAlignment="1">
      <alignment horizontal="left" vertical="center" indent="1"/>
    </xf>
    <xf numFmtId="0" fontId="10" fillId="12" borderId="5" xfId="10" applyFont="1" applyFill="1" applyBorder="1" applyAlignment="1">
      <alignment horizontal="center" vertical="center"/>
    </xf>
    <xf numFmtId="0" fontId="10" fillId="12" borderId="5" xfId="10" applyFont="1" applyFill="1" applyBorder="1"/>
    <xf numFmtId="170" fontId="10" fillId="12" borderId="5" xfId="10" applyNumberFormat="1" applyFont="1" applyFill="1" applyBorder="1"/>
    <xf numFmtId="170" fontId="10" fillId="12" borderId="34" xfId="10" applyNumberFormat="1" applyFont="1" applyFill="1" applyBorder="1"/>
    <xf numFmtId="0" fontId="23" fillId="4" borderId="46" xfId="10" applyFont="1" applyFill="1" applyBorder="1" applyAlignment="1">
      <alignment horizontal="left" vertical="center" indent="1"/>
    </xf>
    <xf numFmtId="0" fontId="10" fillId="12" borderId="7" xfId="10" applyFont="1" applyFill="1" applyBorder="1" applyAlignment="1">
      <alignment horizontal="center" vertical="center"/>
    </xf>
    <xf numFmtId="0" fontId="23" fillId="12" borderId="7" xfId="10" applyFont="1" applyFill="1" applyBorder="1"/>
    <xf numFmtId="170" fontId="23" fillId="12" borderId="7" xfId="10" applyNumberFormat="1" applyFont="1" applyFill="1" applyBorder="1"/>
    <xf numFmtId="170" fontId="23" fillId="12" borderId="47" xfId="10" applyNumberFormat="1" applyFont="1" applyFill="1" applyBorder="1"/>
    <xf numFmtId="0" fontId="23" fillId="4" borderId="41" xfId="10" applyFont="1" applyFill="1" applyBorder="1" applyAlignment="1">
      <alignment horizontal="left" vertical="center"/>
    </xf>
    <xf numFmtId="0" fontId="10" fillId="12" borderId="7" xfId="10" applyFont="1" applyFill="1" applyBorder="1"/>
    <xf numFmtId="170" fontId="10" fillId="12" borderId="47" xfId="10" applyNumberFormat="1" applyFont="1" applyFill="1" applyBorder="1"/>
    <xf numFmtId="0" fontId="23" fillId="4" borderId="22" xfId="10" applyFont="1" applyFill="1" applyBorder="1" applyAlignment="1">
      <alignment vertical="center"/>
    </xf>
    <xf numFmtId="0" fontId="10" fillId="12" borderId="8" xfId="10" applyFont="1" applyFill="1" applyBorder="1" applyAlignment="1">
      <alignment horizontal="center" vertical="center"/>
    </xf>
    <xf numFmtId="0" fontId="10" fillId="12" borderId="8" xfId="10" applyFont="1" applyFill="1" applyBorder="1"/>
    <xf numFmtId="170" fontId="23" fillId="12" borderId="8" xfId="10" applyNumberFormat="1" applyFont="1" applyFill="1" applyBorder="1"/>
    <xf numFmtId="170" fontId="23" fillId="12" borderId="23" xfId="10" applyNumberFormat="1" applyFont="1" applyFill="1" applyBorder="1"/>
    <xf numFmtId="0" fontId="23" fillId="4" borderId="41" xfId="10" applyFont="1" applyFill="1" applyBorder="1" applyAlignment="1">
      <alignment vertical="center"/>
    </xf>
    <xf numFmtId="0" fontId="23" fillId="12" borderId="45" xfId="10" applyFont="1" applyFill="1" applyBorder="1" applyAlignment="1">
      <alignment horizontal="left" indent="1"/>
    </xf>
    <xf numFmtId="0" fontId="10" fillId="12" borderId="37" xfId="10" applyFont="1" applyFill="1" applyBorder="1" applyAlignment="1">
      <alignment horizontal="center" vertical="center"/>
    </xf>
    <xf numFmtId="0" fontId="10" fillId="12" borderId="37" xfId="10" applyFont="1" applyFill="1" applyBorder="1"/>
    <xf numFmtId="170" fontId="23" fillId="12" borderId="37" xfId="10" applyNumberFormat="1" applyFont="1" applyFill="1" applyBorder="1"/>
    <xf numFmtId="170" fontId="10" fillId="12" borderId="38" xfId="10" applyNumberFormat="1" applyFont="1" applyFill="1" applyBorder="1"/>
    <xf numFmtId="0" fontId="23" fillId="15" borderId="48" xfId="10" applyFont="1" applyFill="1" applyBorder="1"/>
    <xf numFmtId="0" fontId="23" fillId="15" borderId="30" xfId="10" applyFont="1" applyFill="1" applyBorder="1" applyAlignment="1">
      <alignment horizontal="center" vertical="center"/>
    </xf>
    <xf numFmtId="0" fontId="23" fillId="15" borderId="30" xfId="10" applyFont="1" applyFill="1" applyBorder="1"/>
    <xf numFmtId="170" fontId="23" fillId="15" borderId="30" xfId="10" applyNumberFormat="1" applyFont="1" applyFill="1" applyBorder="1"/>
    <xf numFmtId="170" fontId="23" fillId="15" borderId="31" xfId="10" applyNumberFormat="1" applyFont="1" applyFill="1" applyBorder="1"/>
    <xf numFmtId="175" fontId="10" fillId="12" borderId="0" xfId="10" applyNumberFormat="1" applyFont="1" applyFill="1" applyBorder="1"/>
    <xf numFmtId="0" fontId="10" fillId="12" borderId="0" xfId="10" applyFont="1" applyFill="1"/>
    <xf numFmtId="0" fontId="10" fillId="12" borderId="0" xfId="10" applyFont="1" applyFill="1" applyAlignment="1">
      <alignment horizontal="center" vertical="center"/>
    </xf>
    <xf numFmtId="0" fontId="24" fillId="14" borderId="19" xfId="10" applyFont="1" applyFill="1" applyBorder="1" applyAlignment="1">
      <alignment horizontal="center" vertical="center"/>
    </xf>
    <xf numFmtId="172" fontId="10" fillId="0" borderId="0" xfId="12" applyNumberFormat="1" applyFont="1" applyFill="1" applyBorder="1"/>
    <xf numFmtId="0" fontId="10" fillId="4" borderId="50" xfId="10" applyFont="1" applyFill="1" applyBorder="1" applyAlignment="1">
      <alignment horizontal="left" vertical="center" indent="1"/>
    </xf>
    <xf numFmtId="0" fontId="10" fillId="12" borderId="51" xfId="10" applyFont="1" applyFill="1" applyBorder="1" applyAlignment="1">
      <alignment horizontal="center" vertical="center"/>
    </xf>
    <xf numFmtId="170" fontId="10" fillId="12" borderId="51" xfId="10" applyNumberFormat="1" applyFont="1" applyFill="1" applyBorder="1"/>
    <xf numFmtId="170" fontId="10" fillId="12" borderId="52" xfId="10" applyNumberFormat="1" applyFont="1" applyFill="1" applyBorder="1"/>
    <xf numFmtId="0" fontId="10" fillId="4" borderId="45" xfId="10" applyFont="1" applyFill="1" applyBorder="1" applyAlignment="1">
      <alignment horizontal="left" vertical="center" indent="1"/>
    </xf>
    <xf numFmtId="170" fontId="10" fillId="12" borderId="37" xfId="10" applyNumberFormat="1" applyFont="1" applyFill="1" applyBorder="1"/>
    <xf numFmtId="172" fontId="62" fillId="0" borderId="0" xfId="12" applyNumberFormat="1" applyFont="1" applyFill="1" applyBorder="1"/>
    <xf numFmtId="172" fontId="23" fillId="0" borderId="0" xfId="12" applyNumberFormat="1" applyFont="1" applyFill="1" applyBorder="1"/>
    <xf numFmtId="170" fontId="23" fillId="0" borderId="0" xfId="12" applyNumberFormat="1" applyFont="1" applyFill="1" applyBorder="1"/>
    <xf numFmtId="172" fontId="10" fillId="0" borderId="0" xfId="10" applyNumberFormat="1" applyFont="1" applyFill="1" applyBorder="1"/>
    <xf numFmtId="170" fontId="10" fillId="0" borderId="0" xfId="12" applyNumberFormat="1" applyFont="1" applyFill="1" applyBorder="1" applyAlignment="1">
      <alignment horizontal="center"/>
    </xf>
    <xf numFmtId="172" fontId="10" fillId="0" borderId="0" xfId="12" applyNumberFormat="1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vertical="center"/>
    </xf>
    <xf numFmtId="0" fontId="23" fillId="0" borderId="0" xfId="10" applyFont="1" applyFill="1" applyBorder="1" applyAlignment="1">
      <alignment vertical="center"/>
    </xf>
    <xf numFmtId="1" fontId="10" fillId="0" borderId="0" xfId="10" applyNumberFormat="1" applyFont="1" applyFill="1" applyBorder="1" applyAlignment="1">
      <alignment vertical="center"/>
    </xf>
    <xf numFmtId="170" fontId="10" fillId="0" borderId="0" xfId="12" applyNumberFormat="1" applyFont="1" applyFill="1" applyBorder="1" applyAlignment="1">
      <alignment vertical="center"/>
    </xf>
    <xf numFmtId="0" fontId="10" fillId="0" borderId="0" xfId="10" applyFont="1" applyFill="1" applyBorder="1" applyAlignment="1">
      <alignment horizontal="left" vertical="center"/>
    </xf>
    <xf numFmtId="0" fontId="23" fillId="0" borderId="0" xfId="10" applyFont="1" applyFill="1" applyBorder="1" applyAlignment="1">
      <alignment horizontal="left" vertical="center"/>
    </xf>
    <xf numFmtId="0" fontId="62" fillId="0" borderId="0" xfId="10" applyFont="1" applyFill="1" applyBorder="1"/>
    <xf numFmtId="176" fontId="10" fillId="0" borderId="0" xfId="12" applyNumberFormat="1" applyFont="1" applyFill="1" applyBorder="1" applyAlignment="1">
      <alignment vertical="center"/>
    </xf>
    <xf numFmtId="0" fontId="23" fillId="0" borderId="0" xfId="10" applyFont="1" applyFill="1" applyBorder="1" applyAlignment="1"/>
    <xf numFmtId="2" fontId="10" fillId="0" borderId="0" xfId="10" applyNumberFormat="1" applyFont="1" applyFill="1" applyBorder="1" applyAlignment="1">
      <alignment vertical="center"/>
    </xf>
    <xf numFmtId="0" fontId="10" fillId="0" borderId="0" xfId="10" applyFont="1" applyFill="1" applyBorder="1" applyAlignment="1">
      <alignment horizontal="right"/>
    </xf>
    <xf numFmtId="170" fontId="23" fillId="0" borderId="0" xfId="12" applyNumberFormat="1" applyFont="1" applyFill="1" applyBorder="1" applyAlignment="1">
      <alignment horizontal="right" vertical="center"/>
    </xf>
    <xf numFmtId="172" fontId="10" fillId="0" borderId="0" xfId="10" applyNumberFormat="1" applyFont="1" applyFill="1" applyBorder="1" applyAlignment="1">
      <alignment vertical="center"/>
    </xf>
    <xf numFmtId="170" fontId="10" fillId="0" borderId="0" xfId="10" applyNumberFormat="1" applyFont="1" applyFill="1" applyBorder="1" applyAlignment="1">
      <alignment vertical="center"/>
    </xf>
    <xf numFmtId="177" fontId="10" fillId="0" borderId="0" xfId="10" applyNumberFormat="1" applyFont="1" applyFill="1" applyBorder="1" applyAlignment="1">
      <alignment horizontal="right"/>
    </xf>
    <xf numFmtId="0" fontId="10" fillId="0" borderId="0" xfId="10" applyFont="1" applyFill="1" applyBorder="1" applyAlignment="1">
      <alignment horizontal="left" vertical="center" indent="2"/>
    </xf>
    <xf numFmtId="170" fontId="85" fillId="0" borderId="0" xfId="12" applyNumberFormat="1" applyFont="1" applyFill="1" applyBorder="1" applyAlignment="1">
      <alignment vertical="center"/>
    </xf>
    <xf numFmtId="172" fontId="60" fillId="0" borderId="0" xfId="10" applyNumberFormat="1" applyFont="1" applyFill="1" applyBorder="1" applyAlignment="1">
      <alignment vertical="center"/>
    </xf>
    <xf numFmtId="3" fontId="10" fillId="0" borderId="0" xfId="10" applyNumberFormat="1" applyFont="1" applyFill="1" applyBorder="1"/>
    <xf numFmtId="170" fontId="23" fillId="0" borderId="0" xfId="12" applyNumberFormat="1" applyFont="1" applyFill="1" applyBorder="1" applyAlignment="1">
      <alignment vertical="center"/>
    </xf>
    <xf numFmtId="0" fontId="23" fillId="0" borderId="0" xfId="10" applyFont="1" applyFill="1" applyBorder="1" applyAlignment="1">
      <alignment horizontal="right"/>
    </xf>
    <xf numFmtId="167" fontId="23" fillId="0" borderId="0" xfId="11" applyNumberFormat="1" applyFont="1" applyFill="1" applyBorder="1"/>
    <xf numFmtId="170" fontId="23" fillId="0" borderId="0" xfId="10" applyNumberFormat="1" applyFont="1" applyFill="1" applyBorder="1" applyAlignment="1">
      <alignment vertical="center"/>
    </xf>
    <xf numFmtId="170" fontId="10" fillId="0" borderId="0" xfId="10" applyNumberFormat="1" applyFont="1" applyFill="1" applyBorder="1"/>
    <xf numFmtId="177" fontId="10" fillId="0" borderId="0" xfId="10" applyNumberFormat="1" applyFont="1" applyFill="1" applyBorder="1"/>
    <xf numFmtId="2" fontId="23" fillId="0" borderId="0" xfId="10" applyNumberFormat="1" applyFont="1" applyFill="1" applyBorder="1"/>
    <xf numFmtId="0" fontId="23" fillId="0" borderId="0" xfId="10" applyFont="1" applyFill="1" applyBorder="1" applyAlignment="1">
      <alignment horizontal="center"/>
    </xf>
    <xf numFmtId="170" fontId="23" fillId="0" borderId="0" xfId="10" applyNumberFormat="1" applyFont="1" applyFill="1" applyBorder="1"/>
    <xf numFmtId="178" fontId="23" fillId="0" borderId="0" xfId="11" applyNumberFormat="1" applyFont="1" applyFill="1" applyBorder="1" applyAlignment="1">
      <alignment horizontal="center"/>
    </xf>
    <xf numFmtId="0" fontId="10" fillId="0" borderId="0" xfId="10" applyFont="1" applyFill="1" applyBorder="1" applyAlignment="1">
      <alignment horizontal="center" vertical="center"/>
    </xf>
    <xf numFmtId="170" fontId="10" fillId="0" borderId="0" xfId="10" applyNumberFormat="1" applyFont="1" applyFill="1" applyBorder="1" applyAlignment="1">
      <alignment horizontal="center" vertical="center"/>
    </xf>
    <xf numFmtId="1" fontId="23" fillId="0" borderId="0" xfId="11" applyNumberFormat="1" applyFont="1" applyFill="1" applyBorder="1" applyAlignment="1">
      <alignment horizontal="center"/>
    </xf>
    <xf numFmtId="179" fontId="23" fillId="0" borderId="0" xfId="10" applyNumberFormat="1" applyFont="1" applyFill="1" applyBorder="1" applyAlignment="1">
      <alignment horizontal="center" vertical="center"/>
    </xf>
    <xf numFmtId="0" fontId="62" fillId="18" borderId="0" xfId="10" applyFont="1" applyFill="1"/>
    <xf numFmtId="177" fontId="62" fillId="0" borderId="0" xfId="10" applyNumberFormat="1" applyFont="1" applyFill="1" applyBorder="1" applyAlignment="1">
      <alignment horizontal="right"/>
    </xf>
    <xf numFmtId="10" fontId="10" fillId="0" borderId="0" xfId="11" applyNumberFormat="1" applyFont="1" applyFill="1" applyBorder="1" applyAlignment="1">
      <alignment horizontal="center"/>
    </xf>
    <xf numFmtId="10" fontId="10" fillId="0" borderId="0" xfId="10" applyNumberFormat="1" applyFont="1" applyFill="1" applyBorder="1" applyAlignment="1">
      <alignment horizontal="center"/>
    </xf>
    <xf numFmtId="10" fontId="10" fillId="0" borderId="0" xfId="10" applyNumberFormat="1" applyFont="1" applyFill="1" applyBorder="1"/>
    <xf numFmtId="170" fontId="10" fillId="0" borderId="0" xfId="12" applyNumberFormat="1" applyFont="1" applyFill="1" applyBorder="1" applyAlignment="1">
      <alignment horizontal="right"/>
    </xf>
    <xf numFmtId="0" fontId="23" fillId="0" borderId="0" xfId="10" applyFont="1" applyFill="1" applyBorder="1" applyAlignment="1">
      <alignment wrapText="1"/>
    </xf>
    <xf numFmtId="1" fontId="10" fillId="0" borderId="0" xfId="10" applyNumberFormat="1" applyFont="1" applyFill="1" applyBorder="1"/>
    <xf numFmtId="1" fontId="10" fillId="4" borderId="0" xfId="10" applyNumberFormat="1" applyFont="1" applyFill="1" applyBorder="1"/>
    <xf numFmtId="0" fontId="23" fillId="4" borderId="0" xfId="10" applyFont="1" applyFill="1" applyBorder="1"/>
    <xf numFmtId="170" fontId="23" fillId="4" borderId="0" xfId="12" applyNumberFormat="1" applyFont="1" applyFill="1" applyBorder="1"/>
    <xf numFmtId="170" fontId="22" fillId="0" borderId="37" xfId="12" applyNumberFormat="1" applyFont="1" applyFill="1" applyBorder="1"/>
    <xf numFmtId="170" fontId="22" fillId="0" borderId="38" xfId="12" applyNumberFormat="1" applyFont="1" applyFill="1" applyBorder="1"/>
    <xf numFmtId="0" fontId="14" fillId="0" borderId="9" xfId="0" applyFont="1" applyFill="1" applyBorder="1"/>
    <xf numFmtId="3" fontId="14" fillId="0" borderId="6" xfId="0" applyNumberFormat="1" applyFont="1" applyFill="1" applyBorder="1"/>
    <xf numFmtId="0" fontId="14" fillId="0" borderId="11" xfId="0" applyFont="1" applyFill="1" applyBorder="1"/>
    <xf numFmtId="3" fontId="14" fillId="0" borderId="55" xfId="0" applyNumberFormat="1" applyFont="1" applyFill="1" applyBorder="1"/>
    <xf numFmtId="0" fontId="44" fillId="2" borderId="53" xfId="0" applyFont="1" applyFill="1" applyBorder="1"/>
    <xf numFmtId="0" fontId="44" fillId="2" borderId="32" xfId="0" applyFont="1" applyFill="1" applyBorder="1"/>
    <xf numFmtId="3" fontId="44" fillId="2" borderId="32" xfId="0" applyNumberFormat="1" applyFont="1" applyFill="1" applyBorder="1"/>
    <xf numFmtId="3" fontId="44" fillId="2" borderId="54" xfId="0" applyNumberFormat="1" applyFont="1" applyFill="1" applyBorder="1"/>
    <xf numFmtId="0" fontId="14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/>
    </xf>
    <xf numFmtId="3" fontId="6" fillId="8" borderId="0" xfId="0" applyNumberFormat="1" applyFont="1" applyFill="1" applyBorder="1"/>
    <xf numFmtId="14" fontId="14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3" fontId="14" fillId="8" borderId="0" xfId="0" applyNumberFormat="1" applyFont="1" applyFill="1" applyBorder="1"/>
    <xf numFmtId="0" fontId="64" fillId="8" borderId="0" xfId="0" applyFont="1" applyFill="1" applyBorder="1"/>
    <xf numFmtId="165" fontId="14" fillId="8" borderId="0" xfId="8" applyFont="1" applyFill="1" applyBorder="1" applyAlignment="1">
      <alignment horizontal="center"/>
    </xf>
    <xf numFmtId="0" fontId="14" fillId="8" borderId="0" xfId="0" applyFont="1" applyFill="1" applyBorder="1"/>
    <xf numFmtId="3" fontId="67" fillId="8" borderId="0" xfId="0" applyNumberFormat="1" applyFont="1" applyFill="1" applyBorder="1"/>
    <xf numFmtId="3" fontId="66" fillId="8" borderId="0" xfId="0" applyNumberFormat="1" applyFont="1" applyFill="1" applyBorder="1"/>
    <xf numFmtId="3" fontId="5" fillId="0" borderId="0" xfId="0" applyNumberFormat="1" applyFont="1"/>
    <xf numFmtId="0" fontId="23" fillId="0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170" fontId="20" fillId="0" borderId="0" xfId="0" applyNumberFormat="1" applyFont="1" applyFill="1"/>
    <xf numFmtId="170" fontId="61" fillId="0" borderId="0" xfId="0" applyNumberFormat="1" applyFont="1"/>
    <xf numFmtId="0" fontId="61" fillId="0" borderId="0" xfId="0" applyFont="1" applyAlignment="1">
      <alignment horizontal="left" indent="3"/>
    </xf>
    <xf numFmtId="0" fontId="13" fillId="0" borderId="0" xfId="0" applyFont="1" applyFill="1" applyBorder="1" applyAlignment="1">
      <alignment horizontal="center"/>
    </xf>
    <xf numFmtId="170" fontId="22" fillId="0" borderId="0" xfId="0" applyNumberFormat="1" applyFont="1" applyFill="1"/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right" vertical="center" wrapText="1"/>
    </xf>
    <xf numFmtId="10" fontId="21" fillId="0" borderId="5" xfId="11" applyNumberFormat="1" applyFont="1" applyFill="1" applyBorder="1" applyAlignment="1">
      <alignment horizontal="center"/>
    </xf>
    <xf numFmtId="0" fontId="23" fillId="4" borderId="5" xfId="10" applyFont="1" applyFill="1" applyBorder="1" applyAlignment="1">
      <alignment horizontal="center"/>
    </xf>
    <xf numFmtId="0" fontId="26" fillId="0" borderId="0" xfId="10" applyFont="1"/>
    <xf numFmtId="0" fontId="24" fillId="6" borderId="28" xfId="10" applyFont="1" applyFill="1" applyBorder="1" applyAlignment="1">
      <alignment horizontal="center"/>
    </xf>
    <xf numFmtId="0" fontId="21" fillId="0" borderId="56" xfId="10" applyFont="1" applyBorder="1" applyAlignment="1">
      <alignment horizontal="center"/>
    </xf>
    <xf numFmtId="0" fontId="21" fillId="0" borderId="57" xfId="10" applyFont="1" applyBorder="1" applyAlignment="1">
      <alignment horizontal="center"/>
    </xf>
    <xf numFmtId="0" fontId="21" fillId="0" borderId="58" xfId="10" applyFont="1" applyBorder="1" applyAlignment="1">
      <alignment horizontal="center"/>
    </xf>
    <xf numFmtId="0" fontId="10" fillId="8" borderId="56" xfId="10" applyFont="1" applyFill="1" applyBorder="1" applyAlignment="1">
      <alignment horizontal="center"/>
    </xf>
    <xf numFmtId="0" fontId="10" fillId="8" borderId="57" xfId="10" applyFont="1" applyFill="1" applyBorder="1" applyAlignment="1">
      <alignment horizontal="center"/>
    </xf>
    <xf numFmtId="0" fontId="10" fillId="8" borderId="58" xfId="10" applyFont="1" applyFill="1" applyBorder="1" applyAlignment="1">
      <alignment horizontal="center"/>
    </xf>
    <xf numFmtId="0" fontId="10" fillId="0" borderId="59" xfId="10" applyFont="1" applyFill="1" applyBorder="1"/>
    <xf numFmtId="0" fontId="10" fillId="0" borderId="35" xfId="10" applyFont="1" applyFill="1" applyBorder="1" applyAlignment="1">
      <alignment horizontal="center"/>
    </xf>
    <xf numFmtId="0" fontId="10" fillId="0" borderId="15" xfId="10" applyFont="1" applyFill="1" applyBorder="1" applyAlignment="1">
      <alignment horizontal="center"/>
    </xf>
    <xf numFmtId="172" fontId="10" fillId="0" borderId="5" xfId="12" applyNumberFormat="1" applyFont="1" applyFill="1" applyBorder="1"/>
    <xf numFmtId="172" fontId="10" fillId="0" borderId="34" xfId="12" applyNumberFormat="1" applyFont="1" applyFill="1" applyBorder="1"/>
    <xf numFmtId="0" fontId="10" fillId="0" borderId="36" xfId="10" applyFont="1" applyBorder="1"/>
    <xf numFmtId="0" fontId="10" fillId="4" borderId="1" xfId="10" applyFont="1" applyFill="1" applyBorder="1" applyAlignment="1">
      <alignment vertical="center"/>
    </xf>
    <xf numFmtId="175" fontId="10" fillId="4" borderId="37" xfId="12" applyNumberFormat="1" applyFont="1" applyFill="1" applyBorder="1" applyAlignment="1">
      <alignment horizontal="center" vertical="center"/>
    </xf>
    <xf numFmtId="175" fontId="10" fillId="4" borderId="38" xfId="12" applyNumberFormat="1" applyFont="1" applyFill="1" applyBorder="1" applyAlignment="1">
      <alignment horizontal="center" vertical="center"/>
    </xf>
    <xf numFmtId="0" fontId="24" fillId="14" borderId="17" xfId="10" applyFont="1" applyFill="1" applyBorder="1" applyAlignment="1">
      <alignment horizontal="center" vertical="center"/>
    </xf>
    <xf numFmtId="0" fontId="10" fillId="14" borderId="61" xfId="10" applyFont="1" applyFill="1" applyBorder="1"/>
    <xf numFmtId="170" fontId="23" fillId="12" borderId="38" xfId="10" applyNumberFormat="1" applyFont="1" applyFill="1" applyBorder="1"/>
    <xf numFmtId="0" fontId="24" fillId="0" borderId="0" xfId="10" applyFont="1" applyFill="1" applyBorder="1" applyAlignment="1">
      <alignment horizontal="center"/>
    </xf>
    <xf numFmtId="0" fontId="10" fillId="0" borderId="57" xfId="10" applyFont="1" applyFill="1" applyBorder="1" applyAlignment="1">
      <alignment horizontal="left" vertical="justify" indent="1"/>
    </xf>
    <xf numFmtId="0" fontId="10" fillId="0" borderId="57" xfId="10" applyFont="1" applyFill="1" applyBorder="1" applyAlignment="1">
      <alignment horizontal="left" indent="1"/>
    </xf>
    <xf numFmtId="0" fontId="10" fillId="0" borderId="58" xfId="10" applyFont="1" applyFill="1" applyBorder="1" applyAlignment="1">
      <alignment horizontal="left" indent="1"/>
    </xf>
    <xf numFmtId="10" fontId="10" fillId="0" borderId="34" xfId="6" applyNumberFormat="1" applyFont="1" applyFill="1" applyBorder="1" applyAlignment="1">
      <alignment horizontal="right"/>
    </xf>
    <xf numFmtId="10" fontId="10" fillId="0" borderId="38" xfId="6" applyNumberFormat="1" applyFont="1" applyFill="1" applyBorder="1" applyAlignment="1">
      <alignment horizontal="right"/>
    </xf>
    <xf numFmtId="0" fontId="10" fillId="0" borderId="49" xfId="10" applyFont="1" applyBorder="1"/>
    <xf numFmtId="0" fontId="24" fillId="14" borderId="48" xfId="10" applyFont="1" applyFill="1" applyBorder="1" applyAlignment="1">
      <alignment horizontal="center" vertical="center"/>
    </xf>
    <xf numFmtId="0" fontId="24" fillId="14" borderId="30" xfId="10" applyFont="1" applyFill="1" applyBorder="1" applyAlignment="1">
      <alignment horizontal="center" vertical="center"/>
    </xf>
    <xf numFmtId="0" fontId="24" fillId="14" borderId="31" xfId="10" applyFont="1" applyFill="1" applyBorder="1" applyAlignment="1">
      <alignment horizontal="center" vertical="center" wrapText="1"/>
    </xf>
    <xf numFmtId="9" fontId="10" fillId="0" borderId="0" xfId="6" applyFont="1" applyFill="1" applyBorder="1"/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21" xfId="0" applyFont="1" applyFill="1" applyBorder="1"/>
    <xf numFmtId="0" fontId="8" fillId="4" borderId="68" xfId="0" applyFont="1" applyFill="1" applyBorder="1" applyAlignment="1">
      <alignment horizontal="center"/>
    </xf>
    <xf numFmtId="170" fontId="7" fillId="4" borderId="8" xfId="12" applyNumberFormat="1" applyFont="1" applyFill="1" applyBorder="1"/>
    <xf numFmtId="170" fontId="7" fillId="4" borderId="23" xfId="12" applyNumberFormat="1" applyFont="1" applyFill="1" applyBorder="1"/>
    <xf numFmtId="0" fontId="8" fillId="4" borderId="24" xfId="0" applyFont="1" applyFill="1" applyBorder="1"/>
    <xf numFmtId="0" fontId="8" fillId="4" borderId="26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72" fontId="8" fillId="4" borderId="26" xfId="12" applyNumberFormat="1" applyFont="1" applyFill="1" applyBorder="1"/>
    <xf numFmtId="172" fontId="8" fillId="4" borderId="27" xfId="12" applyNumberFormat="1" applyFont="1" applyFill="1" applyBorder="1"/>
    <xf numFmtId="0" fontId="8" fillId="4" borderId="33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72" fontId="8" fillId="4" borderId="5" xfId="12" applyNumberFormat="1" applyFont="1" applyFill="1" applyBorder="1"/>
    <xf numFmtId="172" fontId="8" fillId="4" borderId="34" xfId="12" applyNumberFormat="1" applyFont="1" applyFill="1" applyBorder="1"/>
    <xf numFmtId="170" fontId="0" fillId="0" borderId="0" xfId="0" applyNumberFormat="1" applyBorder="1"/>
    <xf numFmtId="0" fontId="8" fillId="4" borderId="67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172" fontId="8" fillId="4" borderId="7" xfId="12" applyNumberFormat="1" applyFont="1" applyFill="1" applyBorder="1"/>
    <xf numFmtId="172" fontId="8" fillId="4" borderId="47" xfId="12" applyNumberFormat="1" applyFont="1" applyFill="1" applyBorder="1"/>
    <xf numFmtId="0" fontId="7" fillId="4" borderId="67" xfId="0" applyFont="1" applyFill="1" applyBorder="1" applyAlignment="1">
      <alignment horizontal="left" vertical="justify"/>
    </xf>
    <xf numFmtId="172" fontId="7" fillId="4" borderId="7" xfId="12" applyNumberFormat="1" applyFont="1" applyFill="1" applyBorder="1"/>
    <xf numFmtId="172" fontId="7" fillId="4" borderId="47" xfId="12" applyNumberFormat="1" applyFont="1" applyFill="1" applyBorder="1"/>
    <xf numFmtId="172" fontId="7" fillId="4" borderId="5" xfId="12" applyNumberFormat="1" applyFont="1" applyFill="1" applyBorder="1"/>
    <xf numFmtId="172" fontId="8" fillId="0" borderId="5" xfId="12" applyNumberFormat="1" applyFont="1" applyFill="1" applyBorder="1"/>
    <xf numFmtId="172" fontId="8" fillId="0" borderId="34" xfId="12" applyNumberFormat="1" applyFont="1" applyFill="1" applyBorder="1"/>
    <xf numFmtId="0" fontId="8" fillId="4" borderId="36" xfId="0" applyFont="1" applyFill="1" applyBorder="1"/>
    <xf numFmtId="0" fontId="8" fillId="4" borderId="37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172" fontId="8" fillId="4" borderId="37" xfId="0" applyNumberFormat="1" applyFont="1" applyFill="1" applyBorder="1"/>
    <xf numFmtId="172" fontId="8" fillId="4" borderId="38" xfId="0" applyNumberFormat="1" applyFont="1" applyFill="1" applyBorder="1"/>
    <xf numFmtId="0" fontId="7" fillId="4" borderId="67" xfId="0" applyFont="1" applyFill="1" applyBorder="1"/>
    <xf numFmtId="0" fontId="0" fillId="0" borderId="0" xfId="0" applyBorder="1"/>
    <xf numFmtId="172" fontId="7" fillId="4" borderId="8" xfId="12" applyNumberFormat="1" applyFont="1" applyFill="1" applyBorder="1"/>
    <xf numFmtId="172" fontId="7" fillId="4" borderId="23" xfId="12" applyNumberFormat="1" applyFont="1" applyFill="1" applyBorder="1"/>
    <xf numFmtId="170" fontId="8" fillId="4" borderId="6" xfId="12" applyNumberFormat="1" applyFont="1" applyFill="1" applyBorder="1" applyAlignment="1">
      <alignment horizontal="center"/>
    </xf>
    <xf numFmtId="172" fontId="8" fillId="4" borderId="6" xfId="12" applyNumberFormat="1" applyFont="1" applyFill="1" applyBorder="1" applyAlignment="1">
      <alignment horizontal="center"/>
    </xf>
    <xf numFmtId="172" fontId="8" fillId="4" borderId="39" xfId="12" applyNumberFormat="1" applyFont="1" applyFill="1" applyBorder="1" applyAlignment="1">
      <alignment horizontal="center"/>
    </xf>
    <xf numFmtId="172" fontId="8" fillId="12" borderId="6" xfId="12" applyNumberFormat="1" applyFont="1" applyFill="1" applyBorder="1" applyAlignment="1">
      <alignment horizontal="center"/>
    </xf>
    <xf numFmtId="172" fontId="8" fillId="12" borderId="39" xfId="12" applyNumberFormat="1" applyFont="1" applyFill="1" applyBorder="1" applyAlignment="1">
      <alignment horizontal="center"/>
    </xf>
    <xf numFmtId="172" fontId="8" fillId="4" borderId="5" xfId="0" applyNumberFormat="1" applyFont="1" applyFill="1" applyBorder="1"/>
    <xf numFmtId="172" fontId="8" fillId="4" borderId="7" xfId="0" applyNumberFormat="1" applyFont="1" applyFill="1" applyBorder="1"/>
    <xf numFmtId="172" fontId="8" fillId="4" borderId="47" xfId="0" applyNumberFormat="1" applyFont="1" applyFill="1" applyBorder="1"/>
    <xf numFmtId="0" fontId="7" fillId="4" borderId="70" xfId="0" applyFont="1" applyFill="1" applyBorder="1"/>
    <xf numFmtId="0" fontId="8" fillId="4" borderId="71" xfId="0" applyFont="1" applyFill="1" applyBorder="1"/>
    <xf numFmtId="172" fontId="7" fillId="4" borderId="43" xfId="12" applyNumberFormat="1" applyFont="1" applyFill="1" applyBorder="1"/>
    <xf numFmtId="172" fontId="7" fillId="4" borderId="44" xfId="12" applyNumberFormat="1" applyFont="1" applyFill="1" applyBorder="1"/>
    <xf numFmtId="172" fontId="8" fillId="12" borderId="0" xfId="12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vertical="center"/>
    </xf>
    <xf numFmtId="0" fontId="14" fillId="4" borderId="72" xfId="0" applyFont="1" applyFill="1" applyBorder="1" applyAlignment="1">
      <alignment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14" fillId="4" borderId="54" xfId="0" applyFont="1" applyFill="1" applyBorder="1" applyAlignment="1">
      <alignment vertical="center"/>
    </xf>
    <xf numFmtId="1" fontId="14" fillId="4" borderId="26" xfId="0" applyNumberFormat="1" applyFont="1" applyFill="1" applyBorder="1" applyAlignment="1">
      <alignment vertical="center"/>
    </xf>
    <xf numFmtId="1" fontId="14" fillId="4" borderId="63" xfId="0" applyNumberFormat="1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170" fontId="14" fillId="4" borderId="6" xfId="12" applyNumberFormat="1" applyFont="1" applyFill="1" applyBorder="1" applyAlignment="1">
      <alignment vertical="center"/>
    </xf>
    <xf numFmtId="170" fontId="14" fillId="4" borderId="5" xfId="12" applyNumberFormat="1" applyFont="1" applyFill="1" applyBorder="1" applyAlignment="1">
      <alignment vertical="center"/>
    </xf>
    <xf numFmtId="170" fontId="14" fillId="4" borderId="39" xfId="12" applyNumberFormat="1" applyFont="1" applyFill="1" applyBorder="1" applyAlignment="1">
      <alignment vertical="center"/>
    </xf>
    <xf numFmtId="170" fontId="0" fillId="0" borderId="0" xfId="12" applyNumberFormat="1" applyFont="1"/>
    <xf numFmtId="0" fontId="8" fillId="4" borderId="41" xfId="0" applyFont="1" applyFill="1" applyBorder="1" applyAlignment="1">
      <alignment horizontal="left" vertical="center"/>
    </xf>
    <xf numFmtId="170" fontId="14" fillId="4" borderId="34" xfId="12" applyNumberFormat="1" applyFont="1" applyFill="1" applyBorder="1" applyAlignment="1">
      <alignment vertical="center"/>
    </xf>
    <xf numFmtId="170" fontId="0" fillId="0" borderId="0" xfId="12" applyNumberFormat="1" applyFont="1" applyFill="1"/>
    <xf numFmtId="0" fontId="14" fillId="4" borderId="5" xfId="0" applyFont="1" applyFill="1" applyBorder="1" applyAlignment="1">
      <alignment vertical="center"/>
    </xf>
    <xf numFmtId="0" fontId="14" fillId="4" borderId="39" xfId="0" applyFont="1" applyFill="1" applyBorder="1" applyAlignment="1">
      <alignment vertical="center"/>
    </xf>
    <xf numFmtId="0" fontId="8" fillId="4" borderId="53" xfId="0" applyFont="1" applyFill="1" applyBorder="1" applyAlignment="1">
      <alignment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7" fillId="4" borderId="41" xfId="0" applyFont="1" applyFill="1" applyBorder="1" applyAlignment="1">
      <alignment horizontal="left" vertical="center"/>
    </xf>
    <xf numFmtId="170" fontId="14" fillId="0" borderId="6" xfId="12" applyNumberFormat="1" applyFont="1" applyFill="1" applyBorder="1" applyAlignment="1">
      <alignment vertical="center"/>
    </xf>
    <xf numFmtId="0" fontId="86" fillId="0" borderId="0" xfId="0" applyFont="1"/>
    <xf numFmtId="0" fontId="7" fillId="0" borderId="0" xfId="0" applyFont="1" applyFill="1" applyAlignment="1"/>
    <xf numFmtId="0" fontId="8" fillId="4" borderId="4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4" fillId="4" borderId="69" xfId="0" applyFont="1" applyFill="1" applyBorder="1" applyAlignment="1">
      <alignment vertical="center"/>
    </xf>
    <xf numFmtId="0" fontId="14" fillId="4" borderId="37" xfId="0" applyFont="1" applyFill="1" applyBorder="1" applyAlignment="1">
      <alignment vertical="center"/>
    </xf>
    <xf numFmtId="0" fontId="14" fillId="4" borderId="40" xfId="0" applyFont="1" applyFill="1" applyBorder="1" applyAlignment="1">
      <alignment vertical="center"/>
    </xf>
    <xf numFmtId="0" fontId="7" fillId="0" borderId="0" xfId="0" applyFont="1" applyFill="1"/>
    <xf numFmtId="0" fontId="7" fillId="4" borderId="1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4" borderId="66" xfId="0" applyFont="1" applyFill="1" applyBorder="1" applyAlignment="1">
      <alignment vertical="center"/>
    </xf>
    <xf numFmtId="2" fontId="14" fillId="4" borderId="15" xfId="0" applyNumberFormat="1" applyFont="1" applyFill="1" applyBorder="1" applyAlignment="1">
      <alignment vertical="center"/>
    </xf>
    <xf numFmtId="2" fontId="14" fillId="4" borderId="60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7" fillId="22" borderId="41" xfId="0" applyFont="1" applyFill="1" applyBorder="1" applyAlignment="1">
      <alignment vertical="center"/>
    </xf>
    <xf numFmtId="0" fontId="8" fillId="22" borderId="0" xfId="0" applyFont="1" applyFill="1" applyBorder="1" applyAlignment="1">
      <alignment vertical="center"/>
    </xf>
    <xf numFmtId="170" fontId="6" fillId="22" borderId="6" xfId="12" applyNumberFormat="1" applyFont="1" applyFill="1" applyBorder="1" applyAlignment="1">
      <alignment horizontal="right" vertical="center"/>
    </xf>
    <xf numFmtId="172" fontId="14" fillId="22" borderId="5" xfId="0" applyNumberFormat="1" applyFont="1" applyFill="1" applyBorder="1" applyAlignment="1">
      <alignment vertical="center"/>
    </xf>
    <xf numFmtId="170" fontId="14" fillId="22" borderId="34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horizontal="right"/>
    </xf>
    <xf numFmtId="0" fontId="8" fillId="4" borderId="41" xfId="0" applyFont="1" applyFill="1" applyBorder="1" applyAlignment="1">
      <alignment horizontal="left" vertical="center" indent="2"/>
    </xf>
    <xf numFmtId="170" fontId="6" fillId="4" borderId="6" xfId="12" applyNumberFormat="1" applyFont="1" applyFill="1" applyBorder="1" applyAlignment="1">
      <alignment vertical="center"/>
    </xf>
    <xf numFmtId="172" fontId="14" fillId="4" borderId="5" xfId="0" applyNumberFormat="1" applyFont="1" applyFill="1" applyBorder="1" applyAlignment="1">
      <alignment vertical="center"/>
    </xf>
    <xf numFmtId="170" fontId="14" fillId="4" borderId="34" xfId="0" applyNumberFormat="1" applyFont="1" applyFill="1" applyBorder="1" applyAlignment="1">
      <alignment vertical="center"/>
    </xf>
    <xf numFmtId="3" fontId="0" fillId="0" borderId="0" xfId="0" applyNumberFormat="1" applyFill="1"/>
    <xf numFmtId="0" fontId="7" fillId="22" borderId="41" xfId="0" applyFont="1" applyFill="1" applyBorder="1" applyAlignment="1">
      <alignment horizontal="left" vertical="center"/>
    </xf>
    <xf numFmtId="170" fontId="6" fillId="22" borderId="6" xfId="12" applyNumberFormat="1" applyFont="1" applyFill="1" applyBorder="1" applyAlignment="1">
      <alignment vertical="center"/>
    </xf>
    <xf numFmtId="170" fontId="14" fillId="22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0" fontId="14" fillId="4" borderId="5" xfId="0" applyNumberFormat="1" applyFont="1" applyFill="1" applyBorder="1" applyAlignment="1">
      <alignment vertical="center"/>
    </xf>
    <xf numFmtId="167" fontId="7" fillId="0" borderId="0" xfId="11" applyNumberFormat="1" applyFont="1" applyFill="1"/>
    <xf numFmtId="0" fontId="7" fillId="4" borderId="45" xfId="0" applyFont="1" applyFill="1" applyBorder="1" applyAlignment="1">
      <alignment vertical="center"/>
    </xf>
    <xf numFmtId="170" fontId="6" fillId="4" borderId="69" xfId="12" applyNumberFormat="1" applyFont="1" applyFill="1" applyBorder="1" applyAlignment="1">
      <alignment vertical="center"/>
    </xf>
    <xf numFmtId="170" fontId="6" fillId="4" borderId="37" xfId="0" applyNumberFormat="1" applyFont="1" applyFill="1" applyBorder="1" applyAlignment="1">
      <alignment vertical="center"/>
    </xf>
    <xf numFmtId="170" fontId="6" fillId="4" borderId="38" xfId="0" applyNumberFormat="1" applyFont="1" applyFill="1" applyBorder="1" applyAlignment="1">
      <alignment vertical="center"/>
    </xf>
    <xf numFmtId="170" fontId="0" fillId="0" borderId="0" xfId="0" applyNumberFormat="1" applyFill="1"/>
    <xf numFmtId="177" fontId="0" fillId="0" borderId="0" xfId="0" applyNumberFormat="1" applyFill="1"/>
    <xf numFmtId="170" fontId="22" fillId="12" borderId="41" xfId="10" applyNumberFormat="1" applyFont="1" applyFill="1" applyBorder="1"/>
    <xf numFmtId="170" fontId="22" fillId="12" borderId="45" xfId="10" applyNumberFormat="1" applyFont="1" applyFill="1" applyBorder="1"/>
    <xf numFmtId="176" fontId="14" fillId="4" borderId="66" xfId="12" applyNumberFormat="1" applyFont="1" applyFill="1" applyBorder="1" applyAlignment="1">
      <alignment vertical="center"/>
    </xf>
    <xf numFmtId="176" fontId="14" fillId="4" borderId="15" xfId="12" applyNumberFormat="1" applyFont="1" applyFill="1" applyBorder="1" applyAlignment="1">
      <alignment vertical="center"/>
    </xf>
    <xf numFmtId="176" fontId="14" fillId="4" borderId="16" xfId="12" applyNumberFormat="1" applyFont="1" applyFill="1" applyBorder="1" applyAlignment="1">
      <alignment vertical="center"/>
    </xf>
    <xf numFmtId="0" fontId="8" fillId="4" borderId="48" xfId="0" applyFont="1" applyFill="1" applyBorder="1" applyAlignment="1">
      <alignment vertical="center"/>
    </xf>
    <xf numFmtId="0" fontId="8" fillId="4" borderId="4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64" xfId="0" applyFont="1" applyFill="1" applyBorder="1" applyAlignment="1">
      <alignment vertical="center"/>
    </xf>
    <xf numFmtId="170" fontId="14" fillId="4" borderId="29" xfId="0" applyNumberFormat="1" applyFont="1" applyFill="1" applyBorder="1" applyAlignment="1">
      <alignment vertical="center"/>
    </xf>
    <xf numFmtId="0" fontId="26" fillId="0" borderId="0" xfId="10" applyFont="1" applyFill="1" applyBorder="1"/>
    <xf numFmtId="0" fontId="26" fillId="0" borderId="0" xfId="10" applyFont="1" applyFill="1" applyBorder="1" applyAlignment="1">
      <alignment horizontal="center"/>
    </xf>
    <xf numFmtId="0" fontId="26" fillId="0" borderId="0" xfId="10" applyFont="1" applyFill="1" applyBorder="1" applyAlignment="1">
      <alignment horizontal="left"/>
    </xf>
    <xf numFmtId="0" fontId="24" fillId="14" borderId="65" xfId="10" applyFont="1" applyFill="1" applyBorder="1"/>
    <xf numFmtId="0" fontId="24" fillId="14" borderId="49" xfId="10" applyFont="1" applyFill="1" applyBorder="1" applyAlignment="1">
      <alignment horizontal="center"/>
    </xf>
    <xf numFmtId="0" fontId="23" fillId="0" borderId="33" xfId="10" applyFont="1" applyFill="1" applyBorder="1"/>
    <xf numFmtId="0" fontId="10" fillId="0" borderId="1" xfId="10" applyFont="1" applyFill="1" applyBorder="1" applyAlignment="1">
      <alignment horizontal="center"/>
    </xf>
    <xf numFmtId="0" fontId="24" fillId="14" borderId="30" xfId="10" applyFont="1" applyFill="1" applyBorder="1" applyAlignment="1">
      <alignment horizontal="center"/>
    </xf>
    <xf numFmtId="0" fontId="24" fillId="14" borderId="31" xfId="10" applyFont="1" applyFill="1" applyBorder="1" applyAlignment="1">
      <alignment horizontal="center"/>
    </xf>
    <xf numFmtId="172" fontId="10" fillId="0" borderId="15" xfId="12" applyNumberFormat="1" applyFont="1" applyFill="1" applyBorder="1" applyAlignment="1">
      <alignment horizontal="right"/>
    </xf>
    <xf numFmtId="172" fontId="10" fillId="0" borderId="16" xfId="12" applyNumberFormat="1" applyFont="1" applyFill="1" applyBorder="1" applyAlignment="1">
      <alignment horizontal="right"/>
    </xf>
    <xf numFmtId="172" fontId="10" fillId="0" borderId="5" xfId="12" applyNumberFormat="1" applyFont="1" applyFill="1" applyBorder="1" applyAlignment="1">
      <alignment horizontal="right"/>
    </xf>
    <xf numFmtId="172" fontId="10" fillId="0" borderId="34" xfId="12" applyNumberFormat="1" applyFont="1" applyFill="1" applyBorder="1" applyAlignment="1">
      <alignment horizontal="right"/>
    </xf>
    <xf numFmtId="172" fontId="10" fillId="0" borderId="37" xfId="12" applyNumberFormat="1" applyFont="1" applyFill="1" applyBorder="1" applyAlignment="1">
      <alignment horizontal="right"/>
    </xf>
    <xf numFmtId="172" fontId="10" fillId="0" borderId="38" xfId="12" applyNumberFormat="1" applyFont="1" applyFill="1" applyBorder="1" applyAlignment="1">
      <alignment horizontal="right"/>
    </xf>
    <xf numFmtId="0" fontId="10" fillId="0" borderId="56" xfId="10" applyFont="1" applyFill="1" applyBorder="1" applyAlignment="1">
      <alignment horizontal="center"/>
    </xf>
    <xf numFmtId="0" fontId="10" fillId="0" borderId="57" xfId="10" applyFont="1" applyFill="1" applyBorder="1" applyAlignment="1">
      <alignment horizontal="center"/>
    </xf>
    <xf numFmtId="0" fontId="10" fillId="0" borderId="58" xfId="10" applyFont="1" applyFill="1" applyBorder="1" applyAlignment="1">
      <alignment horizontal="center"/>
    </xf>
    <xf numFmtId="172" fontId="24" fillId="0" borderId="0" xfId="12" applyNumberFormat="1" applyFont="1" applyFill="1" applyBorder="1" applyAlignment="1">
      <alignment horizontal="left"/>
    </xf>
    <xf numFmtId="0" fontId="10" fillId="8" borderId="33" xfId="10" applyFont="1" applyFill="1" applyBorder="1"/>
    <xf numFmtId="0" fontId="10" fillId="8" borderId="0" xfId="10" applyFont="1" applyFill="1" applyBorder="1"/>
    <xf numFmtId="0" fontId="10" fillId="8" borderId="39" xfId="10" applyFont="1" applyFill="1" applyBorder="1"/>
    <xf numFmtId="0" fontId="10" fillId="8" borderId="36" xfId="10" applyFont="1" applyFill="1" applyBorder="1"/>
    <xf numFmtId="0" fontId="10" fillId="8" borderId="1" xfId="10" applyFont="1" applyFill="1" applyBorder="1"/>
    <xf numFmtId="0" fontId="10" fillId="8" borderId="40" xfId="10" applyFont="1" applyFill="1" applyBorder="1"/>
    <xf numFmtId="0" fontId="10" fillId="0" borderId="30" xfId="10" applyFont="1" applyFill="1" applyBorder="1" applyAlignment="1">
      <alignment horizontal="center"/>
    </xf>
    <xf numFmtId="172" fontId="10" fillId="0" borderId="30" xfId="10" applyNumberFormat="1" applyFont="1" applyFill="1" applyBorder="1" applyAlignment="1">
      <alignment horizontal="center"/>
    </xf>
    <xf numFmtId="172" fontId="10" fillId="0" borderId="31" xfId="10" applyNumberFormat="1" applyFont="1" applyFill="1" applyBorder="1" applyAlignment="1">
      <alignment horizontal="center"/>
    </xf>
    <xf numFmtId="167" fontId="10" fillId="0" borderId="34" xfId="6" applyNumberFormat="1" applyFont="1" applyFill="1" applyBorder="1" applyAlignment="1">
      <alignment horizontal="center"/>
    </xf>
    <xf numFmtId="167" fontId="10" fillId="0" borderId="38" xfId="6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15" fillId="14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9" fontId="1" fillId="0" borderId="0" xfId="6" applyNumberFormat="1" applyFont="1" applyFill="1" applyAlignment="1">
      <alignment horizontal="right"/>
    </xf>
    <xf numFmtId="0" fontId="10" fillId="0" borderId="49" xfId="10" applyFont="1" applyFill="1" applyBorder="1" applyAlignment="1">
      <alignment horizontal="center"/>
    </xf>
    <xf numFmtId="172" fontId="10" fillId="0" borderId="30" xfId="12" applyNumberFormat="1" applyFont="1" applyFill="1" applyBorder="1"/>
    <xf numFmtId="9" fontId="10" fillId="0" borderId="30" xfId="6" applyFont="1" applyFill="1" applyBorder="1"/>
    <xf numFmtId="9" fontId="10" fillId="0" borderId="31" xfId="6" applyFont="1" applyFill="1" applyBorder="1"/>
    <xf numFmtId="0" fontId="24" fillId="14" borderId="48" xfId="10" applyFont="1" applyFill="1" applyBorder="1"/>
    <xf numFmtId="0" fontId="23" fillId="0" borderId="30" xfId="10" applyFont="1" applyFill="1" applyBorder="1" applyAlignment="1">
      <alignment horizontal="center"/>
    </xf>
    <xf numFmtId="172" fontId="23" fillId="0" borderId="30" xfId="10" applyNumberFormat="1" applyFont="1" applyFill="1" applyBorder="1" applyAlignment="1">
      <alignment horizontal="center"/>
    </xf>
    <xf numFmtId="172" fontId="23" fillId="0" borderId="31" xfId="10" applyNumberFormat="1" applyFont="1" applyFill="1" applyBorder="1" applyAlignment="1">
      <alignment horizontal="center"/>
    </xf>
    <xf numFmtId="164" fontId="10" fillId="4" borderId="5" xfId="10" applyNumberFormat="1" applyFont="1" applyFill="1" applyBorder="1"/>
    <xf numFmtId="9" fontId="0" fillId="0" borderId="0" xfId="6" applyFont="1"/>
    <xf numFmtId="10" fontId="10" fillId="12" borderId="20" xfId="11" applyNumberFormat="1" applyFont="1" applyFill="1" applyBorder="1" applyAlignment="1">
      <alignment horizontal="center"/>
    </xf>
    <xf numFmtId="10" fontId="10" fillId="12" borderId="44" xfId="10" applyNumberFormat="1" applyFont="1" applyFill="1" applyBorder="1" applyAlignment="1">
      <alignment horizontal="center"/>
    </xf>
    <xf numFmtId="0" fontId="10" fillId="0" borderId="34" xfId="10" applyFont="1" applyFill="1" applyBorder="1"/>
    <xf numFmtId="0" fontId="0" fillId="12" borderId="0" xfId="0" applyFill="1" applyBorder="1"/>
    <xf numFmtId="0" fontId="90" fillId="14" borderId="0" xfId="0" applyFont="1" applyFill="1" applyBorder="1" applyAlignment="1">
      <alignment horizontal="left" vertical="center" wrapText="1" indent="1"/>
    </xf>
    <xf numFmtId="0" fontId="90" fillId="14" borderId="0" xfId="0" applyFont="1" applyFill="1" applyBorder="1" applyAlignment="1">
      <alignment horizontal="center" vertical="center" wrapText="1"/>
    </xf>
    <xf numFmtId="0" fontId="89" fillId="9" borderId="0" xfId="0" applyFont="1" applyFill="1" applyBorder="1" applyAlignment="1">
      <alignment horizontal="left" vertical="center" wrapText="1" indent="1"/>
    </xf>
    <xf numFmtId="0" fontId="88" fillId="12" borderId="0" xfId="0" applyFont="1" applyFill="1" applyBorder="1" applyAlignment="1">
      <alignment horizontal="left" vertical="center" wrapText="1" indent="1"/>
    </xf>
    <xf numFmtId="177" fontId="88" fillId="12" borderId="0" xfId="0" applyNumberFormat="1" applyFont="1" applyFill="1" applyBorder="1" applyAlignment="1">
      <alignment horizontal="center" vertical="center" wrapText="1"/>
    </xf>
    <xf numFmtId="177" fontId="89" fillId="9" borderId="0" xfId="0" applyNumberFormat="1" applyFont="1" applyFill="1" applyBorder="1" applyAlignment="1">
      <alignment horizontal="center" vertical="center" wrapText="1"/>
    </xf>
    <xf numFmtId="177" fontId="91" fillId="12" borderId="0" xfId="0" applyNumberFormat="1" applyFont="1" applyFill="1" applyBorder="1" applyAlignment="1">
      <alignment vertical="top" wrapText="1"/>
    </xf>
    <xf numFmtId="177" fontId="91" fillId="12" borderId="0" xfId="0" applyNumberFormat="1" applyFont="1" applyFill="1" applyBorder="1" applyAlignment="1">
      <alignment horizontal="center" vertical="top" wrapText="1"/>
    </xf>
    <xf numFmtId="167" fontId="10" fillId="12" borderId="0" xfId="0" applyNumberFormat="1" applyFont="1" applyFill="1" applyBorder="1" applyAlignment="1">
      <alignment horizontal="center"/>
    </xf>
    <xf numFmtId="0" fontId="92" fillId="0" borderId="0" xfId="0" applyFont="1" applyAlignment="1"/>
    <xf numFmtId="0" fontId="9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/>
    <xf numFmtId="43" fontId="0" fillId="0" borderId="8" xfId="3" applyFont="1" applyBorder="1"/>
    <xf numFmtId="43" fontId="0" fillId="0" borderId="0" xfId="0" applyNumberFormat="1"/>
    <xf numFmtId="43" fontId="0" fillId="0" borderId="8" xfId="0" applyNumberFormat="1" applyBorder="1"/>
    <xf numFmtId="43" fontId="0" fillId="0" borderId="8" xfId="3" applyNumberFormat="1" applyFont="1" applyBorder="1"/>
    <xf numFmtId="0" fontId="15" fillId="14" borderId="8" xfId="0" applyFont="1" applyFill="1" applyBorder="1" applyAlignment="1">
      <alignment horizontal="center" wrapText="1"/>
    </xf>
    <xf numFmtId="0" fontId="15" fillId="14" borderId="8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 vertical="center" wrapText="1"/>
    </xf>
    <xf numFmtId="0" fontId="3" fillId="9" borderId="8" xfId="0" applyFont="1" applyFill="1" applyBorder="1"/>
    <xf numFmtId="43" fontId="3" fillId="9" borderId="8" xfId="0" applyNumberFormat="1" applyFont="1" applyFill="1" applyBorder="1"/>
    <xf numFmtId="43" fontId="3" fillId="9" borderId="8" xfId="3" applyFont="1" applyFill="1" applyBorder="1"/>
    <xf numFmtId="1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right"/>
    </xf>
    <xf numFmtId="0" fontId="93" fillId="0" borderId="0" xfId="0" applyFont="1" applyAlignment="1"/>
    <xf numFmtId="0" fontId="93" fillId="0" borderId="0" xfId="0" applyFont="1" applyAlignment="1">
      <alignment vertical="center"/>
    </xf>
    <xf numFmtId="165" fontId="0" fillId="0" borderId="0" xfId="0" applyNumberFormat="1"/>
    <xf numFmtId="0" fontId="88" fillId="0" borderId="0" xfId="0" applyFont="1" applyFill="1" applyBorder="1" applyAlignment="1">
      <alignment horizontal="left" vertical="center" indent="1"/>
    </xf>
    <xf numFmtId="0" fontId="15" fillId="14" borderId="8" xfId="0" applyFont="1" applyFill="1" applyBorder="1" applyAlignment="1">
      <alignment horizontal="center"/>
    </xf>
    <xf numFmtId="170" fontId="23" fillId="12" borderId="5" xfId="10" applyNumberFormat="1" applyFont="1" applyFill="1" applyBorder="1"/>
    <xf numFmtId="0" fontId="88" fillId="0" borderId="0" xfId="0" applyFont="1" applyFill="1" applyBorder="1" applyAlignment="1">
      <alignment horizontal="left" vertical="center" wrapText="1" indent="1"/>
    </xf>
    <xf numFmtId="177" fontId="94" fillId="0" borderId="0" xfId="0" applyNumberFormat="1" applyFont="1" applyFill="1" applyBorder="1" applyAlignment="1">
      <alignment horizontal="center" vertical="center" wrapText="1"/>
    </xf>
    <xf numFmtId="177" fontId="95" fillId="0" borderId="0" xfId="0" applyNumberFormat="1" applyFont="1" applyFill="1" applyBorder="1" applyAlignment="1">
      <alignment vertical="top" wrapText="1"/>
    </xf>
    <xf numFmtId="170" fontId="23" fillId="12" borderId="34" xfId="10" applyNumberFormat="1" applyFont="1" applyFill="1" applyBorder="1"/>
    <xf numFmtId="0" fontId="23" fillId="0" borderId="0" xfId="10" applyFont="1" applyFill="1" applyBorder="1" applyAlignment="1">
      <alignment horizontal="center"/>
    </xf>
    <xf numFmtId="0" fontId="23" fillId="0" borderId="0" xfId="10" applyFont="1" applyFill="1" applyBorder="1" applyAlignment="1">
      <alignment horizontal="center" vertical="center"/>
    </xf>
    <xf numFmtId="0" fontId="10" fillId="0" borderId="0" xfId="1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24" fillId="6" borderId="65" xfId="10" applyFont="1" applyFill="1" applyBorder="1" applyAlignment="1">
      <alignment horizontal="center"/>
    </xf>
    <xf numFmtId="0" fontId="24" fillId="6" borderId="49" xfId="10" applyFont="1" applyFill="1" applyBorder="1" applyAlignment="1">
      <alignment horizontal="center"/>
    </xf>
    <xf numFmtId="0" fontId="24" fillId="6" borderId="64" xfId="10" applyFont="1" applyFill="1" applyBorder="1" applyAlignment="1">
      <alignment horizontal="center"/>
    </xf>
    <xf numFmtId="0" fontId="10" fillId="8" borderId="59" xfId="10" applyFont="1" applyFill="1" applyBorder="1" applyAlignment="1">
      <alignment horizontal="center"/>
    </xf>
    <xf numFmtId="0" fontId="10" fillId="8" borderId="35" xfId="10" applyFont="1" applyFill="1" applyBorder="1" applyAlignment="1">
      <alignment horizontal="center"/>
    </xf>
    <xf numFmtId="0" fontId="10" fillId="8" borderId="60" xfId="10" applyFont="1" applyFill="1" applyBorder="1" applyAlignment="1">
      <alignment horizontal="center"/>
    </xf>
    <xf numFmtId="0" fontId="10" fillId="8" borderId="33" xfId="10" applyFont="1" applyFill="1" applyBorder="1" applyAlignment="1">
      <alignment horizontal="center"/>
    </xf>
    <xf numFmtId="0" fontId="10" fillId="8" borderId="0" xfId="10" applyFont="1" applyFill="1" applyBorder="1" applyAlignment="1">
      <alignment horizontal="center"/>
    </xf>
    <xf numFmtId="0" fontId="10" fillId="8" borderId="39" xfId="1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/>
    </xf>
    <xf numFmtId="0" fontId="15" fillId="14" borderId="8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3" fontId="18" fillId="8" borderId="0" xfId="0" applyNumberFormat="1" applyFont="1" applyFill="1" applyBorder="1" applyAlignment="1">
      <alignment horizontal="right" vertical="center"/>
    </xf>
    <xf numFmtId="167" fontId="18" fillId="8" borderId="0" xfId="6" applyNumberFormat="1" applyFont="1" applyFill="1" applyBorder="1" applyAlignment="1">
      <alignment horizontal="right" vertical="center"/>
    </xf>
    <xf numFmtId="180" fontId="15" fillId="2" borderId="0" xfId="13" applyNumberFormat="1" applyFont="1" applyFill="1" applyBorder="1" applyAlignment="1">
      <alignment horizontal="center" vertical="top" wrapText="1"/>
    </xf>
    <xf numFmtId="0" fontId="15" fillId="2" borderId="0" xfId="13" applyFont="1" applyFill="1" applyBorder="1" applyAlignment="1">
      <alignment horizontal="center" vertical="center" wrapText="1"/>
    </xf>
    <xf numFmtId="0" fontId="15" fillId="2" borderId="0" xfId="13" applyFont="1" applyFill="1" applyBorder="1" applyAlignment="1">
      <alignment horizontal="center" vertical="top" wrapText="1"/>
    </xf>
    <xf numFmtId="3" fontId="23" fillId="0" borderId="0" xfId="4" applyNumberFormat="1" applyFont="1" applyBorder="1" applyAlignment="1">
      <alignment horizontal="center"/>
    </xf>
    <xf numFmtId="0" fontId="7" fillId="4" borderId="59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</cellXfs>
  <cellStyles count="15">
    <cellStyle name="Millares" xfId="8" builtinId="3"/>
    <cellStyle name="Millares 2" xfId="3"/>
    <cellStyle name="Millares 3" xfId="12"/>
    <cellStyle name="Millares_HIDROMET_trabajo" xfId="14"/>
    <cellStyle name="Normal" xfId="0" builtinId="0"/>
    <cellStyle name="Normal 2" xfId="4"/>
    <cellStyle name="Normal 2 2" xfId="13"/>
    <cellStyle name="Normal 26" xfId="1"/>
    <cellStyle name="Normal 3" xfId="10"/>
    <cellStyle name="Normal 3 2" xfId="9"/>
    <cellStyle name="Normal_Cuentas de Balance - 19 Feb 04 2" xfId="5"/>
    <cellStyle name="Normal_LINESTI" xfId="7"/>
    <cellStyle name="Output Line Items" xfId="2"/>
    <cellStyle name="Porcentaje" xfId="6" builtinId="5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'IMPA Indicativo'!$B$167</c:f>
              <c:strCache>
                <c:ptCount val="1"/>
                <c:pt idx="0">
                  <c:v>IPSPEGyD. EXISTENTE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'IMPA Indicativo'!$D$167:$K$167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D4-4C31-9333-23EB72A581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'IMPA Indicativo'!$D$166:$K$166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'IMPA Indicativo'!$B$168</c:f>
              <c:strCache>
                <c:ptCount val="1"/>
                <c:pt idx="0">
                  <c:v>IPSPED. EXISTENTE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'IMPA Indicativo'!$D$168:$K$168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D4-4C31-9333-23EB72A581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'IMPA Indicativo'!$D$166:$K$166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'IMPA Indicativo'!$B$169</c:f>
              <c:strCache>
                <c:ptCount val="1"/>
                <c:pt idx="0">
                  <c:v>CONEXIÓN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'IMPA Indicativo'!$D$169:$K$169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D4-4C31-9333-23EB72A581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'IMPA Indicativo'!$D$166:$K$166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'IMPA Indicativo'!$B$170</c:f>
              <c:strCache>
                <c:ptCount val="1"/>
                <c:pt idx="0">
                  <c:v>SOI TOTAL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'IMPA Indicativo'!$D$170:$K$170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D4-4C31-9333-23EB72A58109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'IMPA Indicativo'!$D$166:$K$166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05312688"/>
        <c:axId val="505313080"/>
      </c:barChart>
      <c:catAx>
        <c:axId val="5053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 Tarifario</a:t>
                </a:r>
              </a:p>
            </c:rich>
          </c:tx>
          <c:layout>
            <c:manualLayout>
              <c:xMode val="edge"/>
              <c:yMode val="edge"/>
              <c:x val="0.49344040552101198"/>
              <c:y val="0.879099069473279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05313080"/>
        <c:crosses val="autoZero"/>
        <c:auto val="1"/>
        <c:lblAlgn val="ctr"/>
        <c:lblOffset val="100"/>
        <c:noMultiLvlLbl val="0"/>
      </c:catAx>
      <c:valAx>
        <c:axId val="5053130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Milees de Balboas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50531268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8483514206652"/>
          <c:y val="0.93393185234105347"/>
          <c:w val="0.62273450320603629"/>
          <c:h val="4.87388869293027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403412</xdr:colOff>
      <xdr:row>149</xdr:row>
      <xdr:rowOff>56029</xdr:rowOff>
    </xdr:from>
    <xdr:to>
      <xdr:col>21</xdr:col>
      <xdr:colOff>526677</xdr:colOff>
      <xdr:row>174</xdr:row>
      <xdr:rowOff>94128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90D26112-4865-4359-A78F-8C8510127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W284"/>
  <sheetViews>
    <sheetView showGridLines="0" tabSelected="1" zoomScale="85" zoomScaleNormal="85" workbookViewId="0">
      <pane ySplit="4" topLeftCell="A5" activePane="bottomLeft" state="frozen"/>
      <selection pane="bottomLeft" activeCell="F145" sqref="F145"/>
    </sheetView>
  </sheetViews>
  <sheetFormatPr baseColWidth="10" defaultColWidth="9.140625" defaultRowHeight="12.75" outlineLevelRow="2" outlineLevelCol="2" x14ac:dyDescent="0.2"/>
  <cols>
    <col min="1" max="1" width="3.7109375" style="556" customWidth="1"/>
    <col min="2" max="2" width="50.5703125" style="556" customWidth="1"/>
    <col min="3" max="3" width="11.7109375" style="556" customWidth="1" outlineLevel="2"/>
    <col min="4" max="4" width="15.5703125" style="556" customWidth="1" outlineLevel="1"/>
    <col min="5" max="9" width="15.5703125" style="556" customWidth="1"/>
    <col min="10" max="10" width="15.7109375" style="556" customWidth="1"/>
    <col min="11" max="11" width="15.7109375" style="556" customWidth="1" outlineLevel="1"/>
    <col min="12" max="12" width="118" style="556" bestFit="1" customWidth="1" outlineLevel="1"/>
    <col min="13" max="13" width="10.7109375" style="556" customWidth="1"/>
    <col min="14" max="14" width="10.42578125" style="556" customWidth="1"/>
    <col min="15" max="15" width="10.5703125" style="556" customWidth="1"/>
    <col min="16" max="16384" width="9.140625" style="556"/>
  </cols>
  <sheetData>
    <row r="1" spans="2:14" s="28" customFormat="1" ht="15" x14ac:dyDescent="0.25">
      <c r="B1"/>
      <c r="C1"/>
      <c r="D1"/>
      <c r="E1"/>
      <c r="F1"/>
      <c r="G1"/>
      <c r="H1"/>
      <c r="I1"/>
    </row>
    <row r="2" spans="2:14" s="28" customFormat="1" x14ac:dyDescent="0.2">
      <c r="B2" s="1018" t="s">
        <v>1144</v>
      </c>
      <c r="C2" s="1018"/>
      <c r="D2" s="1018"/>
      <c r="E2" s="1018"/>
      <c r="F2" s="1018"/>
      <c r="G2" s="1018"/>
      <c r="H2" s="1018"/>
      <c r="I2" s="1018"/>
    </row>
    <row r="3" spans="2:14" s="28" customFormat="1" x14ac:dyDescent="0.2">
      <c r="B3" s="1018" t="s">
        <v>1145</v>
      </c>
      <c r="C3" s="1018"/>
      <c r="D3" s="1018"/>
      <c r="E3" s="1018"/>
      <c r="F3" s="1018"/>
      <c r="G3" s="1018"/>
      <c r="H3" s="1018"/>
      <c r="I3" s="1018"/>
    </row>
    <row r="4" spans="2:14" s="28" customFormat="1" x14ac:dyDescent="0.2">
      <c r="B4" s="1018" t="s">
        <v>1146</v>
      </c>
      <c r="C4" s="1018"/>
      <c r="D4" s="1018"/>
      <c r="E4" s="1018"/>
      <c r="F4" s="1018"/>
      <c r="G4" s="1018"/>
      <c r="H4" s="1018"/>
      <c r="I4" s="1018"/>
    </row>
    <row r="5" spans="2:14" s="28" customFormat="1" x14ac:dyDescent="0.2"/>
    <row r="6" spans="2:14" s="89" customFormat="1" outlineLevel="1" x14ac:dyDescent="0.2">
      <c r="B6" s="107" t="s">
        <v>1021</v>
      </c>
    </row>
    <row r="7" spans="2:14" ht="13.5" outlineLevel="1" thickBot="1" x14ac:dyDescent="0.25">
      <c r="B7" s="557"/>
      <c r="C7" s="557"/>
      <c r="D7" s="557"/>
      <c r="E7" s="557"/>
      <c r="F7" s="557"/>
      <c r="G7" s="557"/>
      <c r="H7" s="557"/>
      <c r="I7" s="557"/>
    </row>
    <row r="8" spans="2:14" s="558" customFormat="1" outlineLevel="1" x14ac:dyDescent="0.2">
      <c r="B8" s="559"/>
      <c r="C8" s="560" t="s">
        <v>798</v>
      </c>
      <c r="D8" s="560">
        <v>2016</v>
      </c>
      <c r="E8" s="560">
        <v>2017</v>
      </c>
      <c r="F8" s="560">
        <f>+E8+1</f>
        <v>2018</v>
      </c>
      <c r="G8" s="560">
        <f>+F8+1</f>
        <v>2019</v>
      </c>
      <c r="H8" s="560">
        <f>+G8+1</f>
        <v>2020</v>
      </c>
      <c r="I8" s="561">
        <f>+H8+1</f>
        <v>2021</v>
      </c>
    </row>
    <row r="9" spans="2:14" s="558" customFormat="1" outlineLevel="1" x14ac:dyDescent="0.2">
      <c r="B9" s="562" t="s">
        <v>799</v>
      </c>
      <c r="C9" s="563" t="s">
        <v>633</v>
      </c>
      <c r="D9" s="564"/>
      <c r="E9" s="764">
        <v>1.9742400000000004E-2</v>
      </c>
      <c r="F9" s="564">
        <f>$E$9</f>
        <v>1.9742400000000004E-2</v>
      </c>
      <c r="G9" s="564">
        <f t="shared" ref="G9:I9" si="0">$E$9</f>
        <v>1.9742400000000004E-2</v>
      </c>
      <c r="H9" s="564">
        <f t="shared" si="0"/>
        <v>1.9742400000000004E-2</v>
      </c>
      <c r="I9" s="565">
        <f t="shared" si="0"/>
        <v>1.9742400000000004E-2</v>
      </c>
      <c r="J9" s="566"/>
      <c r="K9" s="566"/>
      <c r="N9" s="567"/>
    </row>
    <row r="10" spans="2:14" s="558" customFormat="1" ht="13.5" outlineLevel="1" thickBot="1" x14ac:dyDescent="0.25">
      <c r="B10" s="568" t="s">
        <v>800</v>
      </c>
      <c r="C10" s="569" t="s">
        <v>633</v>
      </c>
      <c r="D10" s="570"/>
      <c r="E10" s="571">
        <v>7.9074074074074064E-3</v>
      </c>
      <c r="F10" s="570">
        <f>$E$10</f>
        <v>7.9074074074074064E-3</v>
      </c>
      <c r="G10" s="570">
        <f t="shared" ref="G10:I10" si="1">$E$10</f>
        <v>7.9074074074074064E-3</v>
      </c>
      <c r="H10" s="570">
        <f t="shared" si="1"/>
        <v>7.9074074074074064E-3</v>
      </c>
      <c r="I10" s="572">
        <f t="shared" si="1"/>
        <v>7.9074074074074064E-3</v>
      </c>
      <c r="J10" s="566"/>
      <c r="K10" s="566"/>
    </row>
    <row r="11" spans="2:14" s="558" customFormat="1" ht="13.5" outlineLevel="1" thickBot="1" x14ac:dyDescent="0.25">
      <c r="E11" s="573"/>
      <c r="F11" s="573"/>
      <c r="G11" s="573"/>
      <c r="H11" s="573"/>
      <c r="I11" s="573"/>
      <c r="J11" s="566"/>
      <c r="K11" s="566"/>
    </row>
    <row r="12" spans="2:14" s="558" customFormat="1" outlineLevel="1" x14ac:dyDescent="0.2">
      <c r="B12" s="574" t="s">
        <v>801</v>
      </c>
      <c r="C12" s="575" t="s">
        <v>633</v>
      </c>
      <c r="D12" s="576">
        <v>3.5000000000000003E-2</v>
      </c>
      <c r="E12" s="573"/>
      <c r="F12" s="573"/>
      <c r="G12" s="573"/>
      <c r="H12" s="573"/>
      <c r="I12" s="573"/>
      <c r="J12" s="577"/>
      <c r="K12" s="577"/>
    </row>
    <row r="13" spans="2:14" s="558" customFormat="1" ht="13.5" outlineLevel="1" thickBot="1" x14ac:dyDescent="0.25">
      <c r="B13" s="578" t="s">
        <v>802</v>
      </c>
      <c r="C13" s="579" t="s">
        <v>633</v>
      </c>
      <c r="D13" s="580">
        <v>7.7600000000000002E-2</v>
      </c>
      <c r="E13" s="573"/>
      <c r="F13" s="573"/>
      <c r="G13" s="573"/>
      <c r="H13" s="573"/>
      <c r="I13" s="573"/>
      <c r="J13" s="577"/>
      <c r="K13" s="577"/>
    </row>
    <row r="14" spans="2:14" outlineLevel="1" x14ac:dyDescent="0.2">
      <c r="B14" s="581"/>
      <c r="J14" s="582"/>
      <c r="K14" s="582"/>
    </row>
    <row r="15" spans="2:14" s="89" customFormat="1" outlineLevel="1" x14ac:dyDescent="0.2">
      <c r="B15" s="107" t="s">
        <v>415</v>
      </c>
    </row>
    <row r="16" spans="2:14" ht="13.5" customHeight="1" outlineLevel="1" x14ac:dyDescent="0.2">
      <c r="B16" s="555" t="s">
        <v>1028</v>
      </c>
      <c r="C16" s="555"/>
      <c r="D16" s="555"/>
      <c r="E16" s="555"/>
      <c r="F16" s="555"/>
      <c r="G16" s="555"/>
      <c r="H16" s="555"/>
      <c r="I16" s="555"/>
    </row>
    <row r="17" spans="2:13" ht="13.5" customHeight="1" outlineLevel="1" thickBot="1" x14ac:dyDescent="0.25">
      <c r="B17" s="583"/>
      <c r="C17" s="555"/>
      <c r="D17" s="555"/>
      <c r="E17" s="555"/>
      <c r="F17" s="555"/>
      <c r="G17" s="555"/>
      <c r="H17" s="555"/>
      <c r="I17" s="555"/>
    </row>
    <row r="18" spans="2:13" ht="13.5" customHeight="1" outlineLevel="1" x14ac:dyDescent="0.2">
      <c r="B18" s="559" t="s">
        <v>777</v>
      </c>
      <c r="C18" s="560" t="s">
        <v>798</v>
      </c>
      <c r="D18" s="560">
        <f>D$8</f>
        <v>2016</v>
      </c>
      <c r="E18" s="560">
        <f t="shared" ref="E18:I18" si="2">E$8</f>
        <v>2017</v>
      </c>
      <c r="F18" s="560">
        <f t="shared" si="2"/>
        <v>2018</v>
      </c>
      <c r="G18" s="560">
        <f t="shared" si="2"/>
        <v>2019</v>
      </c>
      <c r="H18" s="560">
        <f t="shared" si="2"/>
        <v>2020</v>
      </c>
      <c r="I18" s="561">
        <f t="shared" si="2"/>
        <v>2021</v>
      </c>
    </row>
    <row r="19" spans="2:13" outlineLevel="1" x14ac:dyDescent="0.2">
      <c r="B19" s="584" t="s">
        <v>803</v>
      </c>
      <c r="C19" s="563" t="s">
        <v>804</v>
      </c>
      <c r="D19" s="585">
        <f>'Activos Reconocidos'!C64/1000</f>
        <v>413319.11996403383</v>
      </c>
      <c r="E19" s="585">
        <f>'Activos Reconocidos'!D64/1000</f>
        <v>413319.11996403383</v>
      </c>
      <c r="F19" s="585">
        <f>'Activos Reconocidos'!E64/1000</f>
        <v>413319.11996403383</v>
      </c>
      <c r="G19" s="585">
        <f>'Activos Reconocidos'!F64/1000</f>
        <v>413319.11996403383</v>
      </c>
      <c r="H19" s="585">
        <f>'Activos Reconocidos'!G64/1000</f>
        <v>413319.11996403383</v>
      </c>
      <c r="I19" s="586">
        <f>'Activos Reconocidos'!H64/1000</f>
        <v>413319.11996403383</v>
      </c>
    </row>
    <row r="20" spans="2:13" outlineLevel="1" x14ac:dyDescent="0.2">
      <c r="B20" s="584" t="s">
        <v>805</v>
      </c>
      <c r="C20" s="563" t="s">
        <v>804</v>
      </c>
      <c r="D20" s="585">
        <f>'Activos Reconocidos'!C68/1000</f>
        <v>0</v>
      </c>
      <c r="E20" s="585">
        <f>'Activos Reconocidos'!D68/1000</f>
        <v>345480.16800000001</v>
      </c>
      <c r="F20" s="585">
        <f>'Activos Reconocidos'!E68/1000</f>
        <v>345480.16800000001</v>
      </c>
      <c r="G20" s="585">
        <f>'Activos Reconocidos'!F68/1000</f>
        <v>345480.16800000001</v>
      </c>
      <c r="H20" s="585">
        <f>'Activos Reconocidos'!G68/1000</f>
        <v>345480.16800000001</v>
      </c>
      <c r="I20" s="586">
        <f>'Activos Reconocidos'!H68/1000</f>
        <v>345480.16800000001</v>
      </c>
    </row>
    <row r="21" spans="2:13" outlineLevel="1" x14ac:dyDescent="0.2">
      <c r="B21" s="584" t="s">
        <v>806</v>
      </c>
      <c r="C21" s="563" t="s">
        <v>804</v>
      </c>
      <c r="D21" s="585">
        <f>'Activos Reconocidos'!C184/1000</f>
        <v>30496.959555000001</v>
      </c>
      <c r="E21" s="585">
        <f>'Activos Reconocidos'!D184/1000</f>
        <v>34548.959555000001</v>
      </c>
      <c r="F21" s="585">
        <f>'Activos Reconocidos'!E184/1000</f>
        <v>40875.959555000001</v>
      </c>
      <c r="G21" s="585">
        <f>'Activos Reconocidos'!F184/1000</f>
        <v>42953.959555000001</v>
      </c>
      <c r="H21" s="585">
        <f>'Activos Reconocidos'!G184/1000</f>
        <v>45802.959555000001</v>
      </c>
      <c r="I21" s="586">
        <f>'Activos Reconocidos'!H184/1000</f>
        <v>45802.959555000001</v>
      </c>
    </row>
    <row r="22" spans="2:13" outlineLevel="1" x14ac:dyDescent="0.2">
      <c r="B22" s="587" t="s">
        <v>807</v>
      </c>
      <c r="C22" s="588" t="s">
        <v>804</v>
      </c>
      <c r="D22" s="589">
        <f>+'Activos Reconocidos'!C257/1000</f>
        <v>0</v>
      </c>
      <c r="E22" s="589">
        <f>+'Activos Reconocidos'!D257/1000</f>
        <v>0</v>
      </c>
      <c r="F22" s="589">
        <f>+'Activos Reconocidos'!E257/1000</f>
        <v>0</v>
      </c>
      <c r="G22" s="589">
        <f>+'Activos Reconocidos'!F257/1000</f>
        <v>0</v>
      </c>
      <c r="H22" s="589">
        <f>+'Activos Reconocidos'!G257/1000</f>
        <v>0</v>
      </c>
      <c r="I22" s="590">
        <f>+'Activos Reconocidos'!H257/1000</f>
        <v>0</v>
      </c>
    </row>
    <row r="23" spans="2:13" outlineLevel="1" x14ac:dyDescent="0.2">
      <c r="B23" s="584" t="s">
        <v>808</v>
      </c>
      <c r="C23" s="563" t="s">
        <v>804</v>
      </c>
      <c r="D23" s="585">
        <f>'Activos Reconocidos'!C62/1000</f>
        <v>204259.9661240339</v>
      </c>
      <c r="E23" s="585">
        <f>'Activos Reconocidos'!D62/1000</f>
        <v>188786.04443471515</v>
      </c>
      <c r="F23" s="585">
        <f>'Activos Reconocidos'!E62/1000</f>
        <v>173312.12274539642</v>
      </c>
      <c r="G23" s="585">
        <f>'Activos Reconocidos'!F62/1000</f>
        <v>157838.20105607776</v>
      </c>
      <c r="H23" s="585">
        <f>'Activos Reconocidos'!G62/1000</f>
        <v>142364.27936675903</v>
      </c>
      <c r="I23" s="586">
        <f>'Activos Reconocidos'!H62/1000</f>
        <v>126890.35767744032</v>
      </c>
    </row>
    <row r="24" spans="2:13" outlineLevel="1" x14ac:dyDescent="0.2">
      <c r="B24" s="584" t="s">
        <v>809</v>
      </c>
      <c r="C24" s="563" t="s">
        <v>804</v>
      </c>
      <c r="D24" s="585">
        <f>'Activos Reconocidos'!C66/1000</f>
        <v>0</v>
      </c>
      <c r="E24" s="585">
        <f>'Activos Reconocidos'!D66/1000</f>
        <v>339449.17887037195</v>
      </c>
      <c r="F24" s="585">
        <f>'Activos Reconocidos'!E66/1000</f>
        <v>327413.30672753748</v>
      </c>
      <c r="G24" s="585">
        <f>'Activos Reconocidos'!F66/1000</f>
        <v>315377.43458470295</v>
      </c>
      <c r="H24" s="585">
        <f>'Activos Reconocidos'!G66/1000</f>
        <v>303341.56244186847</v>
      </c>
      <c r="I24" s="586">
        <f>'Activos Reconocidos'!H66/1000</f>
        <v>291305.690299034</v>
      </c>
    </row>
    <row r="25" spans="2:13" outlineLevel="1" x14ac:dyDescent="0.2">
      <c r="B25" s="584" t="s">
        <v>810</v>
      </c>
      <c r="C25" s="563" t="s">
        <v>804</v>
      </c>
      <c r="D25" s="585">
        <f>'Activos Reconocidos'!C185/1000</f>
        <v>14766.818485</v>
      </c>
      <c r="E25" s="585">
        <f>'Activos Reconocidos'!D185/1000</f>
        <v>17984.387026563571</v>
      </c>
      <c r="F25" s="585">
        <f>'Activos Reconocidos'!E185/1000</f>
        <v>23281.688650318916</v>
      </c>
      <c r="G25" s="585">
        <f>'Activos Reconocidos'!F185/1000</f>
        <v>24208.367671334541</v>
      </c>
      <c r="H25" s="585">
        <f>'Activos Reconocidos'!G185/1000</f>
        <v>25857.001815637836</v>
      </c>
      <c r="I25" s="586">
        <f>'Activos Reconocidos'!H185/1000</f>
        <v>24582.054603776745</v>
      </c>
    </row>
    <row r="26" spans="2:13" ht="13.5" outlineLevel="1" thickBot="1" x14ac:dyDescent="0.25">
      <c r="B26" s="591" t="s">
        <v>811</v>
      </c>
      <c r="C26" s="592" t="s">
        <v>804</v>
      </c>
      <c r="D26" s="731">
        <f>+'Activos Reconocidos'!C260/1000</f>
        <v>0</v>
      </c>
      <c r="E26" s="731">
        <f>+'Activos Reconocidos'!D260/1000</f>
        <v>0</v>
      </c>
      <c r="F26" s="731">
        <f>+'Activos Reconocidos'!E260/1000</f>
        <v>0</v>
      </c>
      <c r="G26" s="731">
        <f>+'Activos Reconocidos'!F260/1000</f>
        <v>0</v>
      </c>
      <c r="H26" s="731">
        <f>+'Activos Reconocidos'!G260/1000</f>
        <v>0</v>
      </c>
      <c r="I26" s="732">
        <f>+'Activos Reconocidos'!H260/1000</f>
        <v>0</v>
      </c>
    </row>
    <row r="27" spans="2:13" outlineLevel="1" x14ac:dyDescent="0.2">
      <c r="B27" s="594"/>
      <c r="C27" s="595"/>
      <c r="D27" s="596"/>
      <c r="E27" s="596"/>
      <c r="F27" s="596"/>
      <c r="G27" s="596"/>
      <c r="H27" s="596"/>
      <c r="I27" s="596"/>
    </row>
    <row r="28" spans="2:13" ht="13.5" hidden="1" outlineLevel="1" thickBot="1" x14ac:dyDescent="0.25">
      <c r="B28" s="597" t="s">
        <v>778</v>
      </c>
      <c r="C28" s="560" t="s">
        <v>798</v>
      </c>
      <c r="D28" s="560">
        <f>D$8</f>
        <v>2016</v>
      </c>
      <c r="E28" s="560">
        <f t="shared" ref="E28:I28" si="3">E$8</f>
        <v>2017</v>
      </c>
      <c r="F28" s="560">
        <f t="shared" si="3"/>
        <v>2018</v>
      </c>
      <c r="G28" s="560">
        <f t="shared" si="3"/>
        <v>2019</v>
      </c>
      <c r="H28" s="560">
        <f t="shared" si="3"/>
        <v>2020</v>
      </c>
      <c r="I28" s="561">
        <f t="shared" si="3"/>
        <v>2021</v>
      </c>
      <c r="K28" s="767" t="s">
        <v>1046</v>
      </c>
      <c r="L28" s="767" t="s">
        <v>1045</v>
      </c>
    </row>
    <row r="29" spans="2:13" hidden="1" outlineLevel="1" x14ac:dyDescent="0.2">
      <c r="B29" s="584" t="s">
        <v>812</v>
      </c>
      <c r="C29" s="563" t="s">
        <v>804</v>
      </c>
      <c r="D29" s="589"/>
      <c r="E29" s="589">
        <f>IF($K29="SI",'Activos Reconocidos'!D153/1000,0)</f>
        <v>0</v>
      </c>
      <c r="F29" s="596">
        <f>IF($K29="SI",'Activos Reconocidos'!E153/1000,0)</f>
        <v>0</v>
      </c>
      <c r="G29" s="589">
        <f>IF($K29="SI",'Activos Reconocidos'!F153/1000,0)</f>
        <v>0</v>
      </c>
      <c r="H29" s="589">
        <f>IF($K29="SI",'Activos Reconocidos'!G153/1000,0)</f>
        <v>0</v>
      </c>
      <c r="I29" s="598">
        <f>IF($K29="SI",'Activos Reconocidos'!H153/1000,0)</f>
        <v>0</v>
      </c>
      <c r="K29" s="768" t="s">
        <v>1043</v>
      </c>
      <c r="L29" s="771" t="s">
        <v>1037</v>
      </c>
      <c r="M29" s="766" t="s">
        <v>1042</v>
      </c>
    </row>
    <row r="30" spans="2:13" hidden="1" outlineLevel="1" x14ac:dyDescent="0.2">
      <c r="B30" s="584" t="s">
        <v>813</v>
      </c>
      <c r="C30" s="563" t="s">
        <v>804</v>
      </c>
      <c r="D30" s="589"/>
      <c r="E30" s="589">
        <f>IF($K30="SI",'Activos Reconocidos'!D158/1000,0)</f>
        <v>0</v>
      </c>
      <c r="F30" s="596">
        <f>IF($K30="SI",'Activos Reconocidos'!E158/1000,0)</f>
        <v>0</v>
      </c>
      <c r="G30" s="589">
        <f>IF($K30="SI",'Activos Reconocidos'!F158/1000,0)</f>
        <v>0</v>
      </c>
      <c r="H30" s="589">
        <f>IF($K30="SI",'Activos Reconocidos'!G158/1000,0)</f>
        <v>0</v>
      </c>
      <c r="I30" s="598">
        <f>IF($K30="SI",'Activos Reconocidos'!H158/1000,0)</f>
        <v>0</v>
      </c>
      <c r="K30" s="769" t="s">
        <v>1043</v>
      </c>
      <c r="L30" s="772" t="s">
        <v>1036</v>
      </c>
      <c r="M30" s="766" t="s">
        <v>1043</v>
      </c>
    </row>
    <row r="31" spans="2:13" hidden="1" outlineLevel="1" x14ac:dyDescent="0.2">
      <c r="B31" s="584" t="s">
        <v>814</v>
      </c>
      <c r="C31" s="563" t="s">
        <v>804</v>
      </c>
      <c r="D31" s="589"/>
      <c r="E31" s="589">
        <f>IF($K31="SI",'Activos Reconocidos'!D151/1000,0)</f>
        <v>0</v>
      </c>
      <c r="F31" s="596">
        <f>IF($K31="SI",'Activos Reconocidos'!E151/1000,0)</f>
        <v>0</v>
      </c>
      <c r="G31" s="589">
        <f>IF($K31="SI",'Activos Reconocidos'!F151/1000,0)</f>
        <v>0</v>
      </c>
      <c r="H31" s="589">
        <f>IF($K31="SI",'Activos Reconocidos'!G151/1000,0)</f>
        <v>0</v>
      </c>
      <c r="I31" s="598">
        <f>IF($K31="SI",'Activos Reconocidos'!H151/1000,0)</f>
        <v>0</v>
      </c>
      <c r="K31" s="769" t="s">
        <v>1043</v>
      </c>
      <c r="L31" s="772"/>
    </row>
    <row r="32" spans="2:13" ht="13.5" hidden="1" outlineLevel="1" thickBot="1" x14ac:dyDescent="0.25">
      <c r="B32" s="599" t="s">
        <v>815</v>
      </c>
      <c r="C32" s="569" t="s">
        <v>804</v>
      </c>
      <c r="D32" s="593"/>
      <c r="E32" s="593">
        <f>IF($K32="SI",'Activos Reconocidos'!D156/1000,0)</f>
        <v>0</v>
      </c>
      <c r="F32" s="600">
        <f>IF($K32="SI",'Activos Reconocidos'!E156/1000,0)</f>
        <v>0</v>
      </c>
      <c r="G32" s="593">
        <f>IF($K32="SI",'Activos Reconocidos'!F156/1000,0)</f>
        <v>0</v>
      </c>
      <c r="H32" s="593">
        <f>IF($K32="SI",'Activos Reconocidos'!G156/1000,0)</f>
        <v>0</v>
      </c>
      <c r="I32" s="601">
        <f>IF($K32="SI",'Activos Reconocidos'!H156/1000,0)</f>
        <v>0</v>
      </c>
      <c r="K32" s="770" t="s">
        <v>1043</v>
      </c>
      <c r="L32" s="773"/>
    </row>
    <row r="33" spans="1:13" ht="13.5" hidden="1" outlineLevel="1" thickBot="1" x14ac:dyDescent="0.25">
      <c r="B33" s="581"/>
      <c r="C33" s="602"/>
      <c r="D33" s="596"/>
      <c r="E33" s="596"/>
      <c r="F33" s="596"/>
      <c r="G33" s="596"/>
      <c r="H33" s="596"/>
      <c r="I33" s="596"/>
    </row>
    <row r="34" spans="1:13" ht="13.5" hidden="1" outlineLevel="1" thickBot="1" x14ac:dyDescent="0.25">
      <c r="B34" s="597" t="s">
        <v>1002</v>
      </c>
      <c r="C34" s="560" t="s">
        <v>798</v>
      </c>
      <c r="D34" s="560">
        <f>D$8</f>
        <v>2016</v>
      </c>
      <c r="E34" s="560">
        <f t="shared" ref="E34:I34" si="4">E$8</f>
        <v>2017</v>
      </c>
      <c r="F34" s="560">
        <f t="shared" si="4"/>
        <v>2018</v>
      </c>
      <c r="G34" s="560">
        <f t="shared" si="4"/>
        <v>2019</v>
      </c>
      <c r="H34" s="560">
        <f t="shared" si="4"/>
        <v>2020</v>
      </c>
      <c r="I34" s="561">
        <f t="shared" si="4"/>
        <v>2021</v>
      </c>
      <c r="K34" s="767" t="s">
        <v>1046</v>
      </c>
      <c r="L34" s="767" t="s">
        <v>1045</v>
      </c>
    </row>
    <row r="35" spans="1:13" hidden="1" outlineLevel="1" x14ac:dyDescent="0.2">
      <c r="B35" s="584" t="s">
        <v>1029</v>
      </c>
      <c r="C35" s="563" t="s">
        <v>804</v>
      </c>
      <c r="D35" s="765"/>
      <c r="E35" s="589">
        <f>IF($K35="SI",'Activos Reconocidos'!D69/1000,0)</f>
        <v>173114.76168767121</v>
      </c>
      <c r="F35" s="596">
        <f>IF($K35="SI",'Activos Reconocidos'!E69/1000,0)</f>
        <v>0</v>
      </c>
      <c r="G35" s="589">
        <f>IF($K35="SI",'Activos Reconocidos'!F69/1000,0)</f>
        <v>0</v>
      </c>
      <c r="H35" s="589">
        <f>IF($K35="SI",'Activos Reconocidos'!G69/1000,0)</f>
        <v>0</v>
      </c>
      <c r="I35" s="598">
        <f>IF($K35="SI",'Activos Reconocidos'!H69/1000,0)</f>
        <v>0</v>
      </c>
      <c r="K35" s="768" t="s">
        <v>1042</v>
      </c>
      <c r="L35" s="771" t="s">
        <v>1044</v>
      </c>
      <c r="M35" s="603"/>
    </row>
    <row r="36" spans="1:13" hidden="1" outlineLevel="1" x14ac:dyDescent="0.2">
      <c r="B36" s="584" t="s">
        <v>816</v>
      </c>
      <c r="C36" s="563" t="s">
        <v>804</v>
      </c>
      <c r="D36" s="589"/>
      <c r="E36" s="589">
        <f>IF($K36="SI",'Activos Reconocidos'!D154/1000,0)</f>
        <v>0</v>
      </c>
      <c r="F36" s="596">
        <f>IF($K36="SI",'Activos Reconocidos'!E154/1000,0)</f>
        <v>0</v>
      </c>
      <c r="G36" s="589">
        <f>IF($K36="SI",'Activos Reconocidos'!F154/1000,0)</f>
        <v>0</v>
      </c>
      <c r="H36" s="589">
        <f>IF($K36="SI",'Activos Reconocidos'!G154/1000,0)</f>
        <v>0</v>
      </c>
      <c r="I36" s="598">
        <f>IF($K36="SI",'Activos Reconocidos'!H154/1000,0)</f>
        <v>0</v>
      </c>
      <c r="K36" s="769" t="s">
        <v>1043</v>
      </c>
      <c r="L36" s="772"/>
    </row>
    <row r="37" spans="1:13" hidden="1" outlineLevel="1" x14ac:dyDescent="0.2">
      <c r="B37" s="584" t="s">
        <v>817</v>
      </c>
      <c r="C37" s="563" t="s">
        <v>804</v>
      </c>
      <c r="D37" s="589"/>
      <c r="E37" s="589">
        <f>IF($K37="SI",'Activos Reconocidos'!D159/1000,0)</f>
        <v>0</v>
      </c>
      <c r="F37" s="596">
        <f>IF($K37="SI",'Activos Reconocidos'!E159/1000,0)</f>
        <v>0</v>
      </c>
      <c r="G37" s="589">
        <f>IF($K37="SI",'Activos Reconocidos'!F159/1000,0)</f>
        <v>0</v>
      </c>
      <c r="H37" s="589">
        <f>IF($K37="SI",'Activos Reconocidos'!G159/1000,0)</f>
        <v>0</v>
      </c>
      <c r="I37" s="598">
        <f>IF($K37="SI",'Activos Reconocidos'!H159/1000,0)</f>
        <v>0</v>
      </c>
      <c r="K37" s="769" t="s">
        <v>1043</v>
      </c>
      <c r="L37" s="772"/>
      <c r="M37" s="603"/>
    </row>
    <row r="38" spans="1:13" ht="13.5" hidden="1" outlineLevel="1" thickBot="1" x14ac:dyDescent="0.25">
      <c r="B38" s="599" t="s">
        <v>818</v>
      </c>
      <c r="C38" s="569" t="s">
        <v>804</v>
      </c>
      <c r="D38" s="593"/>
      <c r="E38" s="593">
        <f>IF($K38="SI",'Activos Reconocidos'!D176/1000,0)</f>
        <v>0</v>
      </c>
      <c r="F38" s="600">
        <f>IF($K38="SI",'Activos Reconocidos'!E176/1000,0)</f>
        <v>0</v>
      </c>
      <c r="G38" s="593">
        <f>IF($K38="SI",'Activos Reconocidos'!F176/1000,0)</f>
        <v>0</v>
      </c>
      <c r="H38" s="593">
        <f>IF($K38="SI",'Activos Reconocidos'!G176/1000,0)</f>
        <v>0</v>
      </c>
      <c r="I38" s="601">
        <f>IF($K38="SI",'Activos Reconocidos'!H176/1000,0)</f>
        <v>0</v>
      </c>
      <c r="K38" s="770" t="s">
        <v>1043</v>
      </c>
      <c r="L38" s="773"/>
      <c r="M38" s="603"/>
    </row>
    <row r="39" spans="1:13" hidden="1" outlineLevel="1" x14ac:dyDescent="0.2">
      <c r="B39" s="594"/>
      <c r="C39" s="604"/>
      <c r="D39" s="605"/>
      <c r="E39" s="605"/>
      <c r="F39" s="605"/>
      <c r="G39" s="605"/>
      <c r="H39" s="605"/>
      <c r="I39" s="605"/>
    </row>
    <row r="40" spans="1:13" s="89" customFormat="1" outlineLevel="1" x14ac:dyDescent="0.2">
      <c r="B40" s="107" t="s">
        <v>779</v>
      </c>
    </row>
    <row r="41" spans="1:13" outlineLevel="1" x14ac:dyDescent="0.2">
      <c r="B41" s="555" t="s">
        <v>1028</v>
      </c>
      <c r="C41" s="555"/>
      <c r="D41" s="555"/>
      <c r="E41" s="555"/>
      <c r="F41" s="555"/>
      <c r="G41" s="555"/>
      <c r="H41" s="555"/>
      <c r="I41" s="555"/>
      <c r="J41" s="606"/>
      <c r="K41" s="606"/>
    </row>
    <row r="42" spans="1:13" ht="13.5" outlineLevel="1" thickBot="1" x14ac:dyDescent="0.25">
      <c r="B42" s="583"/>
      <c r="C42" s="555"/>
      <c r="D42" s="555"/>
      <c r="E42" s="555"/>
      <c r="F42" s="555"/>
      <c r="G42" s="555"/>
      <c r="H42" s="555"/>
      <c r="I42" s="555"/>
      <c r="J42" s="606"/>
      <c r="K42" s="606"/>
    </row>
    <row r="43" spans="1:13" outlineLevel="1" x14ac:dyDescent="0.2">
      <c r="B43" s="597" t="s">
        <v>819</v>
      </c>
      <c r="C43" s="560" t="s">
        <v>798</v>
      </c>
      <c r="D43" s="560">
        <f>D$8</f>
        <v>2016</v>
      </c>
      <c r="E43" s="560">
        <f t="shared" ref="E43:I43" si="5">E$8</f>
        <v>2017</v>
      </c>
      <c r="F43" s="560">
        <f t="shared" si="5"/>
        <v>2018</v>
      </c>
      <c r="G43" s="560">
        <f t="shared" si="5"/>
        <v>2019</v>
      </c>
      <c r="H43" s="560">
        <f t="shared" si="5"/>
        <v>2020</v>
      </c>
      <c r="I43" s="561">
        <f t="shared" si="5"/>
        <v>2021</v>
      </c>
      <c r="J43" s="606"/>
      <c r="K43" s="606"/>
    </row>
    <row r="44" spans="1:13" outlineLevel="1" x14ac:dyDescent="0.2">
      <c r="B44" s="584" t="s">
        <v>820</v>
      </c>
      <c r="C44" s="563" t="s">
        <v>804</v>
      </c>
      <c r="D44" s="585">
        <f>('Activos Reconocidos'!C193+'Activos Reconocidos'!C195)/1000</f>
        <v>798705.00513052323</v>
      </c>
      <c r="E44" s="585">
        <f>('Activos Reconocidos'!D193+'Activos Reconocidos'!D195)/1000</f>
        <v>798705.00513052323</v>
      </c>
      <c r="F44" s="607">
        <f>('Activos Reconocidos'!E193+'Activos Reconocidos'!E195)/1000</f>
        <v>798705.00513052323</v>
      </c>
      <c r="G44" s="585">
        <f>('Activos Reconocidos'!F193+'Activos Reconocidos'!F195)/1000</f>
        <v>798705.00513052323</v>
      </c>
      <c r="H44" s="585">
        <f>('Activos Reconocidos'!G193+'Activos Reconocidos'!G195)/1000</f>
        <v>798705.00513052323</v>
      </c>
      <c r="I44" s="608">
        <f>('Activos Reconocidos'!H193+'Activos Reconocidos'!H195)/1000</f>
        <v>798705.00513052323</v>
      </c>
      <c r="J44" s="609"/>
      <c r="K44" s="609"/>
    </row>
    <row r="45" spans="1:13" outlineLevel="1" x14ac:dyDescent="0.2">
      <c r="B45" s="584" t="s">
        <v>821</v>
      </c>
      <c r="C45" s="563" t="s">
        <v>804</v>
      </c>
      <c r="D45" s="585">
        <f>('Activos Reconocidos'!C194+'Activos Reconocidos'!C196)/1000</f>
        <v>0</v>
      </c>
      <c r="E45" s="585">
        <f>('Activos Reconocidos'!D194+'Activos Reconocidos'!D196)/1000</f>
        <v>345480.16800000001</v>
      </c>
      <c r="F45" s="607">
        <f>('Activos Reconocidos'!E194+'Activos Reconocidos'!E196)/1000</f>
        <v>345480.16800000001</v>
      </c>
      <c r="G45" s="585">
        <f>('Activos Reconocidos'!F194+'Activos Reconocidos'!F196)/1000</f>
        <v>345480.16800000001</v>
      </c>
      <c r="H45" s="585">
        <f>('Activos Reconocidos'!G194+'Activos Reconocidos'!G196)/1000</f>
        <v>345480.16800000001</v>
      </c>
      <c r="I45" s="608">
        <f>('Activos Reconocidos'!H194+'Activos Reconocidos'!H196)/1000</f>
        <v>345480.16800000001</v>
      </c>
      <c r="J45" s="609"/>
      <c r="K45" s="609"/>
    </row>
    <row r="46" spans="1:13" s="555" customFormat="1" ht="13.5" outlineLevel="1" thickBot="1" x14ac:dyDescent="0.25">
      <c r="B46" s="591" t="s">
        <v>822</v>
      </c>
      <c r="C46" s="592" t="s">
        <v>804</v>
      </c>
      <c r="D46" s="593">
        <f>'Activos Reconocidos'!C197/1000</f>
        <v>65601.620907903925</v>
      </c>
      <c r="E46" s="593">
        <f>'Activos Reconocidos'!D197/1000</f>
        <v>69653.620907903925</v>
      </c>
      <c r="F46" s="600">
        <f>'Activos Reconocidos'!E197/1000</f>
        <v>75980.620907903925</v>
      </c>
      <c r="G46" s="593">
        <f>'Activos Reconocidos'!F197/1000</f>
        <v>78058.620907903925</v>
      </c>
      <c r="H46" s="593">
        <f>'Activos Reconocidos'!G197/1000</f>
        <v>80907.620907903925</v>
      </c>
      <c r="I46" s="601">
        <f>'Activos Reconocidos'!H197/1000</f>
        <v>80907.620907903925</v>
      </c>
      <c r="J46" s="610"/>
      <c r="K46" s="610"/>
    </row>
    <row r="47" spans="1:13" ht="13.5" outlineLevel="1" thickBot="1" x14ac:dyDescent="0.25">
      <c r="A47" s="558"/>
      <c r="B47" s="581"/>
      <c r="C47" s="602"/>
      <c r="D47" s="607"/>
      <c r="E47" s="607"/>
      <c r="F47" s="607"/>
      <c r="G47" s="607"/>
      <c r="H47" s="607"/>
      <c r="I47" s="607"/>
      <c r="J47" s="609"/>
      <c r="K47" s="609"/>
    </row>
    <row r="48" spans="1:13" ht="13.5" hidden="1" outlineLevel="1" thickBot="1" x14ac:dyDescent="0.25">
      <c r="B48" s="597" t="s">
        <v>823</v>
      </c>
      <c r="C48" s="560"/>
      <c r="D48" s="560">
        <f>D$8</f>
        <v>2016</v>
      </c>
      <c r="E48" s="560">
        <f t="shared" ref="E48:I48" si="6">E$8</f>
        <v>2017</v>
      </c>
      <c r="F48" s="560">
        <f t="shared" si="6"/>
        <v>2018</v>
      </c>
      <c r="G48" s="560">
        <f t="shared" si="6"/>
        <v>2019</v>
      </c>
      <c r="H48" s="560">
        <f t="shared" si="6"/>
        <v>2020</v>
      </c>
      <c r="I48" s="561">
        <f t="shared" si="6"/>
        <v>2021</v>
      </c>
      <c r="J48" s="609"/>
      <c r="K48" s="767" t="s">
        <v>1046</v>
      </c>
      <c r="L48" s="767" t="s">
        <v>1045</v>
      </c>
    </row>
    <row r="49" spans="2:13" hidden="1" outlineLevel="1" x14ac:dyDescent="0.2">
      <c r="B49" s="584" t="s">
        <v>824</v>
      </c>
      <c r="C49" s="563" t="s">
        <v>804</v>
      </c>
      <c r="D49" s="585"/>
      <c r="E49" s="585">
        <f>IF($K49="SI",('Activos Reconocidos'!D206+'Activos Reconocidos'!D208)/1000,0)</f>
        <v>0</v>
      </c>
      <c r="F49" s="607">
        <f>IF($K49="SI",('Activos Reconocidos'!E206+'Activos Reconocidos'!E208)/1000,0)</f>
        <v>0</v>
      </c>
      <c r="G49" s="585">
        <f>IF($K49="SI",('Activos Reconocidos'!F206+'Activos Reconocidos'!F208)/1000,0)</f>
        <v>0</v>
      </c>
      <c r="H49" s="585">
        <f>IF($K49="SI",('Activos Reconocidos'!G206+'Activos Reconocidos'!G208)/1000,0)</f>
        <v>0</v>
      </c>
      <c r="I49" s="608">
        <f>IF($K49="SI",('Activos Reconocidos'!H206+'Activos Reconocidos'!H208)/1000,0)</f>
        <v>0</v>
      </c>
      <c r="J49" s="609"/>
      <c r="K49" s="768" t="s">
        <v>1043</v>
      </c>
      <c r="L49" s="771" t="s">
        <v>1047</v>
      </c>
    </row>
    <row r="50" spans="2:13" hidden="1" outlineLevel="1" x14ac:dyDescent="0.2">
      <c r="B50" s="584" t="s">
        <v>825</v>
      </c>
      <c r="C50" s="563" t="s">
        <v>804</v>
      </c>
      <c r="D50" s="585"/>
      <c r="E50" s="585">
        <f>IF($K50="SI",('Activos Reconocidos'!D207+'Activos Reconocidos'!D209)/1000,0)</f>
        <v>0</v>
      </c>
      <c r="F50" s="607">
        <f>IF($K50="SI",('Activos Reconocidos'!E207+'Activos Reconocidos'!E209)/1000,0)</f>
        <v>0</v>
      </c>
      <c r="G50" s="585">
        <f>IF($K50="SI",('Activos Reconocidos'!F207+'Activos Reconocidos'!F209)/1000,0)</f>
        <v>0</v>
      </c>
      <c r="H50" s="585">
        <f>IF($K50="SI",('Activos Reconocidos'!G207+'Activos Reconocidos'!G209)/1000,0)</f>
        <v>0</v>
      </c>
      <c r="I50" s="608">
        <f>IF($K50="SI",('Activos Reconocidos'!H207+'Activos Reconocidos'!H209)/1000,0)</f>
        <v>0</v>
      </c>
      <c r="J50" s="609"/>
      <c r="K50" s="769" t="s">
        <v>1043</v>
      </c>
      <c r="L50" s="772"/>
    </row>
    <row r="51" spans="2:13" ht="13.5" hidden="1" outlineLevel="1" thickBot="1" x14ac:dyDescent="0.25">
      <c r="B51" s="599" t="s">
        <v>826</v>
      </c>
      <c r="C51" s="569" t="s">
        <v>804</v>
      </c>
      <c r="D51" s="612"/>
      <c r="E51" s="612"/>
      <c r="F51" s="611"/>
      <c r="G51" s="612"/>
      <c r="H51" s="612"/>
      <c r="I51" s="613"/>
      <c r="J51" s="609"/>
      <c r="K51" s="770" t="s">
        <v>1043</v>
      </c>
      <c r="L51" s="773"/>
    </row>
    <row r="52" spans="2:13" ht="13.5" hidden="1" outlineLevel="1" thickBot="1" x14ac:dyDescent="0.25">
      <c r="B52" s="594"/>
      <c r="C52" s="602"/>
      <c r="D52" s="596"/>
      <c r="E52" s="596"/>
      <c r="F52" s="596"/>
      <c r="G52" s="596"/>
      <c r="H52" s="596"/>
      <c r="I52" s="596"/>
    </row>
    <row r="53" spans="2:13" outlineLevel="1" x14ac:dyDescent="0.2">
      <c r="B53" s="597" t="s">
        <v>827</v>
      </c>
      <c r="C53" s="560"/>
      <c r="D53" s="560">
        <f>D$8</f>
        <v>2016</v>
      </c>
      <c r="E53" s="560">
        <f t="shared" ref="E53:I53" si="7">E$8</f>
        <v>2017</v>
      </c>
      <c r="F53" s="560">
        <f t="shared" si="7"/>
        <v>2018</v>
      </c>
      <c r="G53" s="560">
        <f t="shared" si="7"/>
        <v>2019</v>
      </c>
      <c r="H53" s="560">
        <f t="shared" si="7"/>
        <v>2020</v>
      </c>
      <c r="I53" s="561">
        <f t="shared" si="7"/>
        <v>2021</v>
      </c>
      <c r="J53" s="609"/>
      <c r="K53" s="609"/>
    </row>
    <row r="54" spans="2:13" outlineLevel="1" x14ac:dyDescent="0.2">
      <c r="B54" s="584" t="s">
        <v>828</v>
      </c>
      <c r="C54" s="563" t="s">
        <v>804</v>
      </c>
      <c r="D54" s="765"/>
      <c r="E54" s="589">
        <f t="shared" ref="E54:I57" si="8">E35</f>
        <v>173114.76168767121</v>
      </c>
      <c r="F54" s="596">
        <f t="shared" si="8"/>
        <v>0</v>
      </c>
      <c r="G54" s="589">
        <f t="shared" si="8"/>
        <v>0</v>
      </c>
      <c r="H54" s="589">
        <f t="shared" si="8"/>
        <v>0</v>
      </c>
      <c r="I54" s="598">
        <f t="shared" si="8"/>
        <v>0</v>
      </c>
      <c r="J54" s="609"/>
      <c r="K54" s="609"/>
      <c r="M54" s="603"/>
    </row>
    <row r="55" spans="2:13" outlineLevel="1" x14ac:dyDescent="0.2">
      <c r="B55" s="584" t="s">
        <v>829</v>
      </c>
      <c r="C55" s="563" t="s">
        <v>804</v>
      </c>
      <c r="D55" s="585"/>
      <c r="E55" s="585">
        <f t="shared" si="8"/>
        <v>0</v>
      </c>
      <c r="F55" s="607">
        <f t="shared" si="8"/>
        <v>0</v>
      </c>
      <c r="G55" s="585">
        <f t="shared" si="8"/>
        <v>0</v>
      </c>
      <c r="H55" s="585">
        <f t="shared" si="8"/>
        <v>0</v>
      </c>
      <c r="I55" s="608">
        <f t="shared" si="8"/>
        <v>0</v>
      </c>
      <c r="J55" s="609"/>
      <c r="K55" s="609"/>
      <c r="L55" s="609"/>
    </row>
    <row r="56" spans="2:13" outlineLevel="1" x14ac:dyDescent="0.2">
      <c r="B56" s="584" t="s">
        <v>830</v>
      </c>
      <c r="C56" s="563" t="s">
        <v>804</v>
      </c>
      <c r="D56" s="585"/>
      <c r="E56" s="585">
        <f t="shared" si="8"/>
        <v>0</v>
      </c>
      <c r="F56" s="607">
        <f t="shared" si="8"/>
        <v>0</v>
      </c>
      <c r="G56" s="585">
        <f t="shared" si="8"/>
        <v>0</v>
      </c>
      <c r="H56" s="585">
        <f t="shared" si="8"/>
        <v>0</v>
      </c>
      <c r="I56" s="608">
        <f t="shared" si="8"/>
        <v>0</v>
      </c>
      <c r="J56" s="609"/>
      <c r="K56" s="609"/>
      <c r="L56" s="609"/>
      <c r="M56" s="603"/>
    </row>
    <row r="57" spans="2:13" s="555" customFormat="1" ht="13.5" outlineLevel="1" thickBot="1" x14ac:dyDescent="0.25">
      <c r="B57" s="591" t="s">
        <v>831</v>
      </c>
      <c r="C57" s="592" t="s">
        <v>804</v>
      </c>
      <c r="D57" s="593"/>
      <c r="E57" s="593">
        <f t="shared" si="8"/>
        <v>0</v>
      </c>
      <c r="F57" s="600">
        <f t="shared" si="8"/>
        <v>0</v>
      </c>
      <c r="G57" s="593">
        <f t="shared" si="8"/>
        <v>0</v>
      </c>
      <c r="H57" s="593">
        <f t="shared" si="8"/>
        <v>0</v>
      </c>
      <c r="I57" s="601">
        <f t="shared" si="8"/>
        <v>0</v>
      </c>
      <c r="J57" s="610"/>
      <c r="K57" s="610"/>
      <c r="L57" s="610"/>
      <c r="M57" s="614"/>
    </row>
    <row r="58" spans="2:13" outlineLevel="1" x14ac:dyDescent="0.2">
      <c r="B58" s="615"/>
      <c r="C58" s="615"/>
      <c r="D58" s="615"/>
      <c r="E58" s="615"/>
      <c r="F58" s="615"/>
      <c r="G58" s="615"/>
      <c r="H58" s="615"/>
      <c r="I58" s="615"/>
    </row>
    <row r="59" spans="2:13" s="89" customFormat="1" x14ac:dyDescent="0.2">
      <c r="B59" s="107" t="s">
        <v>1143</v>
      </c>
    </row>
    <row r="60" spans="2:13" outlineLevel="1" x14ac:dyDescent="0.2">
      <c r="B60" s="555" t="s">
        <v>1028</v>
      </c>
      <c r="C60" s="555"/>
      <c r="D60" s="555"/>
      <c r="E60" s="555"/>
      <c r="F60" s="555"/>
      <c r="G60" s="555"/>
      <c r="H60" s="555"/>
      <c r="I60" s="555"/>
    </row>
    <row r="61" spans="2:13" ht="13.5" outlineLevel="1" thickBot="1" x14ac:dyDescent="0.25">
      <c r="B61" s="616"/>
      <c r="C61" s="555"/>
      <c r="D61" s="555"/>
      <c r="E61" s="555"/>
      <c r="F61" s="555"/>
      <c r="G61" s="555"/>
      <c r="H61" s="555"/>
      <c r="I61" s="555"/>
    </row>
    <row r="62" spans="2:13" ht="13.5" outlineLevel="1" thickBot="1" x14ac:dyDescent="0.25">
      <c r="B62" s="559" t="s">
        <v>832</v>
      </c>
      <c r="C62" s="560"/>
      <c r="D62" s="560"/>
      <c r="E62" s="560">
        <f>E8</f>
        <v>2017</v>
      </c>
      <c r="F62" s="560">
        <f>F8</f>
        <v>2018</v>
      </c>
      <c r="G62" s="560">
        <f>G8</f>
        <v>2019</v>
      </c>
      <c r="H62" s="560">
        <f>H8</f>
        <v>2020</v>
      </c>
      <c r="I62" s="561">
        <f>I8</f>
        <v>2021</v>
      </c>
      <c r="K62" s="767" t="s">
        <v>1046</v>
      </c>
      <c r="L62" s="767" t="s">
        <v>1045</v>
      </c>
    </row>
    <row r="63" spans="2:13" outlineLevel="1" x14ac:dyDescent="0.2">
      <c r="B63" s="617" t="s">
        <v>833</v>
      </c>
      <c r="C63" s="563" t="s">
        <v>804</v>
      </c>
      <c r="D63" s="618"/>
      <c r="E63" s="585">
        <f>D44*E$9</f>
        <v>15768.353693288846</v>
      </c>
      <c r="F63" s="585">
        <f>E44*F$9</f>
        <v>15768.353693288846</v>
      </c>
      <c r="G63" s="585">
        <f>F44*G$9</f>
        <v>15768.353693288846</v>
      </c>
      <c r="H63" s="585">
        <f>G44*H$9</f>
        <v>15768.353693288846</v>
      </c>
      <c r="I63" s="586">
        <f>H44*I$9</f>
        <v>15768.353693288846</v>
      </c>
      <c r="K63" s="768" t="s">
        <v>1043</v>
      </c>
      <c r="L63" s="771"/>
    </row>
    <row r="64" spans="2:13" outlineLevel="1" x14ac:dyDescent="0.2">
      <c r="B64" s="617" t="s">
        <v>834</v>
      </c>
      <c r="C64" s="563" t="s">
        <v>804</v>
      </c>
      <c r="D64" s="618"/>
      <c r="E64" s="585">
        <f>D44*E$10</f>
        <v>6315.6858739024701</v>
      </c>
      <c r="F64" s="585">
        <f>E44*F$10</f>
        <v>6315.6858739024701</v>
      </c>
      <c r="G64" s="585">
        <f>F44*G$10</f>
        <v>6315.6858739024701</v>
      </c>
      <c r="H64" s="585">
        <f>G44*H$10</f>
        <v>6315.6858739024701</v>
      </c>
      <c r="I64" s="586">
        <f>H44*I$10</f>
        <v>6315.6858739024701</v>
      </c>
      <c r="K64" s="769" t="s">
        <v>1043</v>
      </c>
      <c r="L64" s="772"/>
    </row>
    <row r="65" spans="1:13" outlineLevel="1" x14ac:dyDescent="0.2">
      <c r="B65" s="617" t="s">
        <v>427</v>
      </c>
      <c r="C65" s="563" t="s">
        <v>804</v>
      </c>
      <c r="D65" s="618"/>
      <c r="E65" s="585">
        <f>-'Activos Reconocidos'!D63/1000</f>
        <v>15473.921689318706</v>
      </c>
      <c r="F65" s="585">
        <f>-'Activos Reconocidos'!E63/1000</f>
        <v>15473.921689318706</v>
      </c>
      <c r="G65" s="585">
        <f>-'Activos Reconocidos'!F63/1000</f>
        <v>15473.921689318706</v>
      </c>
      <c r="H65" s="585">
        <f>-'Activos Reconocidos'!G63/1000</f>
        <v>15473.921689318706</v>
      </c>
      <c r="I65" s="586">
        <f>-'Activos Reconocidos'!H63/1000</f>
        <v>15473.921689318706</v>
      </c>
      <c r="K65" s="769" t="s">
        <v>1043</v>
      </c>
      <c r="L65" s="772"/>
    </row>
    <row r="66" spans="1:13" outlineLevel="1" x14ac:dyDescent="0.2">
      <c r="B66" s="617" t="s">
        <v>835</v>
      </c>
      <c r="C66" s="563" t="s">
        <v>804</v>
      </c>
      <c r="D66" s="618"/>
      <c r="E66" s="585">
        <f>D23*$D$13</f>
        <v>15850.573371225031</v>
      </c>
      <c r="F66" s="585">
        <f>E23*$D$13</f>
        <v>14649.797048133896</v>
      </c>
      <c r="G66" s="585">
        <f>F23*$D$13</f>
        <v>13449.020725042763</v>
      </c>
      <c r="H66" s="585">
        <f>G23*$D$13</f>
        <v>12248.244401951635</v>
      </c>
      <c r="I66" s="586">
        <f>H23*$D$13</f>
        <v>11047.468078860502</v>
      </c>
      <c r="K66" s="769" t="s">
        <v>1043</v>
      </c>
      <c r="L66" s="772"/>
    </row>
    <row r="67" spans="1:13" outlineLevel="2" x14ac:dyDescent="0.2">
      <c r="B67" s="617" t="s">
        <v>836</v>
      </c>
      <c r="C67" s="563" t="s">
        <v>804</v>
      </c>
      <c r="D67" s="618"/>
      <c r="E67" s="585">
        <f>+SUMIF(GEN_OBL!$E$7:$N$7,'IMP Existente'!E$62,GEN_OBL!$E$10:$N$10)*IF($K$67="SI",1,0)</f>
        <v>0</v>
      </c>
      <c r="F67" s="585">
        <f>+SUM(GEN_OBL!$E$10:$N$10)/4*IF($K$67="SI",1,0)</f>
        <v>0</v>
      </c>
      <c r="G67" s="585">
        <f>+SUM(GEN_OBL!$E$10:$N$10)/4*IF($K$67="SI",1,0)</f>
        <v>0</v>
      </c>
      <c r="H67" s="585">
        <f>+SUM(GEN_OBL!$E$10:$N$10)/4*IF($K$67="SI",1,0)</f>
        <v>0</v>
      </c>
      <c r="I67" s="586">
        <f>+SUM(GEN_OBL!$E$10:$N$10)/4*IF($K$67="SI",1,0)</f>
        <v>0</v>
      </c>
      <c r="K67" s="769" t="s">
        <v>1043</v>
      </c>
      <c r="L67" s="772"/>
    </row>
    <row r="68" spans="1:13" ht="13.5" outlineLevel="1" thickBot="1" x14ac:dyDescent="0.25">
      <c r="B68" s="621" t="s">
        <v>837</v>
      </c>
      <c r="C68" s="588" t="s">
        <v>804</v>
      </c>
      <c r="D68" s="622"/>
      <c r="E68" s="585">
        <v>15</v>
      </c>
      <c r="F68" s="585">
        <v>130</v>
      </c>
      <c r="G68" s="585">
        <v>130</v>
      </c>
      <c r="H68" s="585">
        <v>130</v>
      </c>
      <c r="I68" s="585">
        <v>15</v>
      </c>
      <c r="K68" s="770" t="s">
        <v>1043</v>
      </c>
      <c r="L68" s="773" t="s">
        <v>1051</v>
      </c>
    </row>
    <row r="69" spans="1:13" ht="13.5" outlineLevel="1" thickBot="1" x14ac:dyDescent="0.25">
      <c r="B69" s="623" t="s">
        <v>413</v>
      </c>
      <c r="C69" s="624"/>
      <c r="D69" s="624"/>
      <c r="E69" s="625">
        <f>SUM(E63:E68)</f>
        <v>53423.534627735047</v>
      </c>
      <c r="F69" s="625">
        <f t="shared" ref="F69:I69" si="9">SUM(F63:F68)</f>
        <v>52337.75830464391</v>
      </c>
      <c r="G69" s="625">
        <f t="shared" si="9"/>
        <v>51136.981981552781</v>
      </c>
      <c r="H69" s="625">
        <f t="shared" si="9"/>
        <v>49936.205658461651</v>
      </c>
      <c r="I69" s="626">
        <f t="shared" si="9"/>
        <v>48620.429335370522</v>
      </c>
      <c r="L69" s="609"/>
      <c r="M69" s="603"/>
    </row>
    <row r="70" spans="1:13" ht="13.5" thickBot="1" x14ac:dyDescent="0.25">
      <c r="A70" s="627"/>
      <c r="B70" s="628"/>
      <c r="C70" s="627"/>
      <c r="D70" s="627"/>
      <c r="E70" s="629"/>
      <c r="F70" s="629"/>
      <c r="G70" s="629"/>
      <c r="H70" s="629"/>
      <c r="I70" s="629"/>
      <c r="L70" s="609"/>
    </row>
    <row r="71" spans="1:13" x14ac:dyDescent="0.2">
      <c r="B71" s="559" t="s">
        <v>838</v>
      </c>
      <c r="C71" s="560"/>
      <c r="D71" s="560"/>
      <c r="E71" s="560">
        <f>E8</f>
        <v>2017</v>
      </c>
      <c r="F71" s="560">
        <f>F8</f>
        <v>2018</v>
      </c>
      <c r="G71" s="560">
        <f>G8</f>
        <v>2019</v>
      </c>
      <c r="H71" s="560">
        <f>H8</f>
        <v>2020</v>
      </c>
      <c r="I71" s="561">
        <f>I8</f>
        <v>2021</v>
      </c>
      <c r="L71" s="609"/>
    </row>
    <row r="72" spans="1:13" x14ac:dyDescent="0.2">
      <c r="B72" s="617" t="s">
        <v>833</v>
      </c>
      <c r="C72" s="563" t="s">
        <v>804</v>
      </c>
      <c r="D72" s="618"/>
      <c r="E72" s="585">
        <f>(D45+E54)*E$9</f>
        <v>3417.7008711426806</v>
      </c>
      <c r="F72" s="585">
        <f>(E45+F54)*F$9</f>
        <v>6820.6076687232016</v>
      </c>
      <c r="G72" s="585">
        <f>(F45+G54)*G$9</f>
        <v>6820.6076687232016</v>
      </c>
      <c r="H72" s="585">
        <f>(G45+H54)*H$9</f>
        <v>6820.6076687232016</v>
      </c>
      <c r="I72" s="586">
        <f>(H45+I54)*I$9</f>
        <v>6820.6076687232016</v>
      </c>
      <c r="L72" s="609"/>
    </row>
    <row r="73" spans="1:13" x14ac:dyDescent="0.2">
      <c r="B73" s="617" t="s">
        <v>834</v>
      </c>
      <c r="C73" s="563" t="s">
        <v>804</v>
      </c>
      <c r="D73" s="618"/>
      <c r="E73" s="585">
        <f>(D45+E54)*E$10</f>
        <v>1368.8889489006592</v>
      </c>
      <c r="F73" s="585">
        <f>(E45+F54)*F$10</f>
        <v>2731.8524395555551</v>
      </c>
      <c r="G73" s="585">
        <f>(F45+G54)*G$10</f>
        <v>2731.8524395555551</v>
      </c>
      <c r="H73" s="585">
        <f>(G45+H54)*H$10</f>
        <v>2731.8524395555551</v>
      </c>
      <c r="I73" s="586">
        <f>(H45+I54)*I$10</f>
        <v>2731.8524395555551</v>
      </c>
      <c r="L73" s="609"/>
    </row>
    <row r="74" spans="1:13" x14ac:dyDescent="0.2">
      <c r="B74" s="617" t="s">
        <v>427</v>
      </c>
      <c r="C74" s="563" t="s">
        <v>804</v>
      </c>
      <c r="D74" s="618"/>
      <c r="E74" s="585">
        <f>-'Activos Reconocidos'!D67/1000</f>
        <v>6030.9891296280402</v>
      </c>
      <c r="F74" s="585">
        <f>-'Activos Reconocidos'!E67/1000</f>
        <v>12035.872142834463</v>
      </c>
      <c r="G74" s="585">
        <f>-'Activos Reconocidos'!F67/1000</f>
        <v>12035.872142834463</v>
      </c>
      <c r="H74" s="585">
        <f>-'Activos Reconocidos'!G67/1000</f>
        <v>12035.872142834463</v>
      </c>
      <c r="I74" s="586">
        <f>-'Activos Reconocidos'!H67/1000</f>
        <v>12035.872142834463</v>
      </c>
      <c r="L74" s="609"/>
    </row>
    <row r="75" spans="1:13" x14ac:dyDescent="0.2">
      <c r="B75" s="617" t="s">
        <v>835</v>
      </c>
      <c r="C75" s="563" t="s">
        <v>804</v>
      </c>
      <c r="D75" s="618"/>
      <c r="E75" s="585">
        <f>(D24+E35)*$D$13</f>
        <v>13433.705506963286</v>
      </c>
      <c r="F75" s="585">
        <f>(E24+F35)*$D$13</f>
        <v>26341.256280340865</v>
      </c>
      <c r="G75" s="585">
        <f>(F24+G35)*$D$13</f>
        <v>25407.27260205691</v>
      </c>
      <c r="H75" s="585">
        <f>(G24+H35)*$D$13</f>
        <v>24473.288923772951</v>
      </c>
      <c r="I75" s="586">
        <f>(H24+I35)*$D$13</f>
        <v>23539.305245488995</v>
      </c>
      <c r="L75" s="609"/>
    </row>
    <row r="76" spans="1:13" x14ac:dyDescent="0.2">
      <c r="B76" s="617" t="s">
        <v>1141</v>
      </c>
      <c r="C76" s="563" t="s">
        <v>804</v>
      </c>
      <c r="D76" s="618"/>
      <c r="E76" s="974">
        <f>+SUMIF(GEN_OBL!$E$7:$N$7,'IMP Existente'!E$71,GEN_OBL!$E$9:$N$9)</f>
        <v>0</v>
      </c>
      <c r="F76" s="974">
        <f>+SUMIF(GEN_OBL!$E$7:$N$7,'IMP Existente'!F$71,GEN_OBL!$E$9:$N$9)</f>
        <v>16000</v>
      </c>
      <c r="G76" s="974">
        <f>+SUMIF(GEN_OBL!$E$7:$N$7,'IMP Existente'!G$71,GEN_OBL!$E$9:$N$9)</f>
        <v>16000</v>
      </c>
      <c r="H76" s="974">
        <f>+SUMIF(GEN_OBL!$E$7:$N$7,'IMP Existente'!H$71,GEN_OBL!$E$9:$N$9)</f>
        <v>16000</v>
      </c>
      <c r="I76" s="586">
        <f>+SUMIF(GEN_OBL!$E$7:$N$7,'IMP Existente'!I$71,GEN_OBL!$E$9:$N$9)</f>
        <v>0</v>
      </c>
      <c r="L76" s="609"/>
    </row>
    <row r="77" spans="1:13" ht="13.5" thickBot="1" x14ac:dyDescent="0.25">
      <c r="B77" s="630" t="s">
        <v>837</v>
      </c>
      <c r="C77" s="569" t="s">
        <v>804</v>
      </c>
      <c r="D77" s="631"/>
      <c r="E77" s="631"/>
      <c r="F77" s="631"/>
      <c r="G77" s="631"/>
      <c r="H77" s="631"/>
      <c r="I77" s="632"/>
      <c r="L77" s="609"/>
    </row>
    <row r="78" spans="1:13" ht="13.5" thickBot="1" x14ac:dyDescent="0.25">
      <c r="B78" s="623" t="s">
        <v>413</v>
      </c>
      <c r="C78" s="624"/>
      <c r="D78" s="624"/>
      <c r="E78" s="625">
        <f>SUM(E72:E77)</f>
        <v>24251.284456634668</v>
      </c>
      <c r="F78" s="625">
        <f t="shared" ref="F78:I78" si="10">SUM(F72:F77)</f>
        <v>63929.588531454086</v>
      </c>
      <c r="G78" s="625">
        <f t="shared" si="10"/>
        <v>62995.604853170131</v>
      </c>
      <c r="H78" s="625">
        <f t="shared" si="10"/>
        <v>62061.621174886168</v>
      </c>
      <c r="I78" s="626">
        <f t="shared" si="10"/>
        <v>45127.637496602212</v>
      </c>
      <c r="M78" s="603"/>
    </row>
    <row r="79" spans="1:13" ht="13.5" thickBot="1" x14ac:dyDescent="0.25">
      <c r="A79" s="627"/>
      <c r="B79" s="628"/>
      <c r="C79" s="627"/>
      <c r="D79" s="627"/>
      <c r="E79" s="629"/>
      <c r="F79" s="629"/>
      <c r="G79" s="629"/>
      <c r="H79" s="629"/>
      <c r="I79" s="629"/>
    </row>
    <row r="80" spans="1:13" hidden="1" x14ac:dyDescent="0.2">
      <c r="B80" s="559" t="s">
        <v>839</v>
      </c>
      <c r="C80" s="560"/>
      <c r="D80" s="560"/>
      <c r="E80" s="560" t="str">
        <f>"jul"&amp;E8-2000&amp;"-jun"&amp;F8-2000</f>
        <v>jul17-jun18</v>
      </c>
      <c r="F80" s="560" t="str">
        <f>"jul"&amp;F8-2000&amp;"-jun"&amp;G8-2000</f>
        <v>jul18-jun19</v>
      </c>
      <c r="G80" s="560" t="str">
        <f>"jul"&amp;G8-2000&amp;"-jun"&amp;H8-2000</f>
        <v>jul19-jun20</v>
      </c>
      <c r="H80" s="560" t="str">
        <f>"jul"&amp;H8-2000&amp;"-jun"&amp;I8-2000</f>
        <v>jul20-jun21</v>
      </c>
      <c r="I80" s="633" t="s">
        <v>840</v>
      </c>
    </row>
    <row r="81" spans="1:12" hidden="1" x14ac:dyDescent="0.2">
      <c r="B81" s="617" t="s">
        <v>841</v>
      </c>
      <c r="C81" s="563" t="s">
        <v>804</v>
      </c>
      <c r="D81" s="618"/>
      <c r="E81" s="585">
        <f>D49*E$9*(1+$D$13)^1.5</f>
        <v>0</v>
      </c>
      <c r="F81" s="585">
        <f>E49*F$9*(1+$D$13)^1.5</f>
        <v>0</v>
      </c>
      <c r="G81" s="585">
        <f>F49*G$9*(1+$D$13)^1.5</f>
        <v>0</v>
      </c>
      <c r="H81" s="585">
        <f>G49*H$9*(1+$D$13)^1.5</f>
        <v>0</v>
      </c>
      <c r="I81" s="586">
        <f>H49*I$9*(1+$D$13)^1.5</f>
        <v>0</v>
      </c>
      <c r="L81" s="609"/>
    </row>
    <row r="82" spans="1:12" hidden="1" x14ac:dyDescent="0.2">
      <c r="B82" s="617" t="s">
        <v>842</v>
      </c>
      <c r="C82" s="563" t="s">
        <v>804</v>
      </c>
      <c r="D82" s="618"/>
      <c r="E82" s="585">
        <f>D55*E$9*(1+$D$13)^1.5</f>
        <v>0</v>
      </c>
      <c r="F82" s="585">
        <f>E55*F$9*(1+$D$13)^1.5</f>
        <v>0</v>
      </c>
      <c r="G82" s="585">
        <f>F55*G$9*(1+$D$13)^1.5</f>
        <v>0</v>
      </c>
      <c r="H82" s="585">
        <f>G55*H$9*(1+$D$13)^1.5</f>
        <v>0</v>
      </c>
      <c r="I82" s="586">
        <f>H55*I$9*(1+$D$13)^1.5</f>
        <v>0</v>
      </c>
      <c r="L82" s="609"/>
    </row>
    <row r="83" spans="1:12" hidden="1" x14ac:dyDescent="0.2">
      <c r="B83" s="617" t="s">
        <v>843</v>
      </c>
      <c r="C83" s="563" t="s">
        <v>804</v>
      </c>
      <c r="D83" s="618"/>
      <c r="E83" s="585">
        <f>D49*E$10*(1+$D$13)^1.5</f>
        <v>0</v>
      </c>
      <c r="F83" s="585">
        <f>E49*F$10*(1+$D$13)^1.5</f>
        <v>0</v>
      </c>
      <c r="G83" s="585">
        <f>F49*G$10*(1+$D$13)^1.5</f>
        <v>0</v>
      </c>
      <c r="H83" s="585">
        <f>G49*H$10*(1+$D$13)^1.5</f>
        <v>0</v>
      </c>
      <c r="I83" s="586">
        <f>H49*I$10*(1+$D$13)^1.5</f>
        <v>0</v>
      </c>
      <c r="L83" s="609"/>
    </row>
    <row r="84" spans="1:12" hidden="1" x14ac:dyDescent="0.2">
      <c r="B84" s="617" t="s">
        <v>844</v>
      </c>
      <c r="C84" s="563" t="s">
        <v>804</v>
      </c>
      <c r="D84" s="618"/>
      <c r="E84" s="585">
        <f>D55*E$10*(1+$D$13)^1.5</f>
        <v>0</v>
      </c>
      <c r="F84" s="585">
        <f>E55*F$10*(1+$D$13)^1.5</f>
        <v>0</v>
      </c>
      <c r="G84" s="585">
        <f>F55*G$10*(1+$D$13)^1.5</f>
        <v>0</v>
      </c>
      <c r="H84" s="585">
        <f>G55*H$10*(1+$D$13)^1.5</f>
        <v>0</v>
      </c>
      <c r="I84" s="586">
        <f>H55*I$10*(1+$D$13)^1.5</f>
        <v>0</v>
      </c>
      <c r="L84" s="609"/>
    </row>
    <row r="85" spans="1:12" hidden="1" x14ac:dyDescent="0.2">
      <c r="B85" s="617" t="s">
        <v>427</v>
      </c>
      <c r="C85" s="563" t="s">
        <v>804</v>
      </c>
      <c r="D85" s="618"/>
      <c r="E85" s="585">
        <f>-IF($K29="SI",'Activos Reconocidos'!C152/1000*(1+$D$13)^1.5,0)</f>
        <v>0</v>
      </c>
      <c r="F85" s="585">
        <f>-IF($K29="SI",'Activos Reconocidos'!D152/1000*(1+$D$13)^1.5,0)</f>
        <v>0</v>
      </c>
      <c r="G85" s="585">
        <f>-IF($K29="SI",'Activos Reconocidos'!E152/1000*(1+$D$13)^1.5,0)</f>
        <v>0</v>
      </c>
      <c r="H85" s="585">
        <f>-IF($K29="SI",'Activos Reconocidos'!F152/1000*(1+$D$13)^1.5,0)</f>
        <v>0</v>
      </c>
      <c r="I85" s="586">
        <f>-IF($K29="SI",'Activos Reconocidos'!G152/1000*(1+$D$13)^1.5,0)</f>
        <v>0</v>
      </c>
      <c r="L85" s="609"/>
    </row>
    <row r="86" spans="1:12" hidden="1" x14ac:dyDescent="0.2">
      <c r="B86" s="617" t="s">
        <v>845</v>
      </c>
      <c r="C86" s="563" t="s">
        <v>804</v>
      </c>
      <c r="D86" s="618"/>
      <c r="E86" s="585">
        <f>D36*D$12*(1+$D$13)^1.5</f>
        <v>0</v>
      </c>
      <c r="F86" s="585">
        <f>E36*E$11*(1+$D$13)^1.5</f>
        <v>0</v>
      </c>
      <c r="G86" s="585">
        <f>F36*F$11*(1+$D$13)^1.5</f>
        <v>0</v>
      </c>
      <c r="H86" s="585">
        <f>G36*G$11*(1+$D$13)^1.5</f>
        <v>0</v>
      </c>
      <c r="I86" s="586">
        <f>H36*H$11*(1+$D$13)^1.5</f>
        <v>0</v>
      </c>
      <c r="L86" s="609"/>
    </row>
    <row r="87" spans="1:12" hidden="1" x14ac:dyDescent="0.2">
      <c r="B87" s="617" t="s">
        <v>835</v>
      </c>
      <c r="C87" s="563" t="s">
        <v>804</v>
      </c>
      <c r="D87" s="618"/>
      <c r="E87" s="585">
        <f>D31*$D$13*(1+$D$13)^1.5</f>
        <v>0</v>
      </c>
      <c r="F87" s="585">
        <f>E31*$D$13*(1+$D$13)^1.5</f>
        <v>0</v>
      </c>
      <c r="G87" s="585">
        <f>F31*$D$13*(1+$D$13)^1.5</f>
        <v>0</v>
      </c>
      <c r="H87" s="585">
        <f>G31*$D$13*(1+$D$13)^1.5</f>
        <v>0</v>
      </c>
      <c r="I87" s="586">
        <f>H31*$D$13*(1+$D$13)^1.5</f>
        <v>0</v>
      </c>
      <c r="L87" s="609"/>
    </row>
    <row r="88" spans="1:12" hidden="1" x14ac:dyDescent="0.2">
      <c r="B88" s="617" t="s">
        <v>846</v>
      </c>
      <c r="C88" s="563" t="s">
        <v>804</v>
      </c>
      <c r="D88" s="618"/>
      <c r="E88" s="585">
        <f>D36*D$13*(1+$D$13)^1.5</f>
        <v>0</v>
      </c>
      <c r="F88" s="585">
        <f>E36*E$12*(1+$D$13)^1.5</f>
        <v>0</v>
      </c>
      <c r="G88" s="585">
        <f>F36*F$12*(1+$D$13)^1.5</f>
        <v>0</v>
      </c>
      <c r="H88" s="585">
        <f>G36*G$12*(1+$D$13)^1.5</f>
        <v>0</v>
      </c>
      <c r="I88" s="586">
        <f>H36*H$12*(1+$D$13)^1.5</f>
        <v>0</v>
      </c>
      <c r="L88" s="609"/>
    </row>
    <row r="89" spans="1:12" hidden="1" x14ac:dyDescent="0.2">
      <c r="B89" s="617" t="s">
        <v>836</v>
      </c>
      <c r="C89" s="563" t="s">
        <v>804</v>
      </c>
      <c r="D89" s="618"/>
      <c r="E89" s="619"/>
      <c r="F89" s="619"/>
      <c r="G89" s="619"/>
      <c r="H89" s="618"/>
      <c r="I89" s="620"/>
    </row>
    <row r="90" spans="1:12" ht="13.5" hidden="1" thickBot="1" x14ac:dyDescent="0.25">
      <c r="B90" s="630" t="s">
        <v>837</v>
      </c>
      <c r="C90" s="569" t="s">
        <v>804</v>
      </c>
      <c r="D90" s="631"/>
      <c r="E90" s="631"/>
      <c r="F90" s="631"/>
      <c r="G90" s="631"/>
      <c r="H90" s="631"/>
      <c r="I90" s="632"/>
    </row>
    <row r="91" spans="1:12" ht="13.5" hidden="1" thickBot="1" x14ac:dyDescent="0.25">
      <c r="B91" s="623" t="s">
        <v>413</v>
      </c>
      <c r="C91" s="624"/>
      <c r="D91" s="624"/>
      <c r="E91" s="625">
        <f>SUM(E81:E90)</f>
        <v>0</v>
      </c>
      <c r="F91" s="625">
        <f t="shared" ref="F91:I91" si="11">SUM(F81:F90)</f>
        <v>0</v>
      </c>
      <c r="G91" s="625">
        <f t="shared" si="11"/>
        <v>0</v>
      </c>
      <c r="H91" s="625">
        <f t="shared" si="11"/>
        <v>0</v>
      </c>
      <c r="I91" s="626">
        <f t="shared" si="11"/>
        <v>0</v>
      </c>
    </row>
    <row r="92" spans="1:12" ht="13.5" hidden="1" thickBot="1" x14ac:dyDescent="0.25">
      <c r="A92" s="627"/>
      <c r="B92" s="628"/>
      <c r="C92" s="627"/>
      <c r="D92" s="627"/>
      <c r="E92" s="629"/>
      <c r="F92" s="629"/>
      <c r="G92" s="629"/>
      <c r="H92" s="629"/>
      <c r="I92" s="629"/>
    </row>
    <row r="93" spans="1:12" hidden="1" x14ac:dyDescent="0.2">
      <c r="B93" s="559" t="s">
        <v>847</v>
      </c>
      <c r="C93" s="560"/>
      <c r="D93" s="560"/>
      <c r="E93" s="560" t="str">
        <f>E80</f>
        <v>jul17-jun18</v>
      </c>
      <c r="F93" s="560" t="str">
        <f t="shared" ref="F93:I93" si="12">F80</f>
        <v>jul18-jun19</v>
      </c>
      <c r="G93" s="560" t="str">
        <f t="shared" si="12"/>
        <v>jul19-jun20</v>
      </c>
      <c r="H93" s="560" t="str">
        <f t="shared" si="12"/>
        <v>jul20-jun21</v>
      </c>
      <c r="I93" s="633" t="str">
        <f t="shared" si="12"/>
        <v>Diferido Proximo Período</v>
      </c>
    </row>
    <row r="94" spans="1:12" hidden="1" x14ac:dyDescent="0.2">
      <c r="B94" s="617" t="s">
        <v>848</v>
      </c>
      <c r="C94" s="563" t="s">
        <v>804</v>
      </c>
      <c r="D94" s="618"/>
      <c r="E94" s="585">
        <f>D50*E$9*(1+$D$13)^1.5</f>
        <v>0</v>
      </c>
      <c r="F94" s="585">
        <f>E50*F$9*(1+$D$13)^1.5</f>
        <v>0</v>
      </c>
      <c r="G94" s="585">
        <f>F50*G$9*(1+$D$13)^1.5</f>
        <v>0</v>
      </c>
      <c r="H94" s="585">
        <f>G50*H$9*(1+$D$13)^1.5</f>
        <v>0</v>
      </c>
      <c r="I94" s="586">
        <f>H50*I$9*(1+$D$13)^1.5</f>
        <v>0</v>
      </c>
      <c r="L94" s="609"/>
    </row>
    <row r="95" spans="1:12" hidden="1" x14ac:dyDescent="0.2">
      <c r="B95" s="617" t="s">
        <v>849</v>
      </c>
      <c r="C95" s="563" t="s">
        <v>804</v>
      </c>
      <c r="D95" s="618"/>
      <c r="E95" s="585">
        <f>D56*E$9*(1+$D$13)^1.5</f>
        <v>0</v>
      </c>
      <c r="F95" s="585">
        <f>E56*F$9*(1+$D$13)^1.5</f>
        <v>0</v>
      </c>
      <c r="G95" s="585">
        <f>F56*G$9*(1+$D$13)^1.5</f>
        <v>0</v>
      </c>
      <c r="H95" s="585">
        <f>G56*H$9*(1+$D$13)^1.5</f>
        <v>0</v>
      </c>
      <c r="I95" s="586">
        <f>H56*I$9*(1+$D$13)^1.5</f>
        <v>0</v>
      </c>
      <c r="L95" s="609"/>
    </row>
    <row r="96" spans="1:12" hidden="1" x14ac:dyDescent="0.2">
      <c r="B96" s="617" t="s">
        <v>850</v>
      </c>
      <c r="C96" s="563" t="s">
        <v>804</v>
      </c>
      <c r="D96" s="618"/>
      <c r="E96" s="585">
        <f>D50*E$10*(1+$D$13)^1.5</f>
        <v>0</v>
      </c>
      <c r="F96" s="585">
        <f>E50*F$10*(1+$D$13)^1.5</f>
        <v>0</v>
      </c>
      <c r="G96" s="585">
        <f>F50*G$10*(1+$D$13)^1.5</f>
        <v>0</v>
      </c>
      <c r="H96" s="585">
        <f>G50*H$10*(1+$D$13)^1.5</f>
        <v>0</v>
      </c>
      <c r="I96" s="586">
        <f>H50*I$10*(1+$D$13)^1.5</f>
        <v>0</v>
      </c>
      <c r="L96" s="609"/>
    </row>
    <row r="97" spans="1:13" hidden="1" x14ac:dyDescent="0.2">
      <c r="B97" s="617" t="s">
        <v>851</v>
      </c>
      <c r="C97" s="563" t="s">
        <v>804</v>
      </c>
      <c r="D97" s="618"/>
      <c r="E97" s="585">
        <f>D56*E$10*(1+$D$13)^1.5</f>
        <v>0</v>
      </c>
      <c r="F97" s="585">
        <f>E56*F$10*(1+$D$13)^1.5</f>
        <v>0</v>
      </c>
      <c r="G97" s="585">
        <f>F56*G$10*(1+$D$13)^1.5</f>
        <v>0</v>
      </c>
      <c r="H97" s="585">
        <f>G56*H$10*(1+$D$13)^1.5</f>
        <v>0</v>
      </c>
      <c r="I97" s="586">
        <f>H56*I$10*(1+$D$13)^1.5</f>
        <v>0</v>
      </c>
      <c r="L97" s="609"/>
    </row>
    <row r="98" spans="1:13" hidden="1" x14ac:dyDescent="0.2">
      <c r="B98" s="617" t="s">
        <v>427</v>
      </c>
      <c r="C98" s="563" t="s">
        <v>804</v>
      </c>
      <c r="D98" s="618"/>
      <c r="E98" s="585">
        <f>-IF($K29="SI",'Activos Reconocidos'!C157/1000*(1+$D$13)^1.5,0)</f>
        <v>0</v>
      </c>
      <c r="F98" s="585">
        <f>-IF($K29="SI",'Activos Reconocidos'!D157/1000*(1+$D$13)^1.5,0)</f>
        <v>0</v>
      </c>
      <c r="G98" s="585">
        <f>-IF($K29="SI",'Activos Reconocidos'!E157/1000*(1+$D$13)^1.5,0)</f>
        <v>0</v>
      </c>
      <c r="H98" s="585">
        <f>-IF($K29="SI",'Activos Reconocidos'!F157/1000*(1+$D$13)^1.5,0)</f>
        <v>0</v>
      </c>
      <c r="I98" s="586">
        <f>-IF($K29="SI",'Activos Reconocidos'!G157/1000*(1+$D$13)^1.5,0)</f>
        <v>0</v>
      </c>
      <c r="L98" s="609"/>
    </row>
    <row r="99" spans="1:13" hidden="1" x14ac:dyDescent="0.2">
      <c r="B99" s="617" t="s">
        <v>852</v>
      </c>
      <c r="C99" s="563" t="s">
        <v>804</v>
      </c>
      <c r="D99" s="618"/>
      <c r="E99" s="585">
        <f>D37*D$12*(1+$D$13)^1.5</f>
        <v>0</v>
      </c>
      <c r="F99" s="585">
        <f>E37*E$11*(1+$D$13)^1.5</f>
        <v>0</v>
      </c>
      <c r="G99" s="585">
        <f>F37*F$11*(1+$D$13)^1.5</f>
        <v>0</v>
      </c>
      <c r="H99" s="585">
        <f>G37*G$11*(1+$D$13)^1.5</f>
        <v>0</v>
      </c>
      <c r="I99" s="586">
        <f>H37*H$11*(1+$D$13)^1.5</f>
        <v>0</v>
      </c>
      <c r="L99" s="609"/>
    </row>
    <row r="100" spans="1:13" hidden="1" x14ac:dyDescent="0.2">
      <c r="B100" s="617" t="s">
        <v>835</v>
      </c>
      <c r="C100" s="563" t="s">
        <v>804</v>
      </c>
      <c r="D100" s="618"/>
      <c r="E100" s="585">
        <f>D32*$D$13*(1+$D$13)^1.5</f>
        <v>0</v>
      </c>
      <c r="F100" s="585">
        <f>E32*$D$13*(1+$D$13)^1.5</f>
        <v>0</v>
      </c>
      <c r="G100" s="585">
        <f>F32*$D$13*(1+$D$13)^1.5</f>
        <v>0</v>
      </c>
      <c r="H100" s="585">
        <f>G32*$D$13*(1+$D$13)^1.5</f>
        <v>0</v>
      </c>
      <c r="I100" s="586">
        <f>H32*$D$13*(1+$D$13)^1.5</f>
        <v>0</v>
      </c>
      <c r="L100" s="609"/>
    </row>
    <row r="101" spans="1:13" hidden="1" x14ac:dyDescent="0.2">
      <c r="B101" s="617" t="s">
        <v>853</v>
      </c>
      <c r="C101" s="563" t="s">
        <v>804</v>
      </c>
      <c r="D101" s="618"/>
      <c r="E101" s="585">
        <f>D37*D$13*(1+$D$13)^1.5</f>
        <v>0</v>
      </c>
      <c r="F101" s="585">
        <f>E37*E$12*(1+$D$13)^1.5</f>
        <v>0</v>
      </c>
      <c r="G101" s="585">
        <f>F37*F$12*(1+$D$13)^1.5</f>
        <v>0</v>
      </c>
      <c r="H101" s="585">
        <f>G37*G$12*(1+$D$13)^1.5</f>
        <v>0</v>
      </c>
      <c r="I101" s="586">
        <f>H37*H$12*(1+$D$13)^1.5</f>
        <v>0</v>
      </c>
      <c r="L101" s="609"/>
    </row>
    <row r="102" spans="1:13" hidden="1" x14ac:dyDescent="0.2">
      <c r="B102" s="617" t="s">
        <v>836</v>
      </c>
      <c r="C102" s="563" t="s">
        <v>804</v>
      </c>
      <c r="D102" s="618"/>
      <c r="E102" s="618"/>
      <c r="F102" s="618"/>
      <c r="G102" s="618"/>
      <c r="H102" s="618"/>
      <c r="I102" s="620"/>
    </row>
    <row r="103" spans="1:13" ht="13.5" hidden="1" thickBot="1" x14ac:dyDescent="0.25">
      <c r="B103" s="630" t="s">
        <v>837</v>
      </c>
      <c r="C103" s="569" t="s">
        <v>804</v>
      </c>
      <c r="D103" s="631"/>
      <c r="E103" s="631"/>
      <c r="F103" s="631"/>
      <c r="G103" s="631"/>
      <c r="H103" s="631"/>
      <c r="I103" s="632"/>
    </row>
    <row r="104" spans="1:13" ht="13.5" hidden="1" thickBot="1" x14ac:dyDescent="0.25">
      <c r="B104" s="623" t="s">
        <v>413</v>
      </c>
      <c r="C104" s="624"/>
      <c r="D104" s="624"/>
      <c r="E104" s="625">
        <f>SUM(E94:E103)</f>
        <v>0</v>
      </c>
      <c r="F104" s="625">
        <f t="shared" ref="F104:I104" si="13">SUM(F94:F103)</f>
        <v>0</v>
      </c>
      <c r="G104" s="625">
        <f t="shared" si="13"/>
        <v>0</v>
      </c>
      <c r="H104" s="625">
        <f t="shared" si="13"/>
        <v>0</v>
      </c>
      <c r="I104" s="626">
        <f t="shared" si="13"/>
        <v>0</v>
      </c>
    </row>
    <row r="105" spans="1:13" ht="13.5" hidden="1" thickBot="1" x14ac:dyDescent="0.25">
      <c r="A105" s="627"/>
      <c r="B105" s="628"/>
      <c r="C105" s="627"/>
      <c r="D105" s="627"/>
      <c r="E105" s="629"/>
      <c r="F105" s="629"/>
      <c r="G105" s="629"/>
      <c r="H105" s="629"/>
      <c r="I105" s="629"/>
    </row>
    <row r="106" spans="1:13" x14ac:dyDescent="0.2">
      <c r="B106" s="559" t="s">
        <v>26</v>
      </c>
      <c r="C106" s="560"/>
      <c r="D106" s="560"/>
      <c r="E106" s="560">
        <f>E8</f>
        <v>2017</v>
      </c>
      <c r="F106" s="560">
        <f>F8</f>
        <v>2018</v>
      </c>
      <c r="G106" s="560">
        <f>G8</f>
        <v>2019</v>
      </c>
      <c r="H106" s="560">
        <f>H8</f>
        <v>2020</v>
      </c>
      <c r="I106" s="561">
        <f>I8</f>
        <v>2021</v>
      </c>
    </row>
    <row r="107" spans="1:13" x14ac:dyDescent="0.2">
      <c r="B107" s="617" t="s">
        <v>833</v>
      </c>
      <c r="C107" s="563" t="s">
        <v>804</v>
      </c>
      <c r="D107" s="618"/>
      <c r="E107" s="585">
        <f>(D46+E57)*E$9</f>
        <v>1295.1334406122028</v>
      </c>
      <c r="F107" s="585">
        <f>(E46+F57)*F$9</f>
        <v>1375.1296454122028</v>
      </c>
      <c r="G107" s="585">
        <f>(F46+G57)*G$9</f>
        <v>1500.0398102122028</v>
      </c>
      <c r="H107" s="585">
        <f>(G46+H57)*H$9</f>
        <v>1541.0645174122028</v>
      </c>
      <c r="I107" s="586">
        <f>(H46+I57)*I$9</f>
        <v>1597.3106150122028</v>
      </c>
      <c r="M107" s="603"/>
    </row>
    <row r="108" spans="1:13" x14ac:dyDescent="0.2">
      <c r="B108" s="617" t="s">
        <v>834</v>
      </c>
      <c r="C108" s="563" t="s">
        <v>804</v>
      </c>
      <c r="D108" s="618"/>
      <c r="E108" s="585">
        <f>(D46+E57)*E$10</f>
        <v>518.73874310509211</v>
      </c>
      <c r="F108" s="585">
        <f>(E46+F57)*F$10</f>
        <v>550.77955791990689</v>
      </c>
      <c r="G108" s="585">
        <f>(F46+G57)*G$10</f>
        <v>600.80972458657357</v>
      </c>
      <c r="H108" s="585">
        <f>(G46+H57)*H$10</f>
        <v>617.24131717916612</v>
      </c>
      <c r="I108" s="586">
        <f>(H46+I57)*I$10</f>
        <v>639.76952088286987</v>
      </c>
    </row>
    <row r="109" spans="1:13" x14ac:dyDescent="0.2">
      <c r="B109" s="617" t="s">
        <v>427</v>
      </c>
      <c r="C109" s="563" t="s">
        <v>804</v>
      </c>
      <c r="D109" s="618"/>
      <c r="E109" s="585">
        <f>-'Activos Reconocidos'!D186/1000+E38*$D$12</f>
        <v>834.43145843643106</v>
      </c>
      <c r="F109" s="585">
        <f>-'Activos Reconocidos'!E186/1000+F38*$D$12</f>
        <v>1029.6983762446503</v>
      </c>
      <c r="G109" s="585">
        <f>-'Activos Reconocidos'!F186/1000+G38*$D$12</f>
        <v>1151.3209789843761</v>
      </c>
      <c r="H109" s="585">
        <f>-'Activos Reconocidos'!G186/1000+H38*$D$12</f>
        <v>1200.365855696705</v>
      </c>
      <c r="I109" s="586">
        <f>-'Activos Reconocidos'!H186/1000+I38*$D$12</f>
        <v>1274.9472118610884</v>
      </c>
    </row>
    <row r="110" spans="1:13" ht="13.5" thickBot="1" x14ac:dyDescent="0.25">
      <c r="B110" s="630" t="s">
        <v>835</v>
      </c>
      <c r="C110" s="569" t="s">
        <v>804</v>
      </c>
      <c r="D110" s="631"/>
      <c r="E110" s="612">
        <f>(D25+E38)*$D$13</f>
        <v>1145.9051144360001</v>
      </c>
      <c r="F110" s="612">
        <f>(E25+F38)*$D$13</f>
        <v>1395.5884332613332</v>
      </c>
      <c r="G110" s="612">
        <f>(F25+G38)*$D$13</f>
        <v>1806.6590392647479</v>
      </c>
      <c r="H110" s="612">
        <f>(G25+H38)*$D$13</f>
        <v>1878.5693312955605</v>
      </c>
      <c r="I110" s="634">
        <f>(H25+I38)*$D$13</f>
        <v>2006.503340893496</v>
      </c>
    </row>
    <row r="111" spans="1:13" ht="13.5" thickBot="1" x14ac:dyDescent="0.25">
      <c r="B111" s="623" t="s">
        <v>413</v>
      </c>
      <c r="C111" s="624"/>
      <c r="D111" s="624"/>
      <c r="E111" s="625">
        <f>SUM(E107:E110)</f>
        <v>3794.2087565897259</v>
      </c>
      <c r="F111" s="625">
        <f t="shared" ref="F111:I111" si="14">SUM(F107:F110)</f>
        <v>4351.1960128380933</v>
      </c>
      <c r="G111" s="625">
        <f t="shared" si="14"/>
        <v>5058.8295530478999</v>
      </c>
      <c r="H111" s="625">
        <f t="shared" si="14"/>
        <v>5237.2410215836335</v>
      </c>
      <c r="I111" s="626">
        <f t="shared" si="14"/>
        <v>5518.5306886496564</v>
      </c>
    </row>
    <row r="112" spans="1:13" ht="13.5" thickBot="1" x14ac:dyDescent="0.25">
      <c r="B112" s="628"/>
      <c r="C112" s="627"/>
      <c r="D112" s="627"/>
      <c r="E112" s="629"/>
      <c r="F112" s="629"/>
      <c r="G112" s="629"/>
      <c r="H112" s="629"/>
      <c r="I112" s="629"/>
    </row>
    <row r="113" spans="2:16" x14ac:dyDescent="0.2">
      <c r="B113" s="559" t="s">
        <v>1019</v>
      </c>
      <c r="C113" s="560"/>
      <c r="D113" s="560"/>
      <c r="E113" s="560">
        <f>E8</f>
        <v>2017</v>
      </c>
      <c r="F113" s="560">
        <f>F8</f>
        <v>2018</v>
      </c>
      <c r="G113" s="560">
        <f>G8</f>
        <v>2019</v>
      </c>
      <c r="H113" s="560">
        <f>H8</f>
        <v>2020</v>
      </c>
      <c r="I113" s="561">
        <f>I8</f>
        <v>2021</v>
      </c>
    </row>
    <row r="114" spans="2:16" x14ac:dyDescent="0.2">
      <c r="B114" s="617" t="s">
        <v>855</v>
      </c>
      <c r="C114" s="563" t="s">
        <v>804</v>
      </c>
      <c r="D114" s="618"/>
      <c r="E114" s="589">
        <f>+(SUMIF(CND_HID!$12:$12,'IMP Existente'!E$113,CND_HID!$23:$23)+SUMIF(CND_HID!$12:$12,'IMP Existente'!E$113,CND_HID!$29:$29))/1000</f>
        <v>3968.2589607008567</v>
      </c>
      <c r="F114" s="589">
        <f>+(SUMIF(CND_HID!$12:$12,'IMP Existente'!F$113,CND_HID!$23:$23)+SUMIF(CND_HID!$12:$12,'IMP Existente'!F$113,CND_HID!$29:$29))/1000</f>
        <v>4611.2581096897229</v>
      </c>
      <c r="G114" s="589">
        <f>+(SUMIF(CND_HID!$12:$12,'IMP Existente'!G$113,CND_HID!$23:$23)+SUMIF(CND_HID!$12:$12,'IMP Existente'!G$113,CND_HID!$29:$29))/1000</f>
        <v>5837.3934028983376</v>
      </c>
      <c r="H114" s="589">
        <f>+(SUMIF(CND_HID!$12:$12,'IMP Existente'!H$113,CND_HID!$23:$23)+SUMIF(CND_HID!$12:$12,'IMP Existente'!H$113,CND_HID!$29:$29))/1000</f>
        <v>4637.0328355575821</v>
      </c>
      <c r="I114" s="590">
        <f>+(SUMIF(CND_HID!$12:$12,'IMP Existente'!I$113,CND_HID!$23:$23)+SUMIF(CND_HID!$12:$12,'IMP Existente'!I$113,CND_HID!$29:$29))/1000</f>
        <v>4111.0328355575812</v>
      </c>
      <c r="P114" s="629"/>
    </row>
    <row r="115" spans="2:16" x14ac:dyDescent="0.2">
      <c r="B115" s="617" t="s">
        <v>856</v>
      </c>
      <c r="C115" s="563" t="s">
        <v>804</v>
      </c>
      <c r="D115" s="618"/>
      <c r="E115" s="589">
        <f>+(SUMIF(CND_HID!$77:$77,'IMP Existente'!E$113,CND_HID!$146:$146)+SUMIF(CND_HID!$88:$88,'IMP Existente'!E$113,CND_HID!$92:$92)-SUMIF('Activos Reconocidos'!$250:$250,'IMP Existente'!E$113,'Activos Reconocidos'!$255:$255)+ActNetoHidro*RRT)/1000</f>
        <v>3222.9667539023421</v>
      </c>
      <c r="F115" s="589">
        <f>+(SUMIF(CND_HID!$77:$77,'IMP Existente'!F$113,CND_HID!$146:$146)+SUMIF(CND_HID!$88:$88,'IMP Existente'!F$113,CND_HID!$92:$92)-SUMIF('Activos Reconocidos'!$250:$250,'IMP Existente'!F$113,'Activos Reconocidos'!$255:$255)+ActNetoHidro*RRT)/1000</f>
        <v>3405.3667539023422</v>
      </c>
      <c r="G115" s="589">
        <f>+(SUMIF(CND_HID!$77:$77,'IMP Existente'!G$113,CND_HID!$146:$146)+SUMIF(CND_HID!$88:$88,'IMP Existente'!G$113,CND_HID!$92:$92)-SUMIF('Activos Reconocidos'!$250:$250,'IMP Existente'!G$113,'Activos Reconocidos'!$255:$255)+ActNetoHidro*RRT)/1000</f>
        <v>2347.3667539023422</v>
      </c>
      <c r="H115" s="589">
        <f>+(SUMIF(CND_HID!$77:$77,'IMP Existente'!H$113,CND_HID!$146:$146)+SUMIF(CND_HID!$88:$88,'IMP Existente'!H$113,CND_HID!$92:$92)-SUMIF('Activos Reconocidos'!$250:$250,'IMP Existente'!H$113,'Activos Reconocidos'!$255:$255)+ActNetoHidro*RRT)/1000</f>
        <v>1573.366753902342</v>
      </c>
      <c r="I115" s="590">
        <f>+(SUMIF(CND_HID!$77:$77,'IMP Existente'!I$113,CND_HID!$146:$146)+SUMIF(CND_HID!$88:$88,'IMP Existente'!I$113,CND_HID!$92:$92)-SUMIF('Activos Reconocidos'!$250:$250,'IMP Existente'!I$113,'Activos Reconocidos'!$255:$255)+ActNetoHidro*RRT)/1000</f>
        <v>2173.3667539023422</v>
      </c>
      <c r="L115" s="603"/>
    </row>
    <row r="116" spans="2:16" ht="13.5" thickBot="1" x14ac:dyDescent="0.25">
      <c r="B116" s="623" t="s">
        <v>413</v>
      </c>
      <c r="C116" s="624"/>
      <c r="D116" s="624"/>
      <c r="E116" s="625">
        <f>SUM(E114:E115)</f>
        <v>7191.2257146031989</v>
      </c>
      <c r="F116" s="625">
        <f t="shared" ref="F116:I116" si="15">SUM(F114:F115)</f>
        <v>8016.6248635920656</v>
      </c>
      <c r="G116" s="625">
        <f t="shared" si="15"/>
        <v>8184.7601568006794</v>
      </c>
      <c r="H116" s="625">
        <f t="shared" si="15"/>
        <v>6210.3995894599238</v>
      </c>
      <c r="I116" s="626">
        <f t="shared" si="15"/>
        <v>6284.3995894599229</v>
      </c>
    </row>
    <row r="117" spans="2:16" ht="13.5" thickBot="1" x14ac:dyDescent="0.25">
      <c r="B117" s="628"/>
      <c r="C117" s="627"/>
      <c r="D117" s="627"/>
      <c r="E117" s="629"/>
      <c r="F117" s="629"/>
      <c r="G117" s="629"/>
      <c r="H117" s="629"/>
      <c r="I117" s="629"/>
    </row>
    <row r="118" spans="2:16" x14ac:dyDescent="0.2">
      <c r="B118" s="559" t="s">
        <v>1048</v>
      </c>
      <c r="C118" s="672"/>
      <c r="D118" s="560" t="s">
        <v>1147</v>
      </c>
      <c r="E118" s="560" t="str">
        <f>E80</f>
        <v>jul17-jun18</v>
      </c>
      <c r="F118" s="560" t="str">
        <f>F80</f>
        <v>jul18-jun19</v>
      </c>
      <c r="G118" s="560" t="str">
        <f>G80</f>
        <v>jul19-jun20</v>
      </c>
      <c r="H118" s="561" t="str">
        <f>H80</f>
        <v>jul20-jun21</v>
      </c>
      <c r="I118" s="629"/>
    </row>
    <row r="119" spans="2:16" x14ac:dyDescent="0.2">
      <c r="B119" s="640" t="s">
        <v>859</v>
      </c>
      <c r="C119" s="641" t="s">
        <v>804</v>
      </c>
      <c r="D119" s="643">
        <f>NPV($D$13,E119:H119)</f>
        <v>170557.88357331316</v>
      </c>
      <c r="E119" s="643">
        <f>(E69+F69)/2</f>
        <v>52880.646466189479</v>
      </c>
      <c r="F119" s="643">
        <f>(F69+G69)/2</f>
        <v>51737.370143098349</v>
      </c>
      <c r="G119" s="643">
        <f>(G69+H69)/2</f>
        <v>50536.593820007212</v>
      </c>
      <c r="H119" s="644">
        <f>(H69+I69)/2</f>
        <v>49278.31749691609</v>
      </c>
      <c r="I119" s="629"/>
    </row>
    <row r="120" spans="2:16" x14ac:dyDescent="0.2">
      <c r="B120" s="640" t="s">
        <v>860</v>
      </c>
      <c r="C120" s="641" t="s">
        <v>804</v>
      </c>
      <c r="D120" s="643">
        <f>NPV($D$13,E120:H120)</f>
        <v>185282.36754163794</v>
      </c>
      <c r="E120" s="643">
        <f>(E78+F78)/2</f>
        <v>44090.436494044377</v>
      </c>
      <c r="F120" s="643">
        <f>(F78+G78)/2</f>
        <v>63462.596692312109</v>
      </c>
      <c r="G120" s="643">
        <f>(G78+H78)/2</f>
        <v>62528.613014028146</v>
      </c>
      <c r="H120" s="644">
        <f>(H78+I78)/2</f>
        <v>53594.62933574419</v>
      </c>
      <c r="I120" s="629"/>
    </row>
    <row r="121" spans="2:16" x14ac:dyDescent="0.2">
      <c r="B121" s="674" t="s">
        <v>861</v>
      </c>
      <c r="C121" s="675" t="s">
        <v>804</v>
      </c>
      <c r="D121" s="676">
        <f>NPV(RRT,E121:H121)</f>
        <v>170557.88357331316</v>
      </c>
      <c r="E121" s="676">
        <f>-PMT(RRT,4,$D$119)</f>
        <v>51220.151770625169</v>
      </c>
      <c r="F121" s="676">
        <f>-PMT(RRT,4,$D$119)</f>
        <v>51220.151770625169</v>
      </c>
      <c r="G121" s="676">
        <f>-PMT(RRT,4,$D$119)</f>
        <v>51220.151770625169</v>
      </c>
      <c r="H121" s="677">
        <f>-PMT(RRT,4,$D$119)</f>
        <v>51220.151770625169</v>
      </c>
      <c r="I121" s="629"/>
    </row>
    <row r="122" spans="2:16" ht="13.5" thickBot="1" x14ac:dyDescent="0.25">
      <c r="B122" s="678" t="s">
        <v>862</v>
      </c>
      <c r="C122" s="660" t="s">
        <v>804</v>
      </c>
      <c r="D122" s="679">
        <f>NPV(RRT,E122:H122)</f>
        <v>185282.367541638</v>
      </c>
      <c r="E122" s="679">
        <f>-PMT(RRT,4,$D$120)</f>
        <v>55642.054105485877</v>
      </c>
      <c r="F122" s="679">
        <f>-PMT(RRT,4,$D$120)</f>
        <v>55642.054105485877</v>
      </c>
      <c r="G122" s="679">
        <f>-PMT(RRT,4,$D$120)</f>
        <v>55642.054105485877</v>
      </c>
      <c r="H122" s="663">
        <f>-PMT(RRT,4,$D$120)</f>
        <v>55642.054105485877</v>
      </c>
      <c r="I122" s="629"/>
    </row>
    <row r="123" spans="2:16" ht="13.5" thickBot="1" x14ac:dyDescent="0.25">
      <c r="B123" s="628"/>
      <c r="C123" s="627"/>
      <c r="D123" s="629"/>
      <c r="E123" s="629"/>
      <c r="F123" s="629"/>
      <c r="G123" s="629"/>
      <c r="H123" s="629"/>
      <c r="I123" s="629"/>
    </row>
    <row r="124" spans="2:16" x14ac:dyDescent="0.2">
      <c r="B124" s="559" t="s">
        <v>857</v>
      </c>
      <c r="C124" s="560"/>
      <c r="D124" s="560"/>
      <c r="E124" s="560" t="str">
        <f>E80</f>
        <v>jul17-jun18</v>
      </c>
      <c r="F124" s="560" t="str">
        <f>F80</f>
        <v>jul18-jun19</v>
      </c>
      <c r="G124" s="560" t="str">
        <f>G80</f>
        <v>jul19-jun20</v>
      </c>
      <c r="H124" s="561" t="str">
        <f>H80</f>
        <v>jul20-jun21</v>
      </c>
    </row>
    <row r="125" spans="2:16" x14ac:dyDescent="0.2">
      <c r="B125" s="635" t="s">
        <v>863</v>
      </c>
      <c r="C125" s="636"/>
      <c r="D125" s="637"/>
      <c r="E125" s="638"/>
      <c r="F125" s="638"/>
      <c r="G125" s="638"/>
      <c r="H125" s="639"/>
    </row>
    <row r="126" spans="2:16" outlineLevel="1" x14ac:dyDescent="0.2">
      <c r="B126" s="640" t="s">
        <v>859</v>
      </c>
      <c r="C126" s="641" t="s">
        <v>804</v>
      </c>
      <c r="D126" s="643"/>
      <c r="E126" s="1010">
        <f>E121</f>
        <v>51220.151770625169</v>
      </c>
      <c r="F126" s="1010">
        <f>F121</f>
        <v>51220.151770625169</v>
      </c>
      <c r="G126" s="1010">
        <f>G121</f>
        <v>51220.151770625169</v>
      </c>
      <c r="H126" s="1014">
        <f>H121</f>
        <v>51220.151770625169</v>
      </c>
    </row>
    <row r="127" spans="2:16" hidden="1" outlineLevel="1" x14ac:dyDescent="0.2">
      <c r="B127" s="640" t="s">
        <v>864</v>
      </c>
      <c r="C127" s="641" t="s">
        <v>804</v>
      </c>
      <c r="D127" s="642"/>
      <c r="E127" s="1010">
        <f>E91</f>
        <v>0</v>
      </c>
      <c r="F127" s="1010">
        <f>F91</f>
        <v>0</v>
      </c>
      <c r="G127" s="1010">
        <f>G91</f>
        <v>0</v>
      </c>
      <c r="H127" s="1014">
        <f>H91</f>
        <v>0</v>
      </c>
      <c r="J127" s="609"/>
    </row>
    <row r="128" spans="2:16" hidden="1" collapsed="1" x14ac:dyDescent="0.2">
      <c r="B128" s="645" t="s">
        <v>865</v>
      </c>
      <c r="C128" s="646" t="s">
        <v>804</v>
      </c>
      <c r="D128" s="647"/>
      <c r="E128" s="648">
        <f>E126+E127</f>
        <v>51220.151770625169</v>
      </c>
      <c r="F128" s="648">
        <f t="shared" ref="F128:H128" si="16">F126+F127</f>
        <v>51220.151770625169</v>
      </c>
      <c r="G128" s="648">
        <f t="shared" si="16"/>
        <v>51220.151770625169</v>
      </c>
      <c r="H128" s="649">
        <f t="shared" si="16"/>
        <v>51220.151770625169</v>
      </c>
      <c r="J128" s="609"/>
    </row>
    <row r="129" spans="2:9" x14ac:dyDescent="0.2">
      <c r="B129" s="650" t="s">
        <v>866</v>
      </c>
      <c r="C129" s="641"/>
      <c r="D129" s="642"/>
      <c r="E129" s="1010"/>
      <c r="F129" s="1010"/>
      <c r="G129" s="1010"/>
      <c r="H129" s="1014"/>
    </row>
    <row r="130" spans="2:9" outlineLevel="1" x14ac:dyDescent="0.2">
      <c r="B130" s="640" t="s">
        <v>860</v>
      </c>
      <c r="C130" s="641" t="s">
        <v>804</v>
      </c>
      <c r="D130" s="642"/>
      <c r="E130" s="1010">
        <f>E122</f>
        <v>55642.054105485877</v>
      </c>
      <c r="F130" s="1010">
        <f>F122</f>
        <v>55642.054105485877</v>
      </c>
      <c r="G130" s="1010">
        <f>G122</f>
        <v>55642.054105485877</v>
      </c>
      <c r="H130" s="1014">
        <f>H122</f>
        <v>55642.054105485877</v>
      </c>
    </row>
    <row r="131" spans="2:9" hidden="1" outlineLevel="1" x14ac:dyDescent="0.2">
      <c r="B131" s="640" t="s">
        <v>867</v>
      </c>
      <c r="C131" s="641" t="s">
        <v>804</v>
      </c>
      <c r="D131" s="642"/>
      <c r="E131" s="643">
        <f>E104</f>
        <v>0</v>
      </c>
      <c r="F131" s="643">
        <f>F104</f>
        <v>0</v>
      </c>
      <c r="G131" s="643">
        <f>G104</f>
        <v>0</v>
      </c>
      <c r="H131" s="644">
        <f>H104</f>
        <v>0</v>
      </c>
    </row>
    <row r="132" spans="2:9" hidden="1" collapsed="1" x14ac:dyDescent="0.2">
      <c r="B132" s="645" t="s">
        <v>868</v>
      </c>
      <c r="C132" s="646" t="s">
        <v>804</v>
      </c>
      <c r="D132" s="651"/>
      <c r="E132" s="648">
        <f>E130+E131</f>
        <v>55642.054105485877</v>
      </c>
      <c r="F132" s="648">
        <f t="shared" ref="F132:H132" si="17">F130+F131</f>
        <v>55642.054105485877</v>
      </c>
      <c r="G132" s="648">
        <f t="shared" si="17"/>
        <v>55642.054105485877</v>
      </c>
      <c r="H132" s="649">
        <f t="shared" si="17"/>
        <v>55642.054105485877</v>
      </c>
    </row>
    <row r="133" spans="2:9" x14ac:dyDescent="0.2">
      <c r="B133" s="653" t="s">
        <v>26</v>
      </c>
      <c r="C133" s="654" t="s">
        <v>804</v>
      </c>
      <c r="D133" s="655"/>
      <c r="E133" s="656">
        <f>(E111+F111)/2</f>
        <v>4072.7023847139099</v>
      </c>
      <c r="F133" s="656">
        <f>(F111+G111)/2</f>
        <v>4705.0127829429966</v>
      </c>
      <c r="G133" s="656">
        <f>(G111+H111)/2</f>
        <v>5148.0352873157663</v>
      </c>
      <c r="H133" s="657">
        <f>(H111+I111)/2</f>
        <v>5377.885855116645</v>
      </c>
    </row>
    <row r="134" spans="2:9" x14ac:dyDescent="0.2">
      <c r="B134" s="658" t="s">
        <v>854</v>
      </c>
      <c r="C134" s="641"/>
      <c r="D134" s="642"/>
      <c r="E134" s="643"/>
      <c r="F134" s="643"/>
      <c r="G134" s="643"/>
      <c r="H134" s="644"/>
    </row>
    <row r="135" spans="2:9" outlineLevel="1" x14ac:dyDescent="0.2">
      <c r="B135" s="640" t="s">
        <v>855</v>
      </c>
      <c r="C135" s="641" t="s">
        <v>804</v>
      </c>
      <c r="D135" s="642"/>
      <c r="E135" s="643">
        <f t="shared" ref="E135:H136" si="18">(E114+F114)/2</f>
        <v>4289.7585351952894</v>
      </c>
      <c r="F135" s="643">
        <f t="shared" si="18"/>
        <v>5224.3257562940307</v>
      </c>
      <c r="G135" s="643">
        <f t="shared" si="18"/>
        <v>5237.2131192279594</v>
      </c>
      <c r="H135" s="644">
        <f t="shared" si="18"/>
        <v>4374.0328355575821</v>
      </c>
    </row>
    <row r="136" spans="2:9" outlineLevel="1" x14ac:dyDescent="0.2">
      <c r="B136" s="640" t="s">
        <v>856</v>
      </c>
      <c r="C136" s="641" t="s">
        <v>804</v>
      </c>
      <c r="D136" s="642"/>
      <c r="E136" s="643">
        <f t="shared" si="18"/>
        <v>3314.166753902342</v>
      </c>
      <c r="F136" s="643">
        <f t="shared" si="18"/>
        <v>2876.3667539023422</v>
      </c>
      <c r="G136" s="643">
        <f t="shared" si="18"/>
        <v>1960.3667539023422</v>
      </c>
      <c r="H136" s="644">
        <f t="shared" si="18"/>
        <v>1873.3667539023422</v>
      </c>
    </row>
    <row r="137" spans="2:9" ht="13.5" thickBot="1" x14ac:dyDescent="0.25">
      <c r="B137" s="659" t="s">
        <v>1059</v>
      </c>
      <c r="C137" s="660" t="s">
        <v>804</v>
      </c>
      <c r="D137" s="661"/>
      <c r="E137" s="662">
        <f>SUM(E135:E136)</f>
        <v>7603.9252890976313</v>
      </c>
      <c r="F137" s="662">
        <f t="shared" ref="F137:H137" si="19">SUM(F135:F136)</f>
        <v>8100.6925101963734</v>
      </c>
      <c r="G137" s="662">
        <f t="shared" si="19"/>
        <v>7197.5798731303021</v>
      </c>
      <c r="H137" s="785">
        <f t="shared" si="19"/>
        <v>6247.3995894599248</v>
      </c>
    </row>
    <row r="138" spans="2:9" ht="13.5" thickBot="1" x14ac:dyDescent="0.25">
      <c r="B138" s="664" t="s">
        <v>1049</v>
      </c>
      <c r="C138" s="665" t="s">
        <v>804</v>
      </c>
      <c r="D138" s="666"/>
      <c r="E138" s="667">
        <f>E128+E132+E133+E137</f>
        <v>118538.83354992259</v>
      </c>
      <c r="F138" s="667">
        <f t="shared" ref="F138:H138" si="20">F128+F132+F133+F137</f>
        <v>119667.91116925042</v>
      </c>
      <c r="G138" s="667">
        <f t="shared" si="20"/>
        <v>119207.82103655713</v>
      </c>
      <c r="H138" s="668">
        <f t="shared" si="20"/>
        <v>118487.49132068762</v>
      </c>
    </row>
    <row r="139" spans="2:9" ht="13.5" thickBot="1" x14ac:dyDescent="0.25">
      <c r="B139" s="628"/>
      <c r="C139" s="627"/>
      <c r="D139" s="627"/>
      <c r="E139" s="629"/>
      <c r="F139" s="629"/>
      <c r="G139" s="629"/>
      <c r="H139" s="629"/>
      <c r="I139" s="629"/>
    </row>
    <row r="140" spans="2:9" x14ac:dyDescent="0.2">
      <c r="B140" s="783" t="s">
        <v>870</v>
      </c>
      <c r="C140" s="784"/>
      <c r="D140" s="784"/>
      <c r="E140" s="560" t="str">
        <f>+E124</f>
        <v>jul17-jun18</v>
      </c>
      <c r="F140" s="560" t="str">
        <f t="shared" ref="F140:H140" si="21">+F124</f>
        <v>jul18-jun19</v>
      </c>
      <c r="G140" s="560" t="str">
        <f t="shared" si="21"/>
        <v>jul19-jun20</v>
      </c>
      <c r="H140" s="561" t="str">
        <f t="shared" si="21"/>
        <v>jul20-jun21</v>
      </c>
      <c r="I140" s="629"/>
    </row>
    <row r="141" spans="2:9" ht="13.5" thickBot="1" x14ac:dyDescent="0.25">
      <c r="B141" s="779"/>
      <c r="C141" s="780"/>
      <c r="D141" s="780"/>
      <c r="E141" s="781">
        <f>1/(1+RRT)^0.5</f>
        <v>0.96332140106614561</v>
      </c>
      <c r="F141" s="781">
        <f>E141/(1+RRT)</f>
        <v>0.8939508176189177</v>
      </c>
      <c r="G141" s="781">
        <f>F141/(1+RRT)</f>
        <v>0.82957574018088143</v>
      </c>
      <c r="H141" s="782">
        <f>G141/(1+RRT)</f>
        <v>0.76983643298151583</v>
      </c>
      <c r="I141" s="629"/>
    </row>
    <row r="142" spans="2:9" ht="13.5" thickBot="1" x14ac:dyDescent="0.25">
      <c r="B142" s="628"/>
      <c r="C142" s="627"/>
      <c r="D142" s="627"/>
      <c r="E142" s="629"/>
      <c r="F142" s="669"/>
      <c r="G142" s="629"/>
      <c r="H142" s="629"/>
      <c r="I142" s="629"/>
    </row>
    <row r="143" spans="2:9" x14ac:dyDescent="0.2">
      <c r="B143" s="559" t="s">
        <v>871</v>
      </c>
      <c r="C143" s="560"/>
      <c r="D143" s="560" t="s">
        <v>858</v>
      </c>
      <c r="E143" s="560" t="str">
        <f>E80</f>
        <v>jul17-jun18</v>
      </c>
      <c r="F143" s="560" t="str">
        <f>F80</f>
        <v>jul18-jun19</v>
      </c>
      <c r="G143" s="560" t="str">
        <f>G80</f>
        <v>jul19-jun20</v>
      </c>
      <c r="H143" s="561" t="str">
        <f>H80</f>
        <v>jul20-jun21</v>
      </c>
      <c r="I143" s="786"/>
    </row>
    <row r="144" spans="2:9" x14ac:dyDescent="0.2">
      <c r="B144" s="635" t="s">
        <v>863</v>
      </c>
      <c r="C144" s="636"/>
      <c r="D144" s="637"/>
      <c r="E144" s="638"/>
      <c r="F144" s="638"/>
      <c r="G144" s="638"/>
      <c r="H144" s="639"/>
      <c r="I144" s="710"/>
    </row>
    <row r="145" spans="2:23" outlineLevel="1" x14ac:dyDescent="0.2">
      <c r="B145" s="640" t="s">
        <v>859</v>
      </c>
      <c r="C145" s="641" t="s">
        <v>804</v>
      </c>
      <c r="D145" s="1010">
        <f>SUM(E145:H145)</f>
        <v>177051.89917357813</v>
      </c>
      <c r="E145" s="1010">
        <f>E126*E$141</f>
        <v>49341.468366499255</v>
      </c>
      <c r="F145" s="1010">
        <f t="shared" ref="E145:H146" si="22">F126*F$141</f>
        <v>45788.296553915425</v>
      </c>
      <c r="G145" s="1010">
        <f t="shared" si="22"/>
        <v>42490.995317293462</v>
      </c>
      <c r="H145" s="1014">
        <f t="shared" si="22"/>
        <v>39431.138935869953</v>
      </c>
      <c r="I145" s="710"/>
    </row>
    <row r="146" spans="2:23" hidden="1" outlineLevel="1" x14ac:dyDescent="0.2">
      <c r="B146" s="640" t="s">
        <v>864</v>
      </c>
      <c r="C146" s="641" t="s">
        <v>804</v>
      </c>
      <c r="D146" s="643">
        <f t="shared" ref="D146:D157" si="23">SUM(E146:H146)</f>
        <v>0</v>
      </c>
      <c r="E146" s="643">
        <f t="shared" si="22"/>
        <v>0</v>
      </c>
      <c r="F146" s="643">
        <f t="shared" si="22"/>
        <v>0</v>
      </c>
      <c r="G146" s="643">
        <f t="shared" si="22"/>
        <v>0</v>
      </c>
      <c r="H146" s="644">
        <f t="shared" si="22"/>
        <v>0</v>
      </c>
      <c r="I146" s="710"/>
    </row>
    <row r="147" spans="2:23" hidden="1" collapsed="1" x14ac:dyDescent="0.2">
      <c r="B147" s="645" t="s">
        <v>865</v>
      </c>
      <c r="C147" s="646" t="s">
        <v>804</v>
      </c>
      <c r="D147" s="648">
        <f t="shared" si="23"/>
        <v>177051.89917357813</v>
      </c>
      <c r="E147" s="648">
        <f>E145+E146</f>
        <v>49341.468366499255</v>
      </c>
      <c r="F147" s="648">
        <f t="shared" ref="F147:H147" si="24">F145+F146</f>
        <v>45788.296553915425</v>
      </c>
      <c r="G147" s="648">
        <f t="shared" si="24"/>
        <v>42490.995317293462</v>
      </c>
      <c r="H147" s="649">
        <f t="shared" si="24"/>
        <v>39431.138935869953</v>
      </c>
      <c r="I147" s="714"/>
    </row>
    <row r="148" spans="2:23" x14ac:dyDescent="0.2">
      <c r="B148" s="650" t="s">
        <v>866</v>
      </c>
      <c r="C148" s="641"/>
      <c r="D148" s="643">
        <f t="shared" si="23"/>
        <v>0</v>
      </c>
      <c r="E148" s="643"/>
      <c r="F148" s="643"/>
      <c r="G148" s="643"/>
      <c r="H148" s="644"/>
      <c r="I148" s="710"/>
    </row>
    <row r="149" spans="2:23" outlineLevel="1" x14ac:dyDescent="0.2">
      <c r="B149" s="640" t="s">
        <v>860</v>
      </c>
      <c r="C149" s="641" t="s">
        <v>804</v>
      </c>
      <c r="D149" s="1010">
        <f t="shared" si="23"/>
        <v>192337.01995676494</v>
      </c>
      <c r="E149" s="1010">
        <f t="shared" ref="E149:H150" si="25">E130*E$141</f>
        <v>53601.181519094935</v>
      </c>
      <c r="F149" s="1010">
        <f t="shared" si="25"/>
        <v>49741.259761595153</v>
      </c>
      <c r="G149" s="1010">
        <f t="shared" si="25"/>
        <v>46159.298219743097</v>
      </c>
      <c r="H149" s="1014">
        <f t="shared" si="25"/>
        <v>42835.280456331755</v>
      </c>
      <c r="I149" s="710"/>
    </row>
    <row r="150" spans="2:23" hidden="1" outlineLevel="1" x14ac:dyDescent="0.2">
      <c r="B150" s="640" t="s">
        <v>867</v>
      </c>
      <c r="C150" s="641" t="s">
        <v>804</v>
      </c>
      <c r="D150" s="643">
        <f t="shared" si="23"/>
        <v>0</v>
      </c>
      <c r="E150" s="643">
        <f t="shared" si="25"/>
        <v>0</v>
      </c>
      <c r="F150" s="643">
        <f t="shared" si="25"/>
        <v>0</v>
      </c>
      <c r="G150" s="643">
        <f t="shared" si="25"/>
        <v>0</v>
      </c>
      <c r="H150" s="644">
        <f t="shared" si="25"/>
        <v>0</v>
      </c>
      <c r="I150" s="710"/>
    </row>
    <row r="151" spans="2:23" hidden="1" collapsed="1" x14ac:dyDescent="0.2">
      <c r="B151" s="645" t="s">
        <v>868</v>
      </c>
      <c r="C151" s="646" t="s">
        <v>804</v>
      </c>
      <c r="D151" s="648">
        <f t="shared" si="23"/>
        <v>192337.01995676494</v>
      </c>
      <c r="E151" s="648">
        <f>E149+E150</f>
        <v>53601.181519094935</v>
      </c>
      <c r="F151" s="648">
        <f t="shared" ref="F151:H151" si="26">F149+F150</f>
        <v>49741.259761595153</v>
      </c>
      <c r="G151" s="648">
        <f t="shared" si="26"/>
        <v>46159.298219743097</v>
      </c>
      <c r="H151" s="649">
        <f t="shared" si="26"/>
        <v>42835.280456331755</v>
      </c>
      <c r="I151" s="710"/>
    </row>
    <row r="152" spans="2:23" x14ac:dyDescent="0.2">
      <c r="B152" s="653" t="s">
        <v>26</v>
      </c>
      <c r="C152" s="654" t="s">
        <v>804</v>
      </c>
      <c r="D152" s="656">
        <f t="shared" si="23"/>
        <v>16540.149039224409</v>
      </c>
      <c r="E152" s="656">
        <f>E133*E$141</f>
        <v>3923.3213673680361</v>
      </c>
      <c r="F152" s="656">
        <f>F133*F$141</f>
        <v>4206.0500242193511</v>
      </c>
      <c r="G152" s="656">
        <f>G133*G$141</f>
        <v>4270.6851839522733</v>
      </c>
      <c r="H152" s="657">
        <f>H133*H$141</f>
        <v>4140.0924636847467</v>
      </c>
      <c r="I152" s="714"/>
    </row>
    <row r="153" spans="2:23" x14ac:dyDescent="0.2">
      <c r="B153" s="658" t="s">
        <v>854</v>
      </c>
      <c r="C153" s="641"/>
      <c r="D153" s="643">
        <f t="shared" si="23"/>
        <v>0</v>
      </c>
      <c r="E153" s="643"/>
      <c r="F153" s="643"/>
      <c r="G153" s="643"/>
      <c r="H153" s="644"/>
      <c r="I153" s="710"/>
    </row>
    <row r="154" spans="2:23" outlineLevel="1" x14ac:dyDescent="0.2">
      <c r="B154" s="640" t="s">
        <v>855</v>
      </c>
      <c r="C154" s="641" t="s">
        <v>804</v>
      </c>
      <c r="D154" s="643">
        <f t="shared" si="23"/>
        <v>16514.661269444634</v>
      </c>
      <c r="E154" s="643">
        <f t="shared" ref="E154:H155" si="27">E135*E$141</f>
        <v>4132.4162023597828</v>
      </c>
      <c r="F154" s="643">
        <f t="shared" si="27"/>
        <v>4670.2902813466189</v>
      </c>
      <c r="G154" s="643">
        <f t="shared" si="27"/>
        <v>4344.6649498685574</v>
      </c>
      <c r="H154" s="644">
        <f t="shared" si="27"/>
        <v>3367.2898358696743</v>
      </c>
      <c r="I154" s="710"/>
    </row>
    <row r="155" spans="2:23" outlineLevel="1" x14ac:dyDescent="0.2">
      <c r="B155" s="640" t="s">
        <v>856</v>
      </c>
      <c r="C155" s="641" t="s">
        <v>804</v>
      </c>
      <c r="D155" s="643">
        <f t="shared" si="23"/>
        <v>8832.3968525437831</v>
      </c>
      <c r="E155" s="643">
        <f t="shared" si="27"/>
        <v>3192.6077607360439</v>
      </c>
      <c r="F155" s="643">
        <f t="shared" si="27"/>
        <v>2571.3304114228713</v>
      </c>
      <c r="G155" s="643">
        <f t="shared" si="27"/>
        <v>1626.2727008945274</v>
      </c>
      <c r="H155" s="644">
        <f t="shared" si="27"/>
        <v>1442.1859794903403</v>
      </c>
      <c r="I155" s="710"/>
    </row>
    <row r="156" spans="2:23" ht="13.5" thickBot="1" x14ac:dyDescent="0.25">
      <c r="B156" s="659" t="s">
        <v>1059</v>
      </c>
      <c r="C156" s="660" t="s">
        <v>804</v>
      </c>
      <c r="D156" s="662">
        <f t="shared" si="23"/>
        <v>25347.058121988419</v>
      </c>
      <c r="E156" s="662">
        <f>SUM(E154:E155)</f>
        <v>7325.0239630958267</v>
      </c>
      <c r="F156" s="662">
        <f t="shared" ref="F156:H156" si="28">SUM(F154:F155)</f>
        <v>7241.6206927694902</v>
      </c>
      <c r="G156" s="662">
        <f t="shared" si="28"/>
        <v>5970.937650763085</v>
      </c>
      <c r="H156" s="785">
        <f t="shared" si="28"/>
        <v>4809.4758153600142</v>
      </c>
      <c r="I156" s="710"/>
    </row>
    <row r="157" spans="2:23" ht="13.5" thickBot="1" x14ac:dyDescent="0.25">
      <c r="B157" s="664" t="s">
        <v>1049</v>
      </c>
      <c r="C157" s="665" t="s">
        <v>804</v>
      </c>
      <c r="D157" s="667">
        <f t="shared" si="23"/>
        <v>411276.12629155582</v>
      </c>
      <c r="E157" s="667">
        <f>E147+E151+E152+E156</f>
        <v>114190.99521605804</v>
      </c>
      <c r="F157" s="667">
        <f t="shared" ref="F157:H157" si="29">F147+F151+F152+F156</f>
        <v>106977.22703249942</v>
      </c>
      <c r="G157" s="667">
        <f t="shared" si="29"/>
        <v>98891.916371751911</v>
      </c>
      <c r="H157" s="668">
        <f t="shared" si="29"/>
        <v>91215.987671246461</v>
      </c>
      <c r="I157" s="710"/>
    </row>
    <row r="158" spans="2:23" ht="13.5" thickBot="1" x14ac:dyDescent="0.25">
      <c r="B158" s="670"/>
      <c r="C158" s="671"/>
      <c r="D158" s="670"/>
      <c r="E158" s="670"/>
      <c r="F158" s="670"/>
      <c r="G158" s="670"/>
      <c r="H158" s="670"/>
      <c r="I158" s="670"/>
    </row>
    <row r="159" spans="2:23" ht="39" thickBot="1" x14ac:dyDescent="0.25">
      <c r="B159" s="793"/>
      <c r="C159" s="792"/>
      <c r="D159" s="793" t="s">
        <v>1056</v>
      </c>
      <c r="E159" s="794" t="s">
        <v>1058</v>
      </c>
      <c r="F159" s="795" t="s">
        <v>1057</v>
      </c>
      <c r="G159" s="555"/>
      <c r="H159" s="555"/>
      <c r="I159" s="555"/>
    </row>
    <row r="160" spans="2:23" x14ac:dyDescent="0.2">
      <c r="B160" s="788" t="s">
        <v>1053</v>
      </c>
      <c r="C160" s="595"/>
      <c r="D160" s="643">
        <f>+'IMP RevTar_2013_2017'!D53</f>
        <v>205159.74981340076</v>
      </c>
      <c r="E160" s="1010">
        <f>+D147</f>
        <v>177051.89917357813</v>
      </c>
      <c r="F160" s="959">
        <f>+D147/D160-1</f>
        <v>-0.13700470323924452</v>
      </c>
      <c r="I160" s="786"/>
      <c r="J160" s="673"/>
      <c r="K160" s="673"/>
      <c r="L160" s="673"/>
      <c r="M160" s="673"/>
      <c r="N160" s="673"/>
      <c r="O160" s="673"/>
      <c r="P160" s="594"/>
      <c r="Q160" s="594"/>
      <c r="R160" s="594"/>
      <c r="S160" s="594"/>
      <c r="T160" s="594"/>
      <c r="U160" s="594"/>
      <c r="V160" s="594"/>
      <c r="W160" s="594"/>
    </row>
    <row r="161" spans="2:23" x14ac:dyDescent="0.2">
      <c r="B161" s="787" t="s">
        <v>1054</v>
      </c>
      <c r="C161" s="595"/>
      <c r="D161" s="643">
        <f>+'IMP RevTar_2013_2017'!D57</f>
        <v>14985.132639654974</v>
      </c>
      <c r="E161" s="1010">
        <f>+D151</f>
        <v>192337.01995676494</v>
      </c>
      <c r="F161" s="959">
        <f>+D151/D161-1</f>
        <v>11.835189689798662</v>
      </c>
      <c r="I161" s="710"/>
      <c r="J161" s="673"/>
      <c r="K161" s="673"/>
      <c r="L161" s="673"/>
      <c r="M161" s="673"/>
      <c r="N161" s="673"/>
      <c r="O161" s="673"/>
      <c r="P161" s="594"/>
      <c r="Q161" s="594"/>
      <c r="R161" s="594"/>
      <c r="S161" s="594"/>
      <c r="T161" s="594"/>
      <c r="U161" s="594"/>
      <c r="V161" s="594"/>
      <c r="W161" s="594"/>
    </row>
    <row r="162" spans="2:23" x14ac:dyDescent="0.2">
      <c r="B162" s="788" t="s">
        <v>26</v>
      </c>
      <c r="C162" s="595"/>
      <c r="D162" s="643">
        <f>+'IMP RevTar_2013_2017'!D58</f>
        <v>16135.123894473314</v>
      </c>
      <c r="E162" s="1010">
        <f>+D152</f>
        <v>16540.149039224409</v>
      </c>
      <c r="F162" s="959">
        <f>+D152/D162-1</f>
        <v>2.5102078385021098E-2</v>
      </c>
      <c r="I162" s="710"/>
      <c r="J162" s="673"/>
      <c r="K162" s="796"/>
      <c r="L162" s="673"/>
      <c r="M162" s="673"/>
      <c r="N162" s="673"/>
      <c r="O162" s="673"/>
      <c r="P162" s="594"/>
      <c r="Q162" s="594"/>
      <c r="R162" s="594"/>
      <c r="S162" s="594"/>
      <c r="T162" s="594"/>
      <c r="U162" s="594"/>
      <c r="V162" s="594"/>
      <c r="W162" s="594"/>
    </row>
    <row r="163" spans="2:23" ht="13.5" thickBot="1" x14ac:dyDescent="0.25">
      <c r="B163" s="789" t="s">
        <v>1055</v>
      </c>
      <c r="C163" s="595"/>
      <c r="D163" s="679">
        <f>+'IMP RevTar_2013_2017'!D59</f>
        <v>39377.625397864402</v>
      </c>
      <c r="E163" s="662">
        <f>+D156</f>
        <v>25347.058121988419</v>
      </c>
      <c r="F163" s="960">
        <f>+D156/D163-1</f>
        <v>-0.35630810984953176</v>
      </c>
      <c r="I163" s="710"/>
      <c r="J163" s="673"/>
      <c r="K163" s="796"/>
      <c r="L163" s="673"/>
      <c r="M163" s="673"/>
      <c r="N163" s="673"/>
      <c r="O163" s="673"/>
      <c r="P163" s="594"/>
      <c r="Q163" s="594"/>
      <c r="R163" s="594"/>
      <c r="S163" s="594"/>
      <c r="T163" s="594"/>
      <c r="U163" s="594"/>
      <c r="V163" s="594"/>
      <c r="W163" s="594"/>
    </row>
    <row r="164" spans="2:23" ht="13.5" thickBot="1" x14ac:dyDescent="0.25">
      <c r="D164" s="932">
        <v>2013</v>
      </c>
      <c r="E164" s="932">
        <v>2014</v>
      </c>
      <c r="F164" s="932">
        <v>2015</v>
      </c>
      <c r="G164" s="932">
        <v>2016</v>
      </c>
      <c r="H164" s="932">
        <v>2017</v>
      </c>
      <c r="I164" s="932">
        <v>2018</v>
      </c>
      <c r="J164" s="932">
        <v>2019</v>
      </c>
      <c r="K164" s="932">
        <v>2020</v>
      </c>
      <c r="L164" s="673"/>
      <c r="M164" s="680"/>
      <c r="N164" s="680"/>
      <c r="O164" s="680"/>
      <c r="P164" s="594"/>
      <c r="Q164" s="594"/>
      <c r="R164" s="594"/>
      <c r="S164" s="594"/>
      <c r="T164" s="594"/>
      <c r="U164" s="594"/>
      <c r="V164" s="594"/>
      <c r="W164" s="594"/>
    </row>
    <row r="165" spans="2:23" ht="13.5" outlineLevel="1" thickBot="1" x14ac:dyDescent="0.25">
      <c r="B165" s="934"/>
      <c r="C165" s="935"/>
      <c r="D165" s="938" t="str">
        <f t="shared" ref="D165:J165" si="30">"jul"&amp;D164-2000&amp;"-jun"&amp;E164-2000</f>
        <v>jul13-jun14</v>
      </c>
      <c r="E165" s="938" t="str">
        <f t="shared" si="30"/>
        <v>jul14-jun15</v>
      </c>
      <c r="F165" s="938" t="str">
        <f t="shared" si="30"/>
        <v>jul15-jun16</v>
      </c>
      <c r="G165" s="938" t="str">
        <f t="shared" si="30"/>
        <v>jul16-jun17</v>
      </c>
      <c r="H165" s="938" t="str">
        <f t="shared" si="30"/>
        <v>jul17-jun18</v>
      </c>
      <c r="I165" s="938" t="str">
        <f t="shared" si="30"/>
        <v>jul18-jun19</v>
      </c>
      <c r="J165" s="938" t="str">
        <f t="shared" si="30"/>
        <v>jul19-jun20</v>
      </c>
      <c r="K165" s="939" t="str">
        <f>"jul"&amp;K164-2000&amp;"-jun"&amp;L177-2000</f>
        <v>jul20-jun21</v>
      </c>
      <c r="L165" s="680"/>
      <c r="M165" s="680"/>
      <c r="N165" s="680"/>
      <c r="O165" s="680"/>
      <c r="P165" s="594"/>
      <c r="Q165" s="594"/>
      <c r="R165" s="594"/>
      <c r="S165" s="594"/>
      <c r="T165" s="594"/>
      <c r="U165" s="594"/>
      <c r="V165" s="594"/>
      <c r="W165" s="594"/>
    </row>
    <row r="166" spans="2:23" outlineLevel="1" x14ac:dyDescent="0.2">
      <c r="B166" s="774" t="s">
        <v>859</v>
      </c>
      <c r="C166" s="775"/>
      <c r="D166" s="940">
        <f>+'IMP RevTar_2013_2017'!E53</f>
        <v>46803.674244779482</v>
      </c>
      <c r="E166" s="940">
        <f>+'IMP RevTar_2013_2017'!F53</f>
        <v>49433.844294925722</v>
      </c>
      <c r="F166" s="940">
        <f>+'IMP RevTar_2013_2017'!G53</f>
        <v>51533.836253773079</v>
      </c>
      <c r="G166" s="940">
        <f>+'IMP RevTar_2013_2017'!H53</f>
        <v>57388.395019922486</v>
      </c>
      <c r="H166" s="940">
        <f>+E145</f>
        <v>49341.468366499255</v>
      </c>
      <c r="I166" s="940">
        <f>+F145</f>
        <v>45788.296553915425</v>
      </c>
      <c r="J166" s="940">
        <f>+G145</f>
        <v>42490.995317293462</v>
      </c>
      <c r="K166" s="941">
        <f>+H145</f>
        <v>39431.138935869953</v>
      </c>
      <c r="L166" s="680"/>
      <c r="M166" s="680"/>
      <c r="N166" s="680"/>
      <c r="O166" s="680"/>
      <c r="P166" s="594"/>
      <c r="Q166" s="594"/>
      <c r="R166" s="594"/>
      <c r="S166" s="594"/>
      <c r="T166" s="594"/>
      <c r="U166" s="594"/>
      <c r="V166" s="594"/>
      <c r="W166" s="594"/>
    </row>
    <row r="167" spans="2:23" outlineLevel="1" x14ac:dyDescent="0.2">
      <c r="B167" s="936" t="s">
        <v>860</v>
      </c>
      <c r="C167" s="595"/>
      <c r="D167" s="942">
        <f>+'IMP RevTar_2013_2017'!E57</f>
        <v>0</v>
      </c>
      <c r="E167" s="942">
        <f>+'IMP RevTar_2013_2017'!F57</f>
        <v>0</v>
      </c>
      <c r="F167" s="942">
        <f>+'IMP RevTar_2013_2017'!G57</f>
        <v>0</v>
      </c>
      <c r="G167" s="942">
        <f>+'IMP RevTar_2013_2017'!H57</f>
        <v>14985.132639654974</v>
      </c>
      <c r="H167" s="942">
        <f>+E149</f>
        <v>53601.181519094935</v>
      </c>
      <c r="I167" s="942">
        <f>+F149</f>
        <v>49741.259761595153</v>
      </c>
      <c r="J167" s="942">
        <f>+G149</f>
        <v>46159.298219743097</v>
      </c>
      <c r="K167" s="943">
        <f>+H149</f>
        <v>42835.280456331755</v>
      </c>
      <c r="L167" s="673"/>
      <c r="M167" s="673"/>
      <c r="N167" s="673"/>
      <c r="O167" s="673"/>
      <c r="P167" s="594"/>
      <c r="Q167" s="594"/>
      <c r="R167" s="594"/>
      <c r="S167" s="594"/>
      <c r="T167" s="594"/>
      <c r="U167" s="594"/>
      <c r="V167" s="594"/>
      <c r="W167" s="594"/>
    </row>
    <row r="168" spans="2:23" outlineLevel="1" x14ac:dyDescent="0.2">
      <c r="B168" s="587" t="s">
        <v>26</v>
      </c>
      <c r="C168" s="595"/>
      <c r="D168" s="942">
        <f>+'IMP RevTar_2013_2017'!E58</f>
        <v>3604.9012297143545</v>
      </c>
      <c r="E168" s="942">
        <f>+'IMP RevTar_2013_2017'!F58</f>
        <v>4576.4353171315834</v>
      </c>
      <c r="F168" s="942">
        <f>+'IMP RevTar_2013_2017'!G58</f>
        <v>4167.307019035673</v>
      </c>
      <c r="G168" s="942">
        <f>+'IMP RevTar_2013_2017'!H58</f>
        <v>3786.4803285917028</v>
      </c>
      <c r="H168" s="777">
        <f>+E152</f>
        <v>3923.3213673680361</v>
      </c>
      <c r="I168" s="777">
        <f>+F152</f>
        <v>4206.0500242193511</v>
      </c>
      <c r="J168" s="777">
        <f>+G152</f>
        <v>4270.6851839522733</v>
      </c>
      <c r="K168" s="778">
        <f>+H152</f>
        <v>4140.0924636847467</v>
      </c>
      <c r="L168" s="673"/>
      <c r="M168" s="673"/>
      <c r="N168" s="673"/>
      <c r="O168" s="673"/>
      <c r="P168" s="594"/>
      <c r="Q168" s="594"/>
      <c r="R168" s="594"/>
      <c r="S168" s="594"/>
      <c r="T168" s="594"/>
      <c r="U168" s="594"/>
      <c r="V168" s="594"/>
      <c r="W168" s="594"/>
    </row>
    <row r="169" spans="2:23" ht="13.5" outlineLevel="1" thickBot="1" x14ac:dyDescent="0.25">
      <c r="B169" s="591" t="s">
        <v>1059</v>
      </c>
      <c r="C169" s="937"/>
      <c r="D169" s="944">
        <f>+'IMP RevTar_2013_2017'!E59</f>
        <v>9931.3789322943703</v>
      </c>
      <c r="E169" s="944">
        <f>+'IMP RevTar_2013_2017'!F59</f>
        <v>11844.477979530508</v>
      </c>
      <c r="F169" s="944">
        <f>+'IMP RevTar_2013_2017'!G59</f>
        <v>8683.7317450607316</v>
      </c>
      <c r="G169" s="944">
        <f>+'IMP RevTar_2013_2017'!H59</f>
        <v>8918.0367409787941</v>
      </c>
      <c r="H169" s="944">
        <f>+E156</f>
        <v>7325.0239630958267</v>
      </c>
      <c r="I169" s="944">
        <f>+F156</f>
        <v>7241.6206927694902</v>
      </c>
      <c r="J169" s="944">
        <f>+G156</f>
        <v>5970.937650763085</v>
      </c>
      <c r="K169" s="945">
        <f>+H156</f>
        <v>4809.4758153600142</v>
      </c>
      <c r="L169" s="673"/>
      <c r="M169" s="673"/>
      <c r="N169" s="673"/>
      <c r="O169" s="673"/>
      <c r="P169" s="594"/>
      <c r="Q169" s="594"/>
      <c r="R169" s="594"/>
      <c r="S169" s="594"/>
      <c r="T169" s="594"/>
      <c r="U169" s="594"/>
      <c r="V169" s="594"/>
      <c r="W169" s="594"/>
    </row>
    <row r="170" spans="2:23" ht="13.5" thickBot="1" x14ac:dyDescent="0.25">
      <c r="C170" s="595"/>
      <c r="D170" s="595"/>
      <c r="E170" s="681"/>
      <c r="F170" s="681"/>
      <c r="G170" s="681"/>
      <c r="H170" s="681"/>
      <c r="I170" s="681"/>
      <c r="J170" s="681"/>
      <c r="K170" s="681"/>
      <c r="L170" s="680"/>
      <c r="M170" s="680"/>
      <c r="N170" s="680"/>
      <c r="O170" s="680"/>
      <c r="P170" s="594"/>
      <c r="Q170" s="594"/>
      <c r="R170" s="594"/>
      <c r="S170" s="594"/>
      <c r="T170" s="594"/>
      <c r="U170" s="594"/>
      <c r="V170" s="594"/>
      <c r="W170" s="594"/>
    </row>
    <row r="171" spans="2:23" ht="13.5" outlineLevel="1" thickBot="1" x14ac:dyDescent="0.25">
      <c r="B171" s="970" t="s">
        <v>1081</v>
      </c>
      <c r="C171" s="971"/>
      <c r="D171" s="972">
        <f>+SUM(D166:D169)</f>
        <v>60339.954406788209</v>
      </c>
      <c r="E171" s="972">
        <f t="shared" ref="E171:K171" si="31">+SUM(E166:E169)</f>
        <v>65854.757591587811</v>
      </c>
      <c r="F171" s="972">
        <f t="shared" si="31"/>
        <v>64384.875017869483</v>
      </c>
      <c r="G171" s="972">
        <f t="shared" si="31"/>
        <v>85078.04472914795</v>
      </c>
      <c r="H171" s="972">
        <f t="shared" si="31"/>
        <v>114190.99521605804</v>
      </c>
      <c r="I171" s="972">
        <f t="shared" si="31"/>
        <v>106977.22703249942</v>
      </c>
      <c r="J171" s="972">
        <f t="shared" si="31"/>
        <v>98891.916371751911</v>
      </c>
      <c r="K171" s="973">
        <f t="shared" si="31"/>
        <v>91215.987671246461</v>
      </c>
    </row>
    <row r="172" spans="2:23" ht="13.5" outlineLevel="1" thickBot="1" x14ac:dyDescent="0.25">
      <c r="C172" s="595"/>
      <c r="D172" s="595"/>
      <c r="E172" s="673"/>
      <c r="F172" s="673"/>
      <c r="G172" s="673"/>
      <c r="H172" s="673"/>
      <c r="I172" s="673"/>
      <c r="J172" s="673"/>
      <c r="K172" s="673"/>
      <c r="M172" s="673"/>
      <c r="N172" s="673"/>
      <c r="O172" s="673"/>
      <c r="P172" s="594"/>
      <c r="Q172" s="594"/>
      <c r="R172" s="594"/>
      <c r="S172" s="594"/>
      <c r="T172" s="594"/>
      <c r="U172" s="594"/>
      <c r="V172" s="594"/>
      <c r="W172" s="594"/>
    </row>
    <row r="173" spans="2:23" ht="13.5" outlineLevel="1" thickBot="1" x14ac:dyDescent="0.25">
      <c r="B173" s="970" t="s">
        <v>1087</v>
      </c>
      <c r="C173" s="956"/>
      <c r="D173" s="956"/>
      <c r="E173" s="967"/>
      <c r="F173" s="967"/>
      <c r="G173" s="967"/>
      <c r="H173" s="968">
        <f>+H171/G171-1</f>
        <v>0.34219110911156059</v>
      </c>
      <c r="I173" s="968">
        <f t="shared" ref="I173:K173" si="32">+I171/H171-1</f>
        <v>-6.3172828732332431E-2</v>
      </c>
      <c r="J173" s="968">
        <f t="shared" si="32"/>
        <v>-7.5579736781653639E-2</v>
      </c>
      <c r="K173" s="969">
        <f t="shared" si="32"/>
        <v>-7.7619374587203915E-2</v>
      </c>
      <c r="L173" s="681"/>
      <c r="M173" s="681"/>
      <c r="N173" s="681"/>
      <c r="O173" s="681"/>
      <c r="P173" s="594"/>
      <c r="Q173" s="594"/>
      <c r="R173" s="594"/>
      <c r="S173" s="594"/>
      <c r="T173" s="594"/>
      <c r="U173" s="594"/>
      <c r="V173" s="594"/>
      <c r="W173" s="594"/>
    </row>
    <row r="174" spans="2:23" ht="13.5" outlineLevel="1" thickBot="1" x14ac:dyDescent="0.25">
      <c r="B174" s="594"/>
      <c r="C174" s="595"/>
      <c r="D174" s="595"/>
      <c r="E174" s="673"/>
      <c r="F174" s="673"/>
      <c r="G174" s="673"/>
      <c r="H174" s="673"/>
      <c r="I174" s="673"/>
      <c r="J174" s="673"/>
      <c r="K174" s="673"/>
      <c r="L174" s="682"/>
      <c r="M174" s="682"/>
      <c r="N174" s="682"/>
      <c r="O174" s="682"/>
      <c r="P174" s="594"/>
      <c r="Q174" s="594"/>
      <c r="R174" s="594"/>
      <c r="S174" s="594"/>
      <c r="T174" s="594"/>
      <c r="U174" s="594"/>
      <c r="V174" s="594"/>
      <c r="W174" s="594"/>
    </row>
    <row r="175" spans="2:23" ht="13.5" outlineLevel="1" thickBot="1" x14ac:dyDescent="0.25">
      <c r="B175" s="970" t="s">
        <v>1086</v>
      </c>
      <c r="C175" s="966"/>
      <c r="D175" s="966"/>
      <c r="E175" s="967"/>
      <c r="F175" s="967"/>
      <c r="G175" s="967"/>
      <c r="H175" s="968">
        <f>+SUM($H$173:H173)</f>
        <v>0.34219110911156059</v>
      </c>
      <c r="I175" s="968">
        <f>+SUM($H$173:I173)</f>
        <v>0.27901828037922816</v>
      </c>
      <c r="J175" s="968">
        <f>+SUM($H$173:J173)</f>
        <v>0.20343854359757452</v>
      </c>
      <c r="K175" s="969">
        <f>+SUM(H173:K173)</f>
        <v>0.1258191690103706</v>
      </c>
      <c r="L175" s="673"/>
      <c r="M175" s="673"/>
      <c r="N175" s="673"/>
      <c r="O175" s="673"/>
      <c r="P175" s="594"/>
      <c r="Q175" s="594"/>
      <c r="R175" s="594"/>
      <c r="S175" s="594"/>
      <c r="T175" s="594"/>
      <c r="U175" s="594"/>
      <c r="V175" s="594"/>
      <c r="W175" s="594"/>
    </row>
    <row r="176" spans="2:23" x14ac:dyDescent="0.2">
      <c r="L176" s="673"/>
      <c r="M176" s="673"/>
      <c r="N176" s="673"/>
      <c r="O176" s="673"/>
      <c r="P176" s="594"/>
      <c r="Q176" s="594"/>
      <c r="R176" s="594"/>
      <c r="S176" s="594"/>
      <c r="T176" s="594"/>
      <c r="U176" s="594"/>
      <c r="V176" s="594"/>
      <c r="W176" s="594"/>
    </row>
    <row r="177" spans="12:23" x14ac:dyDescent="0.2">
      <c r="L177" s="933">
        <v>2021</v>
      </c>
      <c r="M177" s="673"/>
      <c r="N177" s="673"/>
      <c r="O177" s="673"/>
      <c r="P177" s="594"/>
      <c r="Q177" s="594"/>
      <c r="R177" s="594"/>
      <c r="S177" s="594"/>
      <c r="T177" s="594"/>
      <c r="U177" s="594"/>
      <c r="V177" s="594"/>
      <c r="W177" s="594"/>
    </row>
    <row r="178" spans="12:23" x14ac:dyDescent="0.2">
      <c r="L178" s="673"/>
      <c r="M178" s="673"/>
      <c r="N178" s="673"/>
      <c r="O178" s="673"/>
      <c r="P178" s="594"/>
      <c r="Q178" s="594"/>
      <c r="R178" s="594"/>
      <c r="S178" s="594"/>
      <c r="T178" s="594"/>
      <c r="U178" s="594"/>
      <c r="V178" s="594"/>
      <c r="W178" s="594"/>
    </row>
    <row r="179" spans="12:23" x14ac:dyDescent="0.2">
      <c r="L179" s="673"/>
      <c r="M179" s="673"/>
      <c r="N179" s="673"/>
      <c r="O179" s="673"/>
      <c r="P179" s="594"/>
      <c r="Q179" s="594"/>
      <c r="R179" s="594"/>
      <c r="S179" s="594"/>
      <c r="T179" s="594"/>
      <c r="U179" s="594"/>
      <c r="V179" s="594"/>
      <c r="W179" s="594"/>
    </row>
    <row r="180" spans="12:23" x14ac:dyDescent="0.2">
      <c r="L180" s="673"/>
      <c r="M180" s="673"/>
      <c r="N180" s="673"/>
      <c r="O180" s="673"/>
      <c r="P180" s="594"/>
      <c r="Q180" s="594"/>
      <c r="R180" s="594"/>
      <c r="S180" s="594"/>
      <c r="T180" s="594"/>
      <c r="U180" s="594"/>
      <c r="V180" s="594"/>
      <c r="W180" s="594"/>
    </row>
    <row r="181" spans="12:23" x14ac:dyDescent="0.2">
      <c r="L181" s="673"/>
      <c r="M181" s="673"/>
      <c r="N181" s="673"/>
      <c r="O181" s="673"/>
      <c r="P181" s="594"/>
      <c r="Q181" s="594"/>
      <c r="R181" s="594"/>
      <c r="S181" s="594"/>
      <c r="T181" s="594"/>
      <c r="U181" s="594"/>
      <c r="V181" s="594"/>
      <c r="W181" s="594"/>
    </row>
    <row r="182" spans="12:23" x14ac:dyDescent="0.2">
      <c r="L182" s="683"/>
      <c r="M182" s="683"/>
      <c r="N182" s="683"/>
      <c r="O182" s="683"/>
      <c r="P182" s="594"/>
      <c r="Q182" s="594"/>
      <c r="R182" s="594"/>
      <c r="S182" s="594"/>
      <c r="T182" s="594"/>
      <c r="U182" s="594"/>
      <c r="V182" s="594"/>
      <c r="W182" s="594"/>
    </row>
    <row r="183" spans="12:23" x14ac:dyDescent="0.2">
      <c r="L183" s="681"/>
      <c r="M183" s="681"/>
      <c r="N183" s="681"/>
      <c r="O183" s="681"/>
      <c r="P183" s="594"/>
      <c r="Q183" s="594"/>
      <c r="R183" s="594"/>
      <c r="S183" s="594"/>
      <c r="T183" s="594"/>
      <c r="U183" s="594"/>
      <c r="V183" s="594"/>
      <c r="W183" s="594"/>
    </row>
    <row r="184" spans="12:23" x14ac:dyDescent="0.2">
      <c r="L184" s="673"/>
      <c r="M184" s="673"/>
      <c r="N184" s="673"/>
      <c r="O184" s="673"/>
      <c r="P184" s="594"/>
      <c r="Q184" s="594"/>
      <c r="R184" s="594"/>
      <c r="S184" s="594"/>
      <c r="T184" s="594"/>
      <c r="U184" s="594"/>
      <c r="V184" s="594"/>
      <c r="W184" s="594"/>
    </row>
    <row r="185" spans="12:23" x14ac:dyDescent="0.2">
      <c r="L185" s="673"/>
      <c r="M185" s="673"/>
      <c r="N185" s="673"/>
      <c r="O185" s="673"/>
      <c r="P185" s="594"/>
      <c r="Q185" s="594"/>
      <c r="R185" s="594"/>
      <c r="S185" s="594"/>
      <c r="T185" s="594"/>
      <c r="U185" s="594"/>
      <c r="V185" s="594"/>
      <c r="W185" s="594"/>
    </row>
    <row r="186" spans="12:23" x14ac:dyDescent="0.2">
      <c r="L186" s="673"/>
      <c r="M186" s="673"/>
      <c r="N186" s="673"/>
      <c r="O186" s="673"/>
      <c r="P186" s="594"/>
      <c r="Q186" s="594"/>
      <c r="R186" s="594"/>
      <c r="S186" s="594"/>
      <c r="T186" s="594"/>
      <c r="U186" s="594"/>
      <c r="V186" s="594"/>
      <c r="W186" s="594"/>
    </row>
    <row r="187" spans="12:23" x14ac:dyDescent="0.2">
      <c r="L187" s="673"/>
      <c r="M187" s="673"/>
      <c r="N187" s="673"/>
      <c r="O187" s="673"/>
      <c r="P187" s="594"/>
      <c r="Q187" s="594"/>
      <c r="R187" s="594"/>
      <c r="S187" s="594"/>
      <c r="T187" s="594"/>
      <c r="U187" s="594"/>
      <c r="V187" s="594"/>
      <c r="W187" s="594"/>
    </row>
    <row r="188" spans="12:23" x14ac:dyDescent="0.2">
      <c r="L188" s="673"/>
      <c r="M188" s="673"/>
      <c r="N188" s="673"/>
      <c r="O188" s="673"/>
      <c r="P188" s="594"/>
      <c r="Q188" s="594"/>
      <c r="R188" s="594"/>
      <c r="S188" s="594"/>
      <c r="T188" s="594"/>
      <c r="U188" s="594"/>
      <c r="V188" s="594"/>
      <c r="W188" s="594"/>
    </row>
    <row r="189" spans="12:23" x14ac:dyDescent="0.2">
      <c r="L189" s="681"/>
      <c r="M189" s="681"/>
      <c r="N189" s="681"/>
      <c r="O189" s="681"/>
      <c r="P189" s="594"/>
      <c r="Q189" s="594"/>
      <c r="R189" s="594"/>
      <c r="S189" s="594"/>
      <c r="T189" s="594"/>
      <c r="U189" s="594"/>
      <c r="V189" s="594"/>
      <c r="W189" s="594"/>
    </row>
    <row r="190" spans="12:23" x14ac:dyDescent="0.2">
      <c r="L190" s="685"/>
      <c r="M190" s="685"/>
      <c r="N190" s="685"/>
      <c r="O190" s="685"/>
      <c r="P190" s="594"/>
      <c r="Q190" s="594"/>
      <c r="R190" s="594"/>
      <c r="S190" s="594"/>
      <c r="T190" s="594"/>
      <c r="U190" s="594"/>
      <c r="V190" s="594"/>
      <c r="W190" s="594"/>
    </row>
    <row r="191" spans="12:23" x14ac:dyDescent="0.2">
      <c r="L191" s="685"/>
      <c r="M191" s="685"/>
      <c r="N191" s="685"/>
      <c r="O191" s="685"/>
      <c r="P191" s="683"/>
      <c r="Q191" s="594"/>
      <c r="R191" s="594"/>
      <c r="S191" s="594"/>
      <c r="T191" s="594"/>
      <c r="U191" s="594"/>
      <c r="V191" s="594"/>
      <c r="W191" s="594"/>
    </row>
    <row r="192" spans="12:23" x14ac:dyDescent="0.2">
      <c r="L192" s="683"/>
      <c r="M192" s="683"/>
      <c r="N192" s="683"/>
      <c r="O192" s="683"/>
      <c r="P192" s="594"/>
      <c r="Q192" s="594"/>
      <c r="R192" s="594"/>
      <c r="S192" s="594"/>
      <c r="T192" s="594"/>
      <c r="U192" s="594"/>
      <c r="V192" s="594"/>
      <c r="W192" s="594"/>
    </row>
    <row r="193" spans="2:23" x14ac:dyDescent="0.2">
      <c r="L193" s="681"/>
      <c r="M193" s="681"/>
      <c r="N193" s="681"/>
      <c r="O193" s="681"/>
      <c r="P193" s="594"/>
      <c r="Q193" s="594"/>
      <c r="R193" s="594"/>
      <c r="S193" s="594"/>
      <c r="T193" s="594"/>
      <c r="U193" s="594"/>
      <c r="V193" s="594"/>
      <c r="W193" s="594"/>
    </row>
    <row r="194" spans="2:23" x14ac:dyDescent="0.2">
      <c r="L194" s="685"/>
      <c r="M194" s="685"/>
      <c r="N194" s="685"/>
      <c r="O194" s="685"/>
      <c r="P194" s="594"/>
      <c r="Q194" s="594"/>
      <c r="R194" s="594"/>
      <c r="S194" s="594"/>
      <c r="T194" s="594"/>
      <c r="U194" s="594"/>
      <c r="V194" s="594"/>
      <c r="W194" s="594"/>
    </row>
    <row r="195" spans="2:23" x14ac:dyDescent="0.2">
      <c r="L195" s="685"/>
      <c r="M195" s="685"/>
      <c r="N195" s="685"/>
      <c r="O195" s="685"/>
      <c r="P195" s="594"/>
      <c r="Q195" s="594"/>
      <c r="R195" s="594"/>
      <c r="S195" s="594"/>
      <c r="T195" s="594"/>
      <c r="U195" s="594"/>
      <c r="V195" s="594"/>
      <c r="W195" s="594"/>
    </row>
    <row r="196" spans="2:23" x14ac:dyDescent="0.2">
      <c r="B196" s="1015"/>
      <c r="C196" s="1015"/>
      <c r="D196" s="1015"/>
      <c r="E196" s="1015"/>
      <c r="F196" s="1015"/>
      <c r="G196" s="1015"/>
      <c r="H196" s="1015"/>
      <c r="I196" s="1015"/>
      <c r="J196" s="594"/>
      <c r="K196" s="594"/>
      <c r="L196" s="594"/>
      <c r="M196" s="594"/>
      <c r="N196" s="594"/>
      <c r="O196" s="594"/>
      <c r="P196" s="594"/>
      <c r="Q196" s="594"/>
      <c r="R196" s="594"/>
      <c r="S196" s="594"/>
      <c r="T196" s="594"/>
      <c r="U196" s="594"/>
      <c r="V196" s="594"/>
      <c r="W196" s="594"/>
    </row>
    <row r="197" spans="2:23" x14ac:dyDescent="0.2">
      <c r="B197" s="1015"/>
      <c r="C197" s="1015"/>
      <c r="D197" s="1015"/>
      <c r="E197" s="1015"/>
      <c r="F197" s="1015"/>
      <c r="G197" s="1015"/>
      <c r="H197" s="1015"/>
      <c r="I197" s="1015"/>
      <c r="J197" s="594"/>
      <c r="K197" s="594"/>
      <c r="L197" s="594"/>
      <c r="M197" s="594"/>
      <c r="N197" s="594"/>
      <c r="O197" s="594"/>
      <c r="P197" s="594"/>
      <c r="Q197" s="594"/>
      <c r="R197" s="594"/>
      <c r="S197" s="594"/>
      <c r="T197" s="594"/>
      <c r="U197" s="594"/>
      <c r="V197" s="594"/>
      <c r="W197" s="594"/>
    </row>
    <row r="198" spans="2:23" x14ac:dyDescent="0.2">
      <c r="B198" s="1015"/>
      <c r="C198" s="1015"/>
      <c r="D198" s="1015"/>
      <c r="E198" s="1015"/>
      <c r="F198" s="1015"/>
      <c r="G198" s="1015"/>
      <c r="H198" s="1015"/>
      <c r="I198" s="1015"/>
      <c r="J198" s="594"/>
      <c r="K198" s="594"/>
      <c r="L198" s="594"/>
      <c r="M198" s="594"/>
      <c r="N198" s="594"/>
      <c r="O198" s="594"/>
      <c r="P198" s="594"/>
      <c r="Q198" s="594"/>
      <c r="R198" s="594"/>
      <c r="S198" s="594"/>
      <c r="T198" s="594"/>
      <c r="U198" s="594"/>
      <c r="V198" s="594"/>
      <c r="W198" s="594"/>
    </row>
    <row r="199" spans="2:23" ht="3" customHeight="1" x14ac:dyDescent="0.2">
      <c r="B199" s="583"/>
      <c r="C199" s="594"/>
      <c r="D199" s="594"/>
      <c r="E199" s="594"/>
      <c r="F199" s="594"/>
      <c r="G199" s="594"/>
      <c r="H199" s="594"/>
      <c r="I199" s="594"/>
      <c r="J199" s="594"/>
      <c r="K199" s="594"/>
      <c r="L199" s="594"/>
      <c r="M199" s="594"/>
      <c r="N199" s="594"/>
      <c r="O199" s="594"/>
      <c r="P199" s="594"/>
      <c r="Q199" s="594"/>
      <c r="R199" s="594"/>
      <c r="S199" s="594"/>
      <c r="T199" s="594"/>
      <c r="U199" s="594"/>
      <c r="V199" s="594"/>
      <c r="W199" s="594"/>
    </row>
    <row r="200" spans="2:23" ht="3" customHeight="1" x14ac:dyDescent="0.2">
      <c r="B200" s="583"/>
      <c r="C200" s="594"/>
      <c r="D200" s="594"/>
      <c r="E200" s="594"/>
      <c r="F200" s="594"/>
      <c r="G200" s="594"/>
      <c r="H200" s="594"/>
      <c r="I200" s="594"/>
      <c r="J200" s="594"/>
      <c r="K200" s="594"/>
      <c r="L200" s="594"/>
      <c r="M200" s="594"/>
      <c r="N200" s="594"/>
      <c r="O200" s="594"/>
      <c r="P200" s="594"/>
      <c r="Q200" s="594"/>
      <c r="R200" s="594"/>
      <c r="S200" s="594"/>
      <c r="T200" s="594"/>
      <c r="U200" s="594"/>
      <c r="V200" s="594"/>
      <c r="W200" s="594"/>
    </row>
    <row r="201" spans="2:23" x14ac:dyDescent="0.2">
      <c r="B201" s="754"/>
      <c r="C201" s="687"/>
      <c r="D201" s="687"/>
      <c r="E201" s="754"/>
      <c r="F201" s="754"/>
      <c r="G201" s="754"/>
      <c r="H201" s="754"/>
      <c r="I201" s="754"/>
      <c r="J201" s="594"/>
      <c r="K201" s="594"/>
      <c r="L201" s="594"/>
      <c r="M201" s="594"/>
      <c r="N201" s="594"/>
      <c r="O201" s="594"/>
      <c r="P201" s="594"/>
      <c r="Q201" s="594"/>
      <c r="R201" s="594"/>
      <c r="S201" s="594"/>
      <c r="T201" s="594"/>
      <c r="U201" s="594"/>
      <c r="V201" s="594"/>
      <c r="W201" s="594"/>
    </row>
    <row r="202" spans="2:23" x14ac:dyDescent="0.2">
      <c r="B202" s="688"/>
      <c r="C202" s="687"/>
      <c r="D202" s="687"/>
      <c r="E202" s="687"/>
      <c r="F202" s="689"/>
      <c r="G202" s="689"/>
      <c r="H202" s="689"/>
      <c r="I202" s="689"/>
      <c r="J202" s="594"/>
      <c r="K202" s="594"/>
      <c r="L202" s="594"/>
      <c r="M202" s="594"/>
      <c r="N202" s="594"/>
      <c r="O202" s="594"/>
      <c r="P202" s="594"/>
      <c r="Q202" s="594"/>
      <c r="R202" s="594"/>
      <c r="S202" s="594"/>
      <c r="T202" s="594"/>
      <c r="U202" s="594"/>
      <c r="V202" s="594"/>
      <c r="W202" s="594"/>
    </row>
    <row r="203" spans="2:23" x14ac:dyDescent="0.2">
      <c r="B203" s="687"/>
      <c r="C203" s="687"/>
      <c r="D203" s="687"/>
      <c r="E203" s="690"/>
      <c r="F203" s="690"/>
      <c r="G203" s="690"/>
      <c r="H203" s="690"/>
      <c r="I203" s="690"/>
      <c r="J203" s="596"/>
      <c r="K203" s="596"/>
      <c r="L203" s="594"/>
      <c r="M203" s="594"/>
      <c r="N203" s="594"/>
      <c r="O203" s="594"/>
      <c r="P203" s="594"/>
      <c r="Q203" s="594"/>
      <c r="R203" s="594"/>
      <c r="S203" s="594"/>
      <c r="T203" s="594"/>
      <c r="U203" s="594"/>
      <c r="V203" s="594"/>
      <c r="W203" s="594"/>
    </row>
    <row r="204" spans="2:23" x14ac:dyDescent="0.2">
      <c r="B204" s="691"/>
      <c r="C204" s="687"/>
      <c r="D204" s="687"/>
      <c r="E204" s="690"/>
      <c r="F204" s="690"/>
      <c r="G204" s="690"/>
      <c r="H204" s="690"/>
      <c r="I204" s="690"/>
      <c r="J204" s="596"/>
      <c r="K204" s="596"/>
      <c r="L204" s="594"/>
      <c r="M204" s="594"/>
      <c r="N204" s="594"/>
      <c r="O204" s="594"/>
      <c r="P204" s="594"/>
      <c r="Q204" s="594"/>
      <c r="R204" s="594"/>
      <c r="S204" s="594"/>
      <c r="T204" s="594"/>
    </row>
    <row r="205" spans="2:23" x14ac:dyDescent="0.2">
      <c r="B205" s="687"/>
      <c r="C205" s="687"/>
      <c r="D205" s="687"/>
      <c r="E205" s="690"/>
      <c r="F205" s="690"/>
      <c r="G205" s="690"/>
      <c r="H205" s="690"/>
      <c r="I205" s="690"/>
      <c r="J205" s="596"/>
      <c r="K205" s="596"/>
      <c r="L205" s="594"/>
      <c r="M205" s="594"/>
      <c r="N205" s="594"/>
      <c r="O205" s="594"/>
      <c r="P205" s="594"/>
      <c r="Q205" s="594"/>
      <c r="R205" s="594"/>
      <c r="S205" s="594"/>
      <c r="T205" s="594"/>
    </row>
    <row r="206" spans="2:23" x14ac:dyDescent="0.2">
      <c r="B206" s="687"/>
      <c r="C206" s="687"/>
      <c r="D206" s="687"/>
      <c r="E206" s="690"/>
      <c r="F206" s="690"/>
      <c r="G206" s="690"/>
      <c r="H206" s="690"/>
      <c r="I206" s="690"/>
      <c r="J206" s="596"/>
      <c r="K206" s="596"/>
      <c r="L206" s="594"/>
      <c r="M206" s="594"/>
      <c r="N206" s="594"/>
      <c r="O206" s="594"/>
      <c r="P206" s="594"/>
      <c r="Q206" s="594"/>
      <c r="R206" s="594"/>
      <c r="S206" s="594"/>
      <c r="T206" s="594"/>
    </row>
    <row r="207" spans="2:23" x14ac:dyDescent="0.2">
      <c r="B207" s="687"/>
      <c r="C207" s="687"/>
      <c r="D207" s="687"/>
      <c r="E207" s="690"/>
      <c r="F207" s="690"/>
      <c r="G207" s="690"/>
      <c r="H207" s="690"/>
      <c r="I207" s="690"/>
      <c r="J207" s="596"/>
      <c r="K207" s="596"/>
      <c r="L207" s="594"/>
      <c r="M207" s="594"/>
      <c r="N207" s="594"/>
      <c r="O207" s="594"/>
      <c r="P207" s="594"/>
      <c r="Q207" s="594"/>
      <c r="R207" s="594"/>
      <c r="S207" s="594"/>
      <c r="T207" s="594"/>
    </row>
    <row r="208" spans="2:23" x14ac:dyDescent="0.2">
      <c r="B208" s="687"/>
      <c r="C208" s="687"/>
      <c r="D208" s="687"/>
      <c r="E208" s="690"/>
      <c r="F208" s="690"/>
      <c r="G208" s="690"/>
      <c r="H208" s="690"/>
      <c r="I208" s="690"/>
      <c r="J208" s="596"/>
      <c r="K208" s="596"/>
      <c r="L208" s="594"/>
      <c r="M208" s="594"/>
      <c r="N208" s="594"/>
      <c r="O208" s="594"/>
      <c r="P208" s="594"/>
      <c r="Q208" s="594"/>
      <c r="R208" s="594"/>
      <c r="S208" s="594"/>
      <c r="T208" s="594"/>
    </row>
    <row r="209" spans="2:20" x14ac:dyDescent="0.2">
      <c r="B209" s="687"/>
      <c r="C209" s="687"/>
      <c r="D209" s="687"/>
      <c r="E209" s="687"/>
      <c r="F209" s="687"/>
      <c r="G209" s="687"/>
      <c r="H209" s="687"/>
      <c r="I209" s="687"/>
      <c r="J209" s="594"/>
      <c r="K209" s="594"/>
      <c r="L209" s="594"/>
      <c r="M209" s="594"/>
      <c r="N209" s="594"/>
      <c r="O209" s="594"/>
      <c r="P209" s="594"/>
      <c r="Q209" s="594"/>
      <c r="R209" s="594"/>
      <c r="S209" s="594"/>
      <c r="T209" s="594"/>
    </row>
    <row r="210" spans="2:20" x14ac:dyDescent="0.2">
      <c r="B210" s="688"/>
      <c r="C210" s="687"/>
      <c r="D210" s="687"/>
      <c r="E210" s="754"/>
      <c r="F210" s="754"/>
      <c r="G210" s="754"/>
      <c r="H210" s="754"/>
      <c r="I210" s="754"/>
      <c r="J210" s="594"/>
      <c r="K210" s="594"/>
      <c r="L210" s="594"/>
      <c r="M210" s="594"/>
      <c r="N210" s="594"/>
      <c r="O210" s="594"/>
      <c r="P210" s="594"/>
      <c r="Q210" s="594"/>
      <c r="R210" s="594"/>
      <c r="S210" s="594"/>
      <c r="T210" s="594"/>
    </row>
    <row r="211" spans="2:20" x14ac:dyDescent="0.2">
      <c r="B211" s="688"/>
      <c r="C211" s="687"/>
      <c r="D211" s="687"/>
      <c r="E211" s="690"/>
      <c r="F211" s="690"/>
      <c r="G211" s="690"/>
      <c r="H211" s="690"/>
      <c r="I211" s="690"/>
      <c r="J211" s="594"/>
      <c r="K211" s="594"/>
      <c r="L211" s="594"/>
      <c r="M211" s="594"/>
      <c r="N211" s="594"/>
      <c r="O211" s="594"/>
      <c r="P211" s="594"/>
      <c r="Q211" s="594"/>
      <c r="R211" s="594"/>
      <c r="S211" s="594"/>
      <c r="T211" s="594"/>
    </row>
    <row r="212" spans="2:20" x14ac:dyDescent="0.2">
      <c r="B212" s="692"/>
      <c r="C212" s="687"/>
      <c r="D212" s="687"/>
      <c r="E212" s="690"/>
      <c r="F212" s="690"/>
      <c r="G212" s="690"/>
      <c r="H212" s="690"/>
      <c r="I212" s="690"/>
      <c r="J212" s="596"/>
      <c r="K212" s="596"/>
      <c r="L212" s="594"/>
      <c r="M212" s="594"/>
      <c r="N212" s="594"/>
      <c r="O212" s="594"/>
      <c r="P212" s="594"/>
      <c r="Q212" s="594"/>
      <c r="R212" s="594"/>
      <c r="S212" s="594"/>
      <c r="T212" s="594"/>
    </row>
    <row r="213" spans="2:20" x14ac:dyDescent="0.2">
      <c r="B213" s="688"/>
      <c r="C213" s="687"/>
      <c r="D213" s="687"/>
      <c r="E213" s="690"/>
      <c r="F213" s="690"/>
      <c r="G213" s="690"/>
      <c r="H213" s="690"/>
      <c r="I213" s="690"/>
      <c r="J213" s="594"/>
      <c r="K213" s="594"/>
      <c r="L213" s="594"/>
      <c r="M213" s="594"/>
      <c r="N213" s="594"/>
      <c r="O213" s="594"/>
      <c r="P213" s="594"/>
      <c r="Q213" s="594"/>
      <c r="R213" s="594"/>
      <c r="S213" s="594"/>
      <c r="T213" s="594"/>
    </row>
    <row r="214" spans="2:20" x14ac:dyDescent="0.2">
      <c r="B214" s="688"/>
      <c r="C214" s="687"/>
      <c r="D214" s="687"/>
      <c r="E214" s="690"/>
      <c r="F214" s="690"/>
      <c r="G214" s="690"/>
      <c r="H214" s="690"/>
      <c r="I214" s="690"/>
      <c r="J214" s="594"/>
      <c r="K214" s="594"/>
      <c r="L214" s="594"/>
      <c r="M214" s="594"/>
      <c r="N214" s="594"/>
      <c r="O214" s="594"/>
      <c r="P214" s="594"/>
      <c r="Q214" s="594"/>
      <c r="R214" s="594"/>
      <c r="S214" s="594"/>
      <c r="T214" s="594"/>
    </row>
    <row r="215" spans="2:20" x14ac:dyDescent="0.2">
      <c r="B215" s="687"/>
      <c r="C215" s="687"/>
      <c r="D215" s="687"/>
      <c r="E215" s="690"/>
      <c r="F215" s="690"/>
      <c r="G215" s="690"/>
      <c r="H215" s="690"/>
      <c r="I215" s="690"/>
      <c r="J215" s="693"/>
      <c r="K215" s="693"/>
      <c r="L215" s="594"/>
      <c r="M215" s="594"/>
      <c r="N215" s="594"/>
      <c r="O215" s="594"/>
      <c r="P215" s="594"/>
      <c r="Q215" s="594"/>
      <c r="R215" s="594"/>
      <c r="S215" s="594"/>
      <c r="T215" s="594"/>
    </row>
    <row r="216" spans="2:20" x14ac:dyDescent="0.2">
      <c r="B216" s="687"/>
      <c r="C216" s="687"/>
      <c r="D216" s="687"/>
      <c r="E216" s="690"/>
      <c r="F216" s="690"/>
      <c r="G216" s="690"/>
      <c r="H216" s="690"/>
      <c r="I216" s="690"/>
      <c r="J216" s="594"/>
      <c r="K216" s="594"/>
      <c r="L216" s="594"/>
      <c r="M216" s="594"/>
      <c r="N216" s="594"/>
      <c r="O216" s="594"/>
      <c r="P216" s="594"/>
      <c r="Q216" s="594"/>
      <c r="R216" s="594"/>
      <c r="S216" s="594"/>
      <c r="T216" s="594"/>
    </row>
    <row r="217" spans="2:20" x14ac:dyDescent="0.2">
      <c r="B217" s="687"/>
      <c r="C217" s="687"/>
      <c r="D217" s="687"/>
      <c r="E217" s="687"/>
      <c r="F217" s="687"/>
      <c r="G217" s="687"/>
      <c r="H217" s="687"/>
      <c r="I217" s="687"/>
      <c r="J217" s="594"/>
      <c r="K217" s="594"/>
      <c r="L217" s="594"/>
      <c r="M217" s="594"/>
      <c r="N217" s="594"/>
      <c r="O217" s="594"/>
      <c r="P217" s="594"/>
      <c r="Q217" s="594"/>
      <c r="R217" s="594"/>
      <c r="S217" s="594"/>
      <c r="T217" s="594"/>
    </row>
    <row r="218" spans="2:20" x14ac:dyDescent="0.2">
      <c r="B218" s="688"/>
      <c r="C218" s="687"/>
      <c r="D218" s="687"/>
      <c r="E218" s="694"/>
      <c r="F218" s="694"/>
      <c r="G218" s="694"/>
      <c r="H218" s="694"/>
      <c r="I218" s="694"/>
      <c r="J218" s="594"/>
      <c r="K218" s="594"/>
      <c r="L218" s="594"/>
      <c r="M218" s="594"/>
      <c r="N218" s="695"/>
      <c r="O218" s="695"/>
      <c r="P218" s="695"/>
      <c r="Q218" s="594"/>
      <c r="R218" s="594"/>
      <c r="S218" s="594"/>
      <c r="T218" s="594"/>
    </row>
    <row r="219" spans="2:20" x14ac:dyDescent="0.2">
      <c r="B219" s="687"/>
      <c r="C219" s="687"/>
      <c r="D219" s="687"/>
      <c r="E219" s="687"/>
      <c r="F219" s="687"/>
      <c r="G219" s="687"/>
      <c r="H219" s="687"/>
      <c r="I219" s="687"/>
      <c r="J219" s="594"/>
      <c r="K219" s="594"/>
      <c r="L219" s="583"/>
      <c r="M219" s="594"/>
      <c r="N219" s="695"/>
      <c r="O219" s="695"/>
      <c r="P219" s="695"/>
      <c r="Q219" s="594"/>
      <c r="R219" s="594"/>
      <c r="S219" s="594"/>
      <c r="T219" s="594"/>
    </row>
    <row r="220" spans="2:20" x14ac:dyDescent="0.2">
      <c r="B220" s="688"/>
      <c r="C220" s="687"/>
      <c r="D220" s="754"/>
      <c r="E220" s="687"/>
      <c r="F220" s="687"/>
      <c r="G220" s="687"/>
      <c r="H220" s="696"/>
      <c r="I220" s="696"/>
      <c r="J220" s="594"/>
      <c r="K220" s="594"/>
      <c r="L220" s="594"/>
      <c r="M220" s="594"/>
      <c r="N220" s="697"/>
      <c r="O220" s="697"/>
      <c r="P220" s="697"/>
      <c r="Q220" s="594"/>
      <c r="R220" s="594"/>
      <c r="S220" s="594"/>
      <c r="T220" s="594"/>
    </row>
    <row r="221" spans="2:20" x14ac:dyDescent="0.2">
      <c r="B221" s="688"/>
      <c r="C221" s="687"/>
      <c r="D221" s="698"/>
      <c r="E221" s="699"/>
      <c r="F221" s="699"/>
      <c r="G221" s="699"/>
      <c r="H221" s="699"/>
      <c r="I221" s="700"/>
      <c r="J221" s="594"/>
      <c r="K221" s="594"/>
      <c r="L221" s="594"/>
      <c r="M221" s="594"/>
      <c r="N221" s="701"/>
      <c r="O221" s="701"/>
      <c r="P221" s="701"/>
      <c r="Q221" s="594"/>
      <c r="R221" s="594"/>
      <c r="S221" s="594"/>
      <c r="T221" s="594"/>
    </row>
    <row r="222" spans="2:20" x14ac:dyDescent="0.2">
      <c r="B222" s="702"/>
      <c r="C222" s="687"/>
      <c r="D222" s="703"/>
      <c r="E222" s="704"/>
      <c r="F222" s="704"/>
      <c r="G222" s="704"/>
      <c r="H222" s="704"/>
      <c r="I222" s="700"/>
      <c r="J222" s="594"/>
      <c r="K222" s="594"/>
      <c r="L222" s="594"/>
      <c r="M222" s="594"/>
      <c r="N222" s="701"/>
      <c r="O222" s="701"/>
      <c r="P222" s="701"/>
      <c r="Q222" s="594"/>
      <c r="R222" s="594"/>
      <c r="S222" s="594"/>
      <c r="T222" s="594"/>
    </row>
    <row r="223" spans="2:20" x14ac:dyDescent="0.2">
      <c r="B223" s="702"/>
      <c r="C223" s="687"/>
      <c r="D223" s="703"/>
      <c r="E223" s="704"/>
      <c r="F223" s="704"/>
      <c r="G223" s="704"/>
      <c r="H223" s="704"/>
      <c r="I223" s="700"/>
      <c r="J223" s="594"/>
      <c r="K223" s="594"/>
      <c r="L223" s="705"/>
      <c r="M223" s="594"/>
      <c r="N223" s="701"/>
      <c r="O223" s="701"/>
      <c r="P223" s="701"/>
      <c r="Q223" s="594"/>
      <c r="R223" s="594"/>
      <c r="S223" s="594"/>
      <c r="T223" s="594"/>
    </row>
    <row r="224" spans="2:20" ht="13.5" customHeight="1" x14ac:dyDescent="0.2">
      <c r="B224" s="692"/>
      <c r="C224" s="687"/>
      <c r="D224" s="706"/>
      <c r="E224" s="699"/>
      <c r="F224" s="699"/>
      <c r="G224" s="699"/>
      <c r="H224" s="699"/>
      <c r="I224" s="700"/>
      <c r="J224" s="594"/>
      <c r="K224" s="594"/>
      <c r="L224" s="594"/>
      <c r="M224" s="594"/>
      <c r="N224" s="701"/>
      <c r="O224" s="701"/>
      <c r="P224" s="701"/>
      <c r="Q224" s="594"/>
      <c r="R224" s="594"/>
      <c r="S224" s="594"/>
      <c r="T224" s="594"/>
    </row>
    <row r="225" spans="2:20" x14ac:dyDescent="0.2">
      <c r="B225" s="702"/>
      <c r="C225" s="687"/>
      <c r="D225" s="706"/>
      <c r="E225" s="699"/>
      <c r="F225" s="699"/>
      <c r="G225" s="699"/>
      <c r="H225" s="699"/>
      <c r="I225" s="700"/>
      <c r="J225" s="594"/>
      <c r="K225" s="594"/>
      <c r="L225" s="705"/>
      <c r="M225" s="594"/>
      <c r="N225" s="701"/>
      <c r="O225" s="701"/>
      <c r="P225" s="701"/>
      <c r="Q225" s="594"/>
      <c r="R225" s="594"/>
      <c r="S225" s="594"/>
      <c r="T225" s="594"/>
    </row>
    <row r="226" spans="2:20" x14ac:dyDescent="0.2">
      <c r="B226" s="688"/>
      <c r="C226" s="687"/>
      <c r="D226" s="706"/>
      <c r="E226" s="700"/>
      <c r="F226" s="700"/>
      <c r="G226" s="700"/>
      <c r="H226" s="700"/>
      <c r="I226" s="700"/>
      <c r="J226" s="594"/>
      <c r="K226" s="594"/>
      <c r="L226" s="583"/>
      <c r="M226" s="594"/>
      <c r="N226" s="707"/>
      <c r="O226" s="707"/>
      <c r="P226" s="707"/>
      <c r="Q226" s="594"/>
      <c r="R226" s="594"/>
      <c r="S226" s="594"/>
      <c r="T226" s="594"/>
    </row>
    <row r="227" spans="2:20" x14ac:dyDescent="0.2">
      <c r="B227" s="688"/>
      <c r="C227" s="687"/>
      <c r="D227" s="706"/>
      <c r="E227" s="700"/>
      <c r="F227" s="700"/>
      <c r="G227" s="700"/>
      <c r="H227" s="700"/>
      <c r="I227" s="700"/>
      <c r="J227" s="594"/>
      <c r="K227" s="594"/>
      <c r="L227" s="594"/>
      <c r="M227" s="594"/>
      <c r="N227" s="701"/>
      <c r="O227" s="701"/>
      <c r="P227" s="701"/>
      <c r="Q227" s="594"/>
      <c r="R227" s="594"/>
      <c r="S227" s="594"/>
      <c r="T227" s="594"/>
    </row>
    <row r="228" spans="2:20" x14ac:dyDescent="0.2">
      <c r="B228" s="702"/>
      <c r="C228" s="687"/>
      <c r="D228" s="690"/>
      <c r="E228" s="700"/>
      <c r="F228" s="700"/>
      <c r="G228" s="700"/>
      <c r="H228" s="700"/>
      <c r="I228" s="700"/>
      <c r="J228" s="594"/>
      <c r="K228" s="594"/>
      <c r="L228" s="583"/>
      <c r="M228" s="594"/>
      <c r="N228" s="708"/>
      <c r="O228" s="708"/>
      <c r="P228" s="708"/>
      <c r="Q228" s="594"/>
      <c r="R228" s="594"/>
      <c r="S228" s="594"/>
      <c r="T228" s="594"/>
    </row>
    <row r="229" spans="2:20" x14ac:dyDescent="0.2">
      <c r="B229" s="702"/>
      <c r="C229" s="687"/>
      <c r="D229" s="690"/>
      <c r="E229" s="700"/>
      <c r="F229" s="700"/>
      <c r="G229" s="700"/>
      <c r="H229" s="700"/>
      <c r="I229" s="700"/>
      <c r="J229" s="594"/>
      <c r="K229" s="594"/>
      <c r="L229" s="594"/>
      <c r="M229" s="594"/>
      <c r="N229" s="594"/>
      <c r="O229" s="594"/>
      <c r="P229" s="594"/>
      <c r="Q229" s="594"/>
      <c r="R229" s="594"/>
      <c r="S229" s="594"/>
      <c r="T229" s="594"/>
    </row>
    <row r="230" spans="2:20" x14ac:dyDescent="0.2">
      <c r="B230" s="688"/>
      <c r="C230" s="687"/>
      <c r="D230" s="706"/>
      <c r="E230" s="709"/>
      <c r="F230" s="709"/>
      <c r="G230" s="709"/>
      <c r="H230" s="709"/>
      <c r="I230" s="709"/>
      <c r="J230" s="594"/>
      <c r="K230" s="594"/>
      <c r="L230" s="710"/>
      <c r="M230" s="594"/>
      <c r="N230" s="711"/>
      <c r="O230" s="711"/>
      <c r="P230" s="711"/>
      <c r="Q230" s="594"/>
      <c r="R230" s="594"/>
      <c r="S230" s="594"/>
      <c r="T230" s="594"/>
    </row>
    <row r="231" spans="2:20" x14ac:dyDescent="0.2">
      <c r="B231" s="583"/>
      <c r="C231" s="594"/>
      <c r="D231" s="710"/>
      <c r="E231" s="712"/>
      <c r="F231" s="594"/>
      <c r="G231" s="712"/>
      <c r="H231" s="712"/>
      <c r="I231" s="712"/>
      <c r="J231" s="594"/>
      <c r="K231" s="594"/>
      <c r="L231" s="583"/>
      <c r="M231" s="594"/>
      <c r="N231" s="594"/>
      <c r="O231" s="594"/>
      <c r="P231" s="594"/>
      <c r="Q231" s="594"/>
      <c r="R231" s="594"/>
      <c r="S231" s="594"/>
      <c r="T231" s="594"/>
    </row>
    <row r="232" spans="2:20" x14ac:dyDescent="0.2">
      <c r="B232" s="594"/>
      <c r="C232" s="594"/>
      <c r="D232" s="594"/>
      <c r="E232" s="594"/>
      <c r="F232" s="594"/>
      <c r="G232" s="594"/>
      <c r="H232" s="594"/>
      <c r="I232" s="710"/>
      <c r="J232" s="594"/>
      <c r="K232" s="594"/>
      <c r="L232" s="753"/>
      <c r="M232" s="594"/>
      <c r="N232" s="594"/>
      <c r="O232" s="594"/>
      <c r="P232" s="594"/>
      <c r="Q232" s="594"/>
      <c r="R232" s="594"/>
      <c r="S232" s="594"/>
      <c r="T232" s="594"/>
    </row>
    <row r="233" spans="2:20" x14ac:dyDescent="0.2">
      <c r="B233" s="594"/>
      <c r="C233" s="594"/>
      <c r="D233" s="594"/>
      <c r="E233" s="710"/>
      <c r="F233" s="710"/>
      <c r="G233" s="710"/>
      <c r="H233" s="710"/>
      <c r="I233" s="710"/>
      <c r="J233" s="594"/>
      <c r="K233" s="594"/>
      <c r="L233" s="753"/>
      <c r="M233" s="594"/>
      <c r="N233" s="594"/>
      <c r="O233" s="594"/>
      <c r="P233" s="594"/>
      <c r="Q233" s="594"/>
      <c r="R233" s="594"/>
      <c r="S233" s="594"/>
      <c r="T233" s="594"/>
    </row>
    <row r="234" spans="2:20" x14ac:dyDescent="0.2">
      <c r="B234" s="594"/>
      <c r="C234" s="594"/>
      <c r="D234" s="682"/>
      <c r="E234" s="583"/>
      <c r="F234" s="594"/>
      <c r="G234" s="594"/>
      <c r="H234" s="594"/>
      <c r="I234" s="594"/>
      <c r="J234" s="594"/>
      <c r="K234" s="594"/>
      <c r="L234" s="594"/>
      <c r="M234" s="594"/>
      <c r="N234" s="594"/>
      <c r="O234" s="594"/>
      <c r="P234" s="594"/>
      <c r="Q234" s="594"/>
      <c r="R234" s="594"/>
      <c r="S234" s="594"/>
      <c r="T234" s="594"/>
    </row>
    <row r="235" spans="2:20" x14ac:dyDescent="0.2">
      <c r="B235" s="594"/>
      <c r="C235" s="594"/>
      <c r="D235" s="594"/>
      <c r="E235" s="594"/>
      <c r="F235" s="714"/>
      <c r="G235" s="714"/>
      <c r="H235" s="714"/>
      <c r="I235" s="714"/>
      <c r="J235" s="594"/>
      <c r="K235" s="594"/>
      <c r="L235" s="594"/>
      <c r="M235" s="594"/>
      <c r="N235" s="594"/>
      <c r="O235" s="594"/>
      <c r="P235" s="594"/>
      <c r="Q235" s="594"/>
      <c r="R235" s="594"/>
      <c r="S235" s="594"/>
      <c r="T235" s="594"/>
    </row>
    <row r="236" spans="2:20" ht="21" customHeight="1" x14ac:dyDescent="0.2">
      <c r="B236" s="1016"/>
      <c r="C236" s="1017"/>
      <c r="D236" s="594"/>
      <c r="E236" s="594"/>
      <c r="F236" s="715"/>
      <c r="G236" s="715"/>
      <c r="H236" s="715"/>
      <c r="I236" s="715"/>
      <c r="J236" s="594"/>
      <c r="K236" s="594"/>
      <c r="L236" s="594"/>
      <c r="M236" s="594"/>
      <c r="N236" s="1015"/>
      <c r="O236" s="1015"/>
      <c r="P236" s="1015"/>
      <c r="Q236" s="594"/>
      <c r="R236" s="594"/>
      <c r="S236" s="594"/>
      <c r="T236" s="594"/>
    </row>
    <row r="237" spans="2:20" ht="18.75" customHeight="1" x14ac:dyDescent="0.2">
      <c r="B237" s="755"/>
      <c r="C237" s="717"/>
      <c r="D237" s="715"/>
      <c r="E237" s="715"/>
      <c r="F237" s="715"/>
      <c r="G237" s="715"/>
      <c r="H237" s="594"/>
      <c r="I237" s="594"/>
      <c r="J237" s="594"/>
      <c r="K237" s="594"/>
      <c r="L237" s="594"/>
      <c r="M237" s="594"/>
      <c r="N237" s="753"/>
      <c r="O237" s="753"/>
      <c r="P237" s="753"/>
      <c r="Q237" s="594"/>
      <c r="R237" s="594"/>
      <c r="S237" s="594"/>
      <c r="T237" s="594"/>
    </row>
    <row r="238" spans="2:20" ht="18.75" customHeight="1" x14ac:dyDescent="0.2">
      <c r="B238" s="755"/>
      <c r="C238" s="717"/>
      <c r="D238" s="715"/>
      <c r="E238" s="715"/>
      <c r="F238" s="715"/>
      <c r="G238" s="718"/>
      <c r="H238" s="583"/>
      <c r="I238" s="718"/>
      <c r="J238" s="583"/>
      <c r="K238" s="583"/>
      <c r="L238" s="718"/>
      <c r="M238" s="594"/>
      <c r="N238" s="753"/>
      <c r="O238" s="753"/>
      <c r="P238" s="753"/>
      <c r="Q238" s="594"/>
      <c r="R238" s="594"/>
      <c r="S238" s="594"/>
      <c r="T238" s="594"/>
    </row>
    <row r="239" spans="2:20" ht="21" customHeight="1" x14ac:dyDescent="0.2">
      <c r="B239" s="754"/>
      <c r="C239" s="719"/>
      <c r="D239" s="715"/>
      <c r="E239" s="715"/>
      <c r="F239" s="583"/>
      <c r="G239" s="710"/>
      <c r="H239" s="710"/>
      <c r="I239" s="710"/>
      <c r="J239" s="710"/>
      <c r="K239" s="710"/>
      <c r="L239" s="710"/>
      <c r="M239" s="594"/>
      <c r="N239" s="753"/>
      <c r="O239" s="753"/>
      <c r="P239" s="753"/>
      <c r="Q239" s="594"/>
      <c r="R239" s="594"/>
      <c r="S239" s="594"/>
      <c r="T239" s="594"/>
    </row>
    <row r="240" spans="2:20" x14ac:dyDescent="0.2">
      <c r="B240" s="594"/>
      <c r="C240" s="594"/>
      <c r="D240" s="715"/>
      <c r="E240" s="715"/>
      <c r="F240" s="594"/>
      <c r="G240" s="594"/>
      <c r="H240" s="594"/>
      <c r="I240" s="594"/>
      <c r="J240" s="594"/>
      <c r="K240" s="594"/>
      <c r="L240" s="594"/>
      <c r="M240" s="594"/>
      <c r="N240" s="753"/>
      <c r="O240" s="753"/>
      <c r="P240" s="753"/>
      <c r="Q240" s="594"/>
      <c r="R240" s="594"/>
      <c r="S240" s="594"/>
      <c r="T240" s="594"/>
    </row>
    <row r="241" spans="1:20" x14ac:dyDescent="0.2">
      <c r="B241" s="594"/>
      <c r="C241" s="594"/>
      <c r="D241" s="594"/>
      <c r="E241" s="594"/>
      <c r="F241" s="594"/>
      <c r="G241" s="715"/>
      <c r="H241" s="583"/>
      <c r="I241" s="583"/>
      <c r="J241" s="583"/>
      <c r="K241" s="583"/>
      <c r="L241" s="701"/>
      <c r="M241" s="701"/>
      <c r="N241" s="701"/>
      <c r="O241" s="701"/>
      <c r="P241" s="701"/>
      <c r="Q241" s="594"/>
      <c r="R241" s="594"/>
      <c r="S241" s="594"/>
      <c r="T241" s="594"/>
    </row>
    <row r="242" spans="1:20" x14ac:dyDescent="0.2">
      <c r="B242" s="594"/>
      <c r="C242" s="594"/>
      <c r="D242" s="594"/>
      <c r="E242" s="594"/>
      <c r="F242" s="583"/>
      <c r="G242" s="710"/>
      <c r="H242" s="710"/>
      <c r="I242" s="710"/>
      <c r="J242" s="710"/>
      <c r="K242" s="710"/>
      <c r="L242" s="701"/>
      <c r="M242" s="701"/>
      <c r="N242" s="701"/>
      <c r="O242" s="701"/>
      <c r="P242" s="701"/>
      <c r="Q242" s="594"/>
      <c r="R242" s="594"/>
      <c r="S242" s="594"/>
      <c r="T242" s="594"/>
    </row>
    <row r="243" spans="1:20" x14ac:dyDescent="0.2">
      <c r="A243" s="720"/>
      <c r="B243" s="693"/>
      <c r="C243" s="693"/>
      <c r="D243" s="693"/>
      <c r="E243" s="693"/>
      <c r="F243" s="693"/>
      <c r="G243" s="693"/>
      <c r="H243" s="693"/>
      <c r="I243" s="693"/>
      <c r="J243" s="721"/>
      <c r="K243" s="721"/>
      <c r="L243" s="721"/>
      <c r="M243" s="721"/>
      <c r="N243" s="721"/>
      <c r="O243" s="721"/>
      <c r="P243" s="721"/>
      <c r="Q243" s="594"/>
      <c r="R243" s="594"/>
      <c r="S243" s="594"/>
      <c r="T243" s="594"/>
    </row>
    <row r="244" spans="1:20" s="594" customFormat="1" x14ac:dyDescent="0.2">
      <c r="E244" s="710"/>
      <c r="J244" s="701"/>
      <c r="K244" s="701"/>
      <c r="L244" s="701"/>
      <c r="M244" s="701"/>
      <c r="N244" s="701"/>
      <c r="O244" s="701"/>
      <c r="P244" s="701"/>
    </row>
    <row r="245" spans="1:20" s="558" customFormat="1" x14ac:dyDescent="0.2">
      <c r="B245" s="594"/>
      <c r="C245" s="594"/>
      <c r="D245" s="594"/>
      <c r="E245" s="594"/>
      <c r="F245" s="594"/>
      <c r="G245" s="594"/>
      <c r="H245" s="594"/>
      <c r="I245" s="594"/>
      <c r="J245" s="701"/>
      <c r="K245" s="701"/>
      <c r="L245" s="701"/>
      <c r="M245" s="701"/>
      <c r="N245" s="701"/>
      <c r="O245" s="701"/>
      <c r="P245" s="701"/>
      <c r="Q245" s="594"/>
      <c r="R245" s="594"/>
      <c r="S245" s="594"/>
      <c r="T245" s="594"/>
    </row>
    <row r="246" spans="1:20" s="558" customFormat="1" x14ac:dyDescent="0.2">
      <c r="B246" s="594"/>
      <c r="C246" s="594"/>
      <c r="D246" s="710"/>
      <c r="E246" s="594"/>
      <c r="F246" s="594"/>
      <c r="G246" s="594"/>
      <c r="H246" s="594"/>
      <c r="I246" s="711"/>
      <c r="J246" s="701"/>
      <c r="K246" s="701"/>
      <c r="L246" s="701"/>
      <c r="M246" s="701"/>
      <c r="N246" s="701"/>
      <c r="O246" s="701"/>
      <c r="P246" s="701"/>
      <c r="Q246" s="594"/>
      <c r="R246" s="594"/>
      <c r="S246" s="594"/>
      <c r="T246" s="594"/>
    </row>
    <row r="247" spans="1:20" s="558" customFormat="1" x14ac:dyDescent="0.2">
      <c r="B247" s="594"/>
      <c r="C247" s="594"/>
      <c r="D247" s="594"/>
      <c r="E247" s="594"/>
      <c r="F247" s="594"/>
      <c r="G247" s="594"/>
      <c r="H247" s="594"/>
      <c r="I247" s="594"/>
      <c r="J247" s="594"/>
      <c r="K247" s="594"/>
      <c r="L247" s="594"/>
      <c r="M247" s="594"/>
      <c r="N247" s="594"/>
      <c r="O247" s="594"/>
      <c r="P247" s="594"/>
      <c r="Q247" s="594"/>
      <c r="R247" s="594"/>
      <c r="S247" s="594"/>
      <c r="T247" s="594"/>
    </row>
    <row r="248" spans="1:20" s="558" customFormat="1" x14ac:dyDescent="0.2">
      <c r="B248" s="583"/>
      <c r="C248" s="753"/>
      <c r="D248" s="753"/>
      <c r="E248" s="753"/>
      <c r="F248" s="753"/>
      <c r="G248" s="753"/>
      <c r="H248" s="753"/>
      <c r="I248" s="753"/>
      <c r="J248" s="594"/>
      <c r="K248" s="594"/>
      <c r="L248" s="594"/>
      <c r="M248" s="594"/>
      <c r="N248" s="594"/>
      <c r="O248" s="594"/>
      <c r="P248" s="594"/>
      <c r="Q248" s="594"/>
      <c r="R248" s="594"/>
      <c r="S248" s="594"/>
      <c r="T248" s="594"/>
    </row>
    <row r="249" spans="1:20" s="558" customFormat="1" x14ac:dyDescent="0.2">
      <c r="B249" s="594"/>
      <c r="C249" s="595"/>
      <c r="D249" s="722"/>
      <c r="E249" s="722"/>
      <c r="F249" s="722"/>
      <c r="G249" s="722"/>
      <c r="H249" s="722"/>
      <c r="I249" s="722"/>
      <c r="J249" s="594"/>
      <c r="K249" s="594"/>
      <c r="L249" s="594"/>
      <c r="M249" s="594"/>
      <c r="N249" s="594"/>
      <c r="O249" s="594"/>
      <c r="P249" s="594"/>
      <c r="Q249" s="594"/>
      <c r="R249" s="594"/>
      <c r="S249" s="594"/>
      <c r="T249" s="594"/>
    </row>
    <row r="250" spans="1:20" s="558" customFormat="1" x14ac:dyDescent="0.2">
      <c r="B250" s="594"/>
      <c r="C250" s="595"/>
      <c r="D250" s="722"/>
      <c r="E250" s="722"/>
      <c r="F250" s="722"/>
      <c r="G250" s="722"/>
      <c r="H250" s="722"/>
      <c r="I250" s="722"/>
      <c r="J250" s="594"/>
      <c r="K250" s="594"/>
      <c r="L250" s="594"/>
      <c r="M250" s="594"/>
      <c r="N250" s="594"/>
      <c r="O250" s="594"/>
      <c r="P250" s="594"/>
      <c r="Q250" s="594"/>
      <c r="R250" s="594"/>
      <c r="S250" s="594"/>
      <c r="T250" s="594"/>
    </row>
    <row r="251" spans="1:20" s="558" customFormat="1" x14ac:dyDescent="0.2">
      <c r="B251" s="594"/>
      <c r="C251" s="595"/>
      <c r="D251" s="723"/>
      <c r="E251" s="722"/>
      <c r="F251" s="722"/>
      <c r="G251" s="722"/>
      <c r="H251" s="722"/>
      <c r="I251" s="722"/>
      <c r="J251" s="594"/>
      <c r="K251" s="594"/>
      <c r="L251" s="594"/>
      <c r="M251" s="594"/>
      <c r="N251" s="594"/>
      <c r="O251" s="594"/>
      <c r="P251" s="594"/>
      <c r="Q251" s="594"/>
      <c r="R251" s="594"/>
      <c r="S251" s="594"/>
      <c r="T251" s="594"/>
    </row>
    <row r="252" spans="1:20" s="558" customFormat="1" x14ac:dyDescent="0.2">
      <c r="B252" s="583"/>
      <c r="C252" s="595"/>
      <c r="D252" s="595"/>
      <c r="E252" s="594"/>
      <c r="F252" s="594"/>
      <c r="G252" s="594"/>
      <c r="H252" s="724"/>
      <c r="I252" s="594"/>
      <c r="J252" s="594"/>
      <c r="K252" s="594"/>
      <c r="L252" s="594"/>
      <c r="M252" s="594"/>
      <c r="N252" s="594"/>
      <c r="O252" s="594"/>
      <c r="P252" s="594"/>
      <c r="Q252" s="594"/>
      <c r="R252" s="594"/>
      <c r="S252" s="594"/>
      <c r="T252" s="594"/>
    </row>
    <row r="253" spans="1:20" s="558" customFormat="1" x14ac:dyDescent="0.2">
      <c r="B253" s="594"/>
      <c r="C253" s="595"/>
      <c r="D253" s="596"/>
      <c r="E253" s="596"/>
      <c r="F253" s="596"/>
      <c r="G253" s="596"/>
      <c r="H253" s="596"/>
      <c r="I253" s="596"/>
      <c r="J253" s="594"/>
      <c r="K253" s="594"/>
      <c r="L253" s="594"/>
      <c r="M253" s="594"/>
      <c r="N253" s="594"/>
      <c r="O253" s="594"/>
      <c r="P253" s="594"/>
      <c r="Q253" s="594"/>
      <c r="R253" s="594"/>
      <c r="S253" s="594"/>
      <c r="T253" s="594"/>
    </row>
    <row r="254" spans="1:20" s="558" customFormat="1" x14ac:dyDescent="0.2">
      <c r="B254" s="594"/>
      <c r="C254" s="595"/>
      <c r="D254" s="596"/>
      <c r="E254" s="596"/>
      <c r="F254" s="596"/>
      <c r="G254" s="596"/>
      <c r="H254" s="596"/>
      <c r="I254" s="596"/>
      <c r="J254" s="594"/>
      <c r="K254" s="594"/>
      <c r="L254" s="594"/>
      <c r="M254" s="594"/>
      <c r="N254" s="594"/>
      <c r="O254" s="594"/>
      <c r="P254" s="594"/>
      <c r="Q254" s="594"/>
      <c r="R254" s="594"/>
      <c r="S254" s="594"/>
      <c r="T254" s="594"/>
    </row>
    <row r="255" spans="1:20" s="558" customFormat="1" x14ac:dyDescent="0.2">
      <c r="B255" s="594"/>
      <c r="C255" s="595"/>
      <c r="D255" s="596"/>
      <c r="E255" s="596"/>
      <c r="F255" s="596"/>
      <c r="G255" s="596"/>
      <c r="H255" s="596"/>
      <c r="I255" s="596"/>
      <c r="J255" s="594"/>
      <c r="K255" s="594"/>
      <c r="L255" s="594"/>
      <c r="M255" s="594"/>
      <c r="N255" s="594"/>
      <c r="O255" s="594"/>
      <c r="P255" s="594"/>
      <c r="Q255" s="594"/>
      <c r="R255" s="594"/>
      <c r="S255" s="594"/>
      <c r="T255" s="594"/>
    </row>
    <row r="256" spans="1:20" s="558" customFormat="1" x14ac:dyDescent="0.2">
      <c r="B256" s="594"/>
      <c r="C256" s="595"/>
      <c r="D256" s="596"/>
      <c r="E256" s="596"/>
      <c r="F256" s="596"/>
      <c r="G256" s="596"/>
      <c r="H256" s="596"/>
      <c r="I256" s="596"/>
      <c r="J256" s="594"/>
      <c r="K256" s="594"/>
      <c r="L256" s="594"/>
      <c r="M256" s="594"/>
      <c r="N256" s="594"/>
      <c r="O256" s="594"/>
      <c r="P256" s="594"/>
      <c r="Q256" s="594"/>
      <c r="R256" s="594"/>
      <c r="S256" s="594"/>
      <c r="T256" s="594"/>
    </row>
    <row r="257" spans="2:20" s="558" customFormat="1" x14ac:dyDescent="0.2">
      <c r="B257" s="594"/>
      <c r="C257" s="595"/>
      <c r="D257" s="596"/>
      <c r="E257" s="596"/>
      <c r="F257" s="596"/>
      <c r="G257" s="596"/>
      <c r="H257" s="596"/>
      <c r="I257" s="596"/>
      <c r="J257" s="594"/>
      <c r="K257" s="594"/>
      <c r="L257" s="594"/>
      <c r="M257" s="594"/>
      <c r="N257" s="594"/>
      <c r="O257" s="594"/>
      <c r="P257" s="594"/>
      <c r="Q257" s="594"/>
      <c r="R257" s="594"/>
      <c r="S257" s="594"/>
      <c r="T257" s="594"/>
    </row>
    <row r="258" spans="2:20" s="558" customFormat="1" x14ac:dyDescent="0.2">
      <c r="B258" s="594"/>
      <c r="C258" s="595"/>
      <c r="D258" s="596"/>
      <c r="E258" s="596"/>
      <c r="F258" s="596"/>
      <c r="G258" s="596"/>
      <c r="H258" s="596"/>
      <c r="I258" s="596"/>
      <c r="J258" s="594"/>
      <c r="K258" s="594"/>
      <c r="L258" s="594"/>
      <c r="M258" s="594"/>
      <c r="N258" s="594"/>
      <c r="O258" s="594"/>
      <c r="P258" s="594"/>
      <c r="Q258" s="594"/>
      <c r="R258" s="594"/>
      <c r="S258" s="594"/>
      <c r="T258" s="594"/>
    </row>
    <row r="259" spans="2:20" s="558" customFormat="1" x14ac:dyDescent="0.2">
      <c r="B259" s="583"/>
      <c r="C259" s="595"/>
      <c r="D259" s="595"/>
      <c r="E259" s="594"/>
      <c r="F259" s="594"/>
      <c r="G259" s="594"/>
      <c r="H259" s="594"/>
      <c r="I259" s="594"/>
      <c r="J259" s="594"/>
      <c r="K259" s="594"/>
      <c r="L259" s="594"/>
      <c r="M259" s="594"/>
      <c r="N259" s="594"/>
      <c r="O259" s="594"/>
      <c r="P259" s="594"/>
      <c r="Q259" s="594"/>
      <c r="R259" s="594"/>
      <c r="S259" s="594"/>
      <c r="T259" s="594"/>
    </row>
    <row r="260" spans="2:20" s="558" customFormat="1" x14ac:dyDescent="0.2">
      <c r="B260" s="594"/>
      <c r="C260" s="595"/>
      <c r="D260" s="596"/>
      <c r="E260" s="596"/>
      <c r="F260" s="596"/>
      <c r="G260" s="596"/>
      <c r="H260" s="596"/>
      <c r="I260" s="596"/>
      <c r="J260" s="594"/>
      <c r="K260" s="594"/>
      <c r="L260" s="594"/>
      <c r="M260" s="594"/>
      <c r="N260" s="594"/>
      <c r="O260" s="594"/>
      <c r="P260" s="594"/>
      <c r="Q260" s="594"/>
      <c r="R260" s="594"/>
      <c r="S260" s="594"/>
      <c r="T260" s="594"/>
    </row>
    <row r="261" spans="2:20" s="558" customFormat="1" x14ac:dyDescent="0.2">
      <c r="B261" s="594"/>
      <c r="C261" s="595"/>
      <c r="D261" s="596"/>
      <c r="E261" s="596"/>
      <c r="F261" s="596"/>
      <c r="G261" s="596"/>
      <c r="H261" s="596"/>
      <c r="I261" s="596"/>
      <c r="J261" s="594"/>
      <c r="K261" s="594"/>
      <c r="L261" s="594"/>
      <c r="M261" s="594"/>
      <c r="N261" s="594"/>
      <c r="O261" s="594"/>
      <c r="P261" s="594"/>
      <c r="Q261" s="594"/>
      <c r="R261" s="594"/>
      <c r="S261" s="594"/>
      <c r="T261" s="594"/>
    </row>
    <row r="262" spans="2:20" s="558" customFormat="1" x14ac:dyDescent="0.2">
      <c r="B262" s="583"/>
      <c r="C262" s="595"/>
      <c r="D262" s="595"/>
      <c r="E262" s="594"/>
      <c r="F262" s="594"/>
      <c r="G262" s="594"/>
      <c r="H262" s="594"/>
      <c r="I262" s="594"/>
      <c r="J262" s="594"/>
      <c r="K262" s="594"/>
      <c r="L262" s="594"/>
      <c r="M262" s="594"/>
      <c r="N262" s="594"/>
      <c r="O262" s="594"/>
      <c r="P262" s="594"/>
      <c r="Q262" s="594"/>
      <c r="R262" s="594"/>
      <c r="S262" s="594"/>
      <c r="T262" s="594"/>
    </row>
    <row r="263" spans="2:20" s="558" customFormat="1" x14ac:dyDescent="0.2">
      <c r="B263" s="594"/>
      <c r="C263" s="595"/>
      <c r="D263" s="684"/>
      <c r="E263" s="596"/>
      <c r="F263" s="596"/>
      <c r="G263" s="596"/>
      <c r="H263" s="596"/>
      <c r="I263" s="596"/>
      <c r="J263" s="594"/>
      <c r="K263" s="594"/>
      <c r="L263" s="594"/>
      <c r="M263" s="594"/>
      <c r="N263" s="594"/>
      <c r="O263" s="594"/>
      <c r="P263" s="594"/>
      <c r="Q263" s="594"/>
      <c r="R263" s="594"/>
      <c r="S263" s="594"/>
      <c r="T263" s="594"/>
    </row>
    <row r="264" spans="2:20" s="558" customFormat="1" x14ac:dyDescent="0.2">
      <c r="B264" s="594"/>
      <c r="C264" s="595"/>
      <c r="D264" s="684"/>
      <c r="E264" s="725"/>
      <c r="F264" s="725"/>
      <c r="G264" s="725"/>
      <c r="H264" s="725"/>
      <c r="I264" s="725"/>
      <c r="J264" s="594"/>
      <c r="K264" s="594"/>
      <c r="L264" s="594"/>
      <c r="M264" s="594"/>
      <c r="N264" s="594"/>
      <c r="O264" s="594"/>
      <c r="P264" s="594"/>
      <c r="Q264" s="594"/>
      <c r="R264" s="594"/>
      <c r="S264" s="594"/>
      <c r="T264" s="594"/>
    </row>
    <row r="265" spans="2:20" s="558" customFormat="1" x14ac:dyDescent="0.2">
      <c r="B265" s="594"/>
      <c r="C265" s="594"/>
      <c r="D265" s="594"/>
      <c r="E265" s="594"/>
      <c r="F265" s="594"/>
      <c r="G265" s="594"/>
      <c r="H265" s="594"/>
      <c r="I265" s="594"/>
      <c r="J265" s="594"/>
      <c r="K265" s="594"/>
      <c r="L265" s="594"/>
      <c r="M265" s="594"/>
      <c r="N265" s="594"/>
      <c r="O265" s="594"/>
      <c r="P265" s="594"/>
      <c r="Q265" s="594"/>
      <c r="R265" s="594"/>
      <c r="S265" s="594"/>
      <c r="T265" s="594"/>
    </row>
    <row r="266" spans="2:20" s="558" customFormat="1" x14ac:dyDescent="0.2">
      <c r="B266" s="583"/>
      <c r="C266" s="595"/>
      <c r="D266" s="753"/>
      <c r="E266" s="753"/>
      <c r="F266" s="753"/>
      <c r="G266" s="753"/>
      <c r="H266" s="753"/>
      <c r="I266" s="753"/>
      <c r="J266" s="701"/>
      <c r="K266" s="701"/>
      <c r="L266" s="701"/>
      <c r="M266" s="701"/>
      <c r="N266" s="701"/>
      <c r="O266" s="701"/>
      <c r="P266" s="701"/>
      <c r="Q266" s="594"/>
      <c r="R266" s="594"/>
      <c r="S266" s="594"/>
      <c r="T266" s="594"/>
    </row>
    <row r="267" spans="2:20" s="558" customFormat="1" x14ac:dyDescent="0.2">
      <c r="B267" s="583"/>
      <c r="C267" s="595"/>
      <c r="D267" s="595"/>
      <c r="E267" s="726"/>
      <c r="F267" s="583"/>
      <c r="G267" s="583"/>
      <c r="H267" s="583"/>
      <c r="I267" s="583"/>
      <c r="J267" s="594"/>
      <c r="K267" s="594"/>
      <c r="L267" s="583"/>
      <c r="M267" s="594"/>
      <c r="N267" s="708"/>
      <c r="O267" s="708"/>
      <c r="P267" s="708"/>
      <c r="Q267" s="594"/>
      <c r="R267" s="594"/>
      <c r="S267" s="594"/>
      <c r="T267" s="594"/>
    </row>
    <row r="268" spans="2:20" s="558" customFormat="1" x14ac:dyDescent="0.2">
      <c r="B268" s="583"/>
      <c r="C268" s="595"/>
      <c r="D268" s="595"/>
      <c r="E268" s="682"/>
      <c r="F268" s="682"/>
      <c r="G268" s="682"/>
      <c r="H268" s="682"/>
      <c r="I268" s="682"/>
      <c r="J268" s="594"/>
      <c r="K268" s="594"/>
      <c r="L268" s="594"/>
      <c r="M268" s="594"/>
      <c r="N268" s="594"/>
      <c r="O268" s="594"/>
      <c r="P268" s="594"/>
      <c r="Q268" s="594"/>
      <c r="R268" s="594"/>
      <c r="S268" s="594"/>
      <c r="T268" s="594"/>
    </row>
    <row r="269" spans="2:20" s="558" customFormat="1" x14ac:dyDescent="0.2">
      <c r="B269" s="594"/>
      <c r="C269" s="595"/>
      <c r="D269" s="595"/>
      <c r="E269" s="596"/>
      <c r="F269" s="596"/>
      <c r="G269" s="596"/>
      <c r="H269" s="596"/>
      <c r="I269" s="596"/>
      <c r="J269" s="594"/>
      <c r="K269" s="594"/>
      <c r="L269" s="594"/>
      <c r="M269" s="594"/>
      <c r="N269" s="711"/>
      <c r="O269" s="711"/>
      <c r="P269" s="711"/>
      <c r="Q269" s="594"/>
      <c r="R269" s="594"/>
      <c r="S269" s="594"/>
      <c r="T269" s="594"/>
    </row>
    <row r="270" spans="2:20" s="558" customFormat="1" x14ac:dyDescent="0.2">
      <c r="B270" s="594"/>
      <c r="C270" s="595"/>
      <c r="D270" s="595"/>
      <c r="E270" s="596"/>
      <c r="F270" s="596"/>
      <c r="G270" s="596"/>
      <c r="H270" s="596"/>
      <c r="I270" s="596"/>
      <c r="J270" s="594"/>
      <c r="K270" s="594"/>
      <c r="L270" s="583"/>
      <c r="M270" s="594"/>
      <c r="N270" s="594"/>
      <c r="O270" s="594"/>
      <c r="P270" s="594"/>
      <c r="Q270" s="594"/>
      <c r="R270" s="594"/>
      <c r="S270" s="594"/>
      <c r="T270" s="594"/>
    </row>
    <row r="271" spans="2:20" s="558" customFormat="1" x14ac:dyDescent="0.2">
      <c r="B271" s="594"/>
      <c r="C271" s="595"/>
      <c r="D271" s="595"/>
      <c r="E271" s="596"/>
      <c r="F271" s="596"/>
      <c r="G271" s="596"/>
      <c r="H271" s="596"/>
      <c r="I271" s="596"/>
      <c r="J271" s="594"/>
      <c r="K271" s="594"/>
      <c r="L271" s="753"/>
      <c r="M271" s="594"/>
      <c r="N271" s="594"/>
      <c r="O271" s="594"/>
      <c r="P271" s="594"/>
      <c r="Q271" s="594"/>
      <c r="R271" s="594"/>
      <c r="S271" s="594"/>
      <c r="T271" s="594"/>
    </row>
    <row r="272" spans="2:20" s="558" customFormat="1" x14ac:dyDescent="0.2">
      <c r="B272" s="594"/>
      <c r="C272" s="595"/>
      <c r="D272" s="595"/>
      <c r="E272" s="596"/>
      <c r="F272" s="596"/>
      <c r="G272" s="596"/>
      <c r="H272" s="596"/>
      <c r="I272" s="596"/>
      <c r="J272" s="594"/>
      <c r="K272" s="594"/>
      <c r="L272" s="753"/>
      <c r="M272" s="594"/>
      <c r="N272" s="594"/>
      <c r="O272" s="594"/>
      <c r="P272" s="594"/>
      <c r="Q272" s="594"/>
      <c r="R272" s="594"/>
      <c r="S272" s="594"/>
      <c r="T272" s="594"/>
    </row>
    <row r="273" spans="2:20" s="558" customFormat="1" x14ac:dyDescent="0.2">
      <c r="B273" s="594"/>
      <c r="C273" s="595"/>
      <c r="D273" s="595"/>
      <c r="E273" s="727"/>
      <c r="F273" s="727"/>
      <c r="G273" s="727"/>
      <c r="H273" s="727"/>
      <c r="I273" s="727"/>
      <c r="J273" s="594"/>
      <c r="K273" s="594"/>
      <c r="L273" s="753"/>
      <c r="M273" s="594"/>
      <c r="N273" s="594"/>
      <c r="O273" s="594"/>
      <c r="P273" s="594"/>
      <c r="Q273" s="594"/>
      <c r="R273" s="594"/>
      <c r="S273" s="594"/>
      <c r="T273" s="594"/>
    </row>
    <row r="274" spans="2:20" s="558" customFormat="1" x14ac:dyDescent="0.2">
      <c r="B274" s="583"/>
      <c r="C274" s="595"/>
      <c r="D274" s="595"/>
      <c r="E274" s="682"/>
      <c r="F274" s="682"/>
      <c r="G274" s="682"/>
      <c r="H274" s="682"/>
      <c r="I274" s="682"/>
      <c r="J274" s="594"/>
      <c r="K274" s="594"/>
      <c r="L274" s="753"/>
      <c r="M274" s="594"/>
      <c r="N274" s="594"/>
      <c r="O274" s="594"/>
      <c r="P274" s="594"/>
      <c r="Q274" s="594"/>
      <c r="R274" s="594"/>
      <c r="S274" s="594"/>
      <c r="T274" s="594"/>
    </row>
    <row r="275" spans="2:20" s="558" customFormat="1" x14ac:dyDescent="0.2">
      <c r="B275" s="594"/>
      <c r="C275" s="595"/>
      <c r="D275" s="595"/>
      <c r="E275" s="596"/>
      <c r="F275" s="596"/>
      <c r="G275" s="596"/>
      <c r="H275" s="596"/>
      <c r="I275" s="596"/>
      <c r="J275" s="594"/>
      <c r="K275" s="594"/>
      <c r="L275" s="594"/>
      <c r="M275" s="594"/>
      <c r="N275" s="594"/>
      <c r="O275" s="594"/>
      <c r="P275" s="594"/>
      <c r="Q275" s="594"/>
      <c r="R275" s="594"/>
      <c r="S275" s="594"/>
      <c r="T275" s="594"/>
    </row>
    <row r="276" spans="2:20" s="558" customFormat="1" x14ac:dyDescent="0.2">
      <c r="B276" s="594"/>
      <c r="C276" s="595"/>
      <c r="D276" s="595"/>
      <c r="E276" s="596"/>
      <c r="F276" s="596"/>
      <c r="G276" s="596"/>
      <c r="H276" s="596"/>
      <c r="I276" s="596"/>
      <c r="J276" s="594"/>
      <c r="K276" s="594"/>
      <c r="L276" s="594"/>
      <c r="M276" s="594"/>
      <c r="N276" s="594"/>
      <c r="O276" s="594"/>
      <c r="P276" s="594"/>
      <c r="Q276" s="594"/>
      <c r="R276" s="594"/>
      <c r="S276" s="594"/>
      <c r="T276" s="594"/>
    </row>
    <row r="277" spans="2:20" s="558" customFormat="1" x14ac:dyDescent="0.2">
      <c r="B277" s="594"/>
      <c r="C277" s="595"/>
      <c r="D277" s="595"/>
      <c r="E277" s="596"/>
      <c r="F277" s="596"/>
      <c r="G277" s="596"/>
      <c r="H277" s="596"/>
      <c r="I277" s="596"/>
      <c r="J277" s="594"/>
      <c r="K277" s="594"/>
      <c r="L277" s="594"/>
      <c r="M277" s="594"/>
      <c r="N277" s="594"/>
      <c r="O277" s="594"/>
      <c r="P277" s="594"/>
      <c r="Q277" s="594"/>
      <c r="R277" s="594"/>
      <c r="S277" s="594"/>
      <c r="T277" s="594"/>
    </row>
    <row r="278" spans="2:20" s="558" customFormat="1" x14ac:dyDescent="0.2">
      <c r="B278" s="594"/>
      <c r="C278" s="595"/>
      <c r="D278" s="595"/>
      <c r="E278" s="596"/>
      <c r="F278" s="596"/>
      <c r="G278" s="596"/>
      <c r="H278" s="596"/>
      <c r="I278" s="596"/>
      <c r="J278" s="594"/>
      <c r="K278" s="594"/>
      <c r="L278" s="594"/>
      <c r="M278" s="594"/>
      <c r="N278" s="594"/>
      <c r="O278" s="594"/>
      <c r="P278" s="594"/>
      <c r="Q278" s="594"/>
      <c r="R278" s="594"/>
      <c r="S278" s="594"/>
      <c r="T278" s="594"/>
    </row>
    <row r="279" spans="2:20" s="558" customFormat="1" x14ac:dyDescent="0.2">
      <c r="B279" s="594"/>
      <c r="C279" s="595"/>
      <c r="D279" s="595"/>
      <c r="E279" s="596"/>
      <c r="F279" s="596"/>
      <c r="G279" s="596"/>
      <c r="H279" s="596"/>
      <c r="I279" s="596"/>
      <c r="J279" s="594"/>
      <c r="K279" s="594"/>
      <c r="L279" s="594"/>
      <c r="M279" s="594"/>
      <c r="N279" s="594"/>
      <c r="O279" s="594"/>
      <c r="P279" s="594"/>
      <c r="Q279" s="594"/>
      <c r="R279" s="594"/>
      <c r="S279" s="594"/>
      <c r="T279" s="594"/>
    </row>
    <row r="280" spans="2:20" s="558" customFormat="1" x14ac:dyDescent="0.2">
      <c r="B280" s="583"/>
      <c r="C280" s="595"/>
      <c r="D280" s="595"/>
      <c r="E280" s="682"/>
      <c r="F280" s="682"/>
      <c r="G280" s="682"/>
      <c r="H280" s="682"/>
      <c r="I280" s="682"/>
      <c r="J280" s="594"/>
      <c r="K280" s="594"/>
      <c r="L280" s="594"/>
      <c r="M280" s="594"/>
      <c r="N280" s="594"/>
      <c r="O280" s="594"/>
      <c r="P280" s="594"/>
      <c r="Q280" s="594"/>
      <c r="R280" s="594"/>
      <c r="S280" s="594"/>
      <c r="T280" s="594"/>
    </row>
    <row r="281" spans="2:20" s="558" customFormat="1" x14ac:dyDescent="0.2">
      <c r="B281" s="594"/>
      <c r="C281" s="595"/>
      <c r="D281" s="684"/>
      <c r="E281" s="684"/>
      <c r="F281" s="684"/>
      <c r="G281" s="684"/>
      <c r="H281" s="684"/>
      <c r="I281" s="684"/>
      <c r="J281" s="594"/>
      <c r="K281" s="594"/>
      <c r="L281" s="594"/>
      <c r="M281" s="594"/>
      <c r="N281" s="594"/>
      <c r="O281" s="594"/>
      <c r="P281" s="594"/>
      <c r="Q281" s="594"/>
      <c r="R281" s="594"/>
      <c r="S281" s="594"/>
      <c r="T281" s="594"/>
    </row>
    <row r="282" spans="2:20" s="558" customFormat="1" x14ac:dyDescent="0.2">
      <c r="B282" s="594"/>
      <c r="C282" s="595"/>
      <c r="D282" s="684"/>
      <c r="E282" s="684"/>
      <c r="F282" s="684"/>
      <c r="G282" s="684"/>
      <c r="H282" s="684"/>
      <c r="I282" s="684"/>
      <c r="J282" s="594"/>
      <c r="K282" s="594"/>
      <c r="L282" s="594"/>
      <c r="M282" s="594"/>
      <c r="N282" s="594"/>
      <c r="O282" s="594"/>
      <c r="P282" s="594"/>
      <c r="Q282" s="594"/>
      <c r="R282" s="594"/>
      <c r="S282" s="594"/>
      <c r="T282" s="594"/>
    </row>
    <row r="283" spans="2:20" s="558" customFormat="1" x14ac:dyDescent="0.2">
      <c r="B283" s="581"/>
      <c r="C283" s="602"/>
      <c r="D283" s="602"/>
      <c r="E283" s="728"/>
      <c r="F283" s="728"/>
      <c r="G283" s="728"/>
      <c r="H283" s="728"/>
      <c r="I283" s="728"/>
    </row>
    <row r="284" spans="2:20" s="558" customFormat="1" x14ac:dyDescent="0.2">
      <c r="B284" s="729"/>
      <c r="C284" s="581"/>
      <c r="D284" s="581"/>
      <c r="E284" s="730"/>
      <c r="F284" s="730"/>
      <c r="G284" s="730"/>
      <c r="H284" s="730"/>
      <c r="I284" s="730"/>
    </row>
  </sheetData>
  <sheetProtection algorithmName="SHA-512" hashValue="EY7ANbHtqtr5uyjPLPbpbS+hf0PGC7zKR5uE/MDo3ACMXFbzEoFSnuDvvujb7j9tHwYOBfMsCZ0DeVQjEikjqQ==" saltValue="ftzYGkiDk2XMGkScWyZfzw==" spinCount="100000" sheet="1" objects="1" scenarios="1"/>
  <mergeCells count="8">
    <mergeCell ref="B198:I198"/>
    <mergeCell ref="B236:C236"/>
    <mergeCell ref="N236:P236"/>
    <mergeCell ref="B2:I2"/>
    <mergeCell ref="B3:I3"/>
    <mergeCell ref="B4:I4"/>
    <mergeCell ref="B196:I196"/>
    <mergeCell ref="B197:I197"/>
  </mergeCells>
  <dataValidations disablePrompts="1" count="1">
    <dataValidation type="list" allowBlank="1" showInputMessage="1" showErrorMessage="1" sqref="K29:K32 K35:K38 K49:K51 K63:K68">
      <formula1>$M$29:$M$30</formula1>
    </dataValidation>
  </dataValidations>
  <pageMargins left="0.70866141732283472" right="0.70866141732283472" top="0.74803149606299213" bottom="0.74803149606299213" header="0.31496062992125984" footer="0.31496062992125984"/>
  <pageSetup paperSize="5" fitToHeight="0" orientation="landscape" r:id="rId1"/>
  <rowBreaks count="3" manualBreakCount="3">
    <brk id="57" max="16383" man="1"/>
    <brk id="194" max="16383" man="1"/>
    <brk id="24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AQ30"/>
  <sheetViews>
    <sheetView showGridLines="0" topLeftCell="A6" zoomScale="85" zoomScaleNormal="85" workbookViewId="0">
      <selection activeCell="G28" sqref="G28"/>
    </sheetView>
  </sheetViews>
  <sheetFormatPr baseColWidth="10" defaultRowHeight="15" x14ac:dyDescent="0.25"/>
  <cols>
    <col min="1" max="1" width="3.42578125" style="504" customWidth="1"/>
    <col min="2" max="2" width="19.85546875" style="504" customWidth="1"/>
    <col min="3" max="14" width="13" style="504" customWidth="1"/>
    <col min="15" max="16384" width="11.42578125" style="504"/>
  </cols>
  <sheetData>
    <row r="1" spans="2:43" s="417" customFormat="1" hidden="1" x14ac:dyDescent="0.25">
      <c r="S1" s="500"/>
      <c r="Y1" s="501"/>
      <c r="AH1" s="501"/>
      <c r="AQ1" s="501"/>
    </row>
    <row r="2" spans="2:43" s="417" customFormat="1" hidden="1" x14ac:dyDescent="0.25">
      <c r="S2" s="500"/>
      <c r="Y2" s="501"/>
      <c r="AH2" s="501"/>
      <c r="AQ2" s="501"/>
    </row>
    <row r="3" spans="2:43" s="417" customFormat="1" hidden="1" x14ac:dyDescent="0.25">
      <c r="S3" s="500"/>
      <c r="Y3" s="501"/>
      <c r="AH3" s="501"/>
      <c r="AQ3" s="501"/>
    </row>
    <row r="4" spans="2:43" s="417" customFormat="1" hidden="1" x14ac:dyDescent="0.25">
      <c r="S4" s="500"/>
      <c r="Y4" s="501"/>
      <c r="AH4" s="501"/>
      <c r="AQ4" s="501"/>
    </row>
    <row r="5" spans="2:43" s="417" customFormat="1" hidden="1" x14ac:dyDescent="0.25">
      <c r="S5" s="500"/>
      <c r="Y5" s="501"/>
      <c r="AH5" s="501"/>
      <c r="AQ5" s="501"/>
    </row>
    <row r="6" spans="2:43" s="84" customFormat="1" x14ac:dyDescent="0.25">
      <c r="B6" s="403"/>
    </row>
    <row r="7" spans="2:43" s="502" customFormat="1" x14ac:dyDescent="0.25">
      <c r="B7" s="503"/>
      <c r="E7" s="501">
        <v>2017</v>
      </c>
      <c r="F7" s="501">
        <v>2017</v>
      </c>
      <c r="G7" s="501">
        <f>+E7+1</f>
        <v>2018</v>
      </c>
      <c r="H7" s="501">
        <f>+F7+1</f>
        <v>2018</v>
      </c>
      <c r="I7" s="501">
        <f t="shared" ref="I7:N7" si="0">+G7+1</f>
        <v>2019</v>
      </c>
      <c r="J7" s="501">
        <f t="shared" si="0"/>
        <v>2019</v>
      </c>
      <c r="K7" s="501">
        <f t="shared" si="0"/>
        <v>2020</v>
      </c>
      <c r="L7" s="501">
        <f t="shared" si="0"/>
        <v>2020</v>
      </c>
      <c r="M7" s="501">
        <f t="shared" si="0"/>
        <v>2021</v>
      </c>
      <c r="N7" s="501">
        <f t="shared" si="0"/>
        <v>2021</v>
      </c>
    </row>
    <row r="8" spans="2:43" s="514" customFormat="1" x14ac:dyDescent="0.25">
      <c r="B8" s="512"/>
      <c r="C8" s="512"/>
      <c r="D8" s="512"/>
      <c r="E8" s="513" t="s">
        <v>954</v>
      </c>
      <c r="F8" s="513" t="s">
        <v>955</v>
      </c>
      <c r="G8" s="513" t="s">
        <v>956</v>
      </c>
      <c r="H8" s="513" t="s">
        <v>957</v>
      </c>
      <c r="I8" s="513" t="s">
        <v>958</v>
      </c>
      <c r="J8" s="513" t="s">
        <v>959</v>
      </c>
      <c r="K8" s="513" t="s">
        <v>960</v>
      </c>
      <c r="L8" s="513" t="s">
        <v>961</v>
      </c>
      <c r="M8" s="513" t="s">
        <v>962</v>
      </c>
      <c r="N8" s="513" t="s">
        <v>963</v>
      </c>
    </row>
    <row r="9" spans="2:43" s="514" customFormat="1" x14ac:dyDescent="0.25">
      <c r="B9" s="521" t="s">
        <v>1088</v>
      </c>
      <c r="E9" s="537"/>
      <c r="F9" s="537"/>
      <c r="G9" s="536">
        <v>8000</v>
      </c>
      <c r="H9" s="536">
        <v>8000</v>
      </c>
      <c r="I9" s="536">
        <v>8000</v>
      </c>
      <c r="J9" s="536">
        <v>8000</v>
      </c>
      <c r="K9" s="536">
        <v>8000</v>
      </c>
      <c r="L9" s="536">
        <v>8000</v>
      </c>
      <c r="M9" s="536"/>
      <c r="N9" s="536"/>
    </row>
    <row r="10" spans="2:43" s="514" customFormat="1" hidden="1" x14ac:dyDescent="0.25">
      <c r="B10" s="521" t="s">
        <v>1089</v>
      </c>
      <c r="E10" s="537"/>
      <c r="F10" s="537"/>
      <c r="G10" s="536">
        <v>0</v>
      </c>
      <c r="H10" s="536">
        <v>0</v>
      </c>
      <c r="I10" s="536">
        <v>0</v>
      </c>
      <c r="J10" s="536"/>
      <c r="K10" s="536"/>
      <c r="L10" s="536"/>
      <c r="M10" s="536"/>
      <c r="N10" s="536"/>
    </row>
    <row r="11" spans="2:43" s="514" customFormat="1" hidden="1" x14ac:dyDescent="0.25">
      <c r="B11" s="521" t="s">
        <v>885</v>
      </c>
      <c r="E11" s="537"/>
      <c r="F11" s="519">
        <v>0</v>
      </c>
      <c r="G11" s="519">
        <v>0</v>
      </c>
      <c r="H11" s="519">
        <v>0</v>
      </c>
      <c r="I11" s="519">
        <v>0</v>
      </c>
      <c r="J11" s="519">
        <v>0</v>
      </c>
      <c r="K11" s="519"/>
      <c r="L11" s="519"/>
      <c r="M11" s="519"/>
      <c r="N11" s="519"/>
    </row>
    <row r="12" spans="2:43" s="514" customFormat="1" x14ac:dyDescent="0.25">
      <c r="B12" s="516" t="s">
        <v>40</v>
      </c>
      <c r="C12" s="515"/>
      <c r="D12" s="515"/>
      <c r="E12" s="520">
        <f t="shared" ref="E12:J12" si="1">SUM(E9:E11)</f>
        <v>0</v>
      </c>
      <c r="F12" s="520">
        <f t="shared" si="1"/>
        <v>0</v>
      </c>
      <c r="G12" s="520">
        <f t="shared" si="1"/>
        <v>8000</v>
      </c>
      <c r="H12" s="520">
        <f t="shared" si="1"/>
        <v>8000</v>
      </c>
      <c r="I12" s="520">
        <f t="shared" si="1"/>
        <v>8000</v>
      </c>
      <c r="J12" s="520">
        <f t="shared" si="1"/>
        <v>8000</v>
      </c>
      <c r="K12" s="520"/>
      <c r="L12" s="520"/>
      <c r="M12" s="520"/>
      <c r="N12" s="520"/>
    </row>
    <row r="13" spans="2:43" s="502" customFormat="1" x14ac:dyDescent="0.25">
      <c r="B13" s="510"/>
      <c r="C13" s="511"/>
      <c r="D13" s="511"/>
      <c r="E13" s="511"/>
      <c r="F13" s="511"/>
      <c r="G13" s="511"/>
      <c r="H13" s="511"/>
      <c r="I13" s="510"/>
      <c r="J13" s="510"/>
      <c r="K13" s="510"/>
      <c r="L13" s="510"/>
    </row>
    <row r="14" spans="2:43" x14ac:dyDescent="0.25">
      <c r="B14" s="508"/>
      <c r="C14" s="1039">
        <v>2017</v>
      </c>
      <c r="D14" s="1039"/>
      <c r="E14" s="1039"/>
      <c r="F14" s="1039"/>
      <c r="G14" s="1039">
        <v>2018</v>
      </c>
      <c r="H14" s="1039"/>
      <c r="I14" s="1039"/>
      <c r="J14" s="1039"/>
      <c r="K14" s="1039">
        <v>2019</v>
      </c>
      <c r="L14" s="1039"/>
      <c r="M14" s="1039"/>
      <c r="N14" s="1039"/>
    </row>
    <row r="15" spans="2:43" x14ac:dyDescent="0.25">
      <c r="B15" s="1040" t="s">
        <v>902</v>
      </c>
      <c r="C15" s="1041" t="s">
        <v>1014</v>
      </c>
      <c r="D15" s="1041"/>
      <c r="E15" s="1041" t="s">
        <v>901</v>
      </c>
      <c r="F15" s="1041"/>
      <c r="G15" s="1041" t="s">
        <v>1014</v>
      </c>
      <c r="H15" s="1041"/>
      <c r="I15" s="1041" t="s">
        <v>901</v>
      </c>
      <c r="J15" s="1041"/>
      <c r="K15" s="1041" t="s">
        <v>1014</v>
      </c>
      <c r="L15" s="1041"/>
      <c r="M15" s="1041" t="s">
        <v>901</v>
      </c>
      <c r="N15" s="1041"/>
    </row>
    <row r="16" spans="2:43" x14ac:dyDescent="0.25">
      <c r="B16" s="1040"/>
      <c r="C16" s="509" t="s">
        <v>900</v>
      </c>
      <c r="D16" s="509" t="s">
        <v>899</v>
      </c>
      <c r="E16" s="509" t="s">
        <v>900</v>
      </c>
      <c r="F16" s="509" t="s">
        <v>899</v>
      </c>
      <c r="G16" s="509" t="s">
        <v>900</v>
      </c>
      <c r="H16" s="509" t="s">
        <v>899</v>
      </c>
      <c r="I16" s="509" t="s">
        <v>900</v>
      </c>
      <c r="J16" s="509" t="s">
        <v>899</v>
      </c>
      <c r="K16" s="509" t="s">
        <v>900</v>
      </c>
      <c r="L16" s="509" t="s">
        <v>899</v>
      </c>
      <c r="M16" s="509" t="s">
        <v>900</v>
      </c>
      <c r="N16" s="509" t="s">
        <v>899</v>
      </c>
    </row>
    <row r="17" spans="2:14" x14ac:dyDescent="0.25">
      <c r="B17" s="517" t="s">
        <v>898</v>
      </c>
      <c r="C17" s="505"/>
      <c r="D17" s="505"/>
      <c r="E17" s="505"/>
      <c r="F17" s="505"/>
      <c r="G17" s="505">
        <v>8794.61</v>
      </c>
      <c r="H17" s="505">
        <v>1006230.7</v>
      </c>
      <c r="I17" s="505">
        <v>3809.68</v>
      </c>
      <c r="J17" s="505">
        <v>435882.91</v>
      </c>
      <c r="K17" s="505">
        <v>3711.81</v>
      </c>
      <c r="L17" s="505">
        <v>1505.69</v>
      </c>
      <c r="M17" s="505">
        <v>1607.9</v>
      </c>
      <c r="N17" s="505">
        <v>652.24</v>
      </c>
    </row>
    <row r="18" spans="2:14" x14ac:dyDescent="0.25">
      <c r="B18" s="517" t="s">
        <v>897</v>
      </c>
      <c r="C18" s="505"/>
      <c r="D18" s="505"/>
      <c r="E18" s="505"/>
      <c r="F18" s="505"/>
      <c r="G18" s="505">
        <v>4104.4799999999996</v>
      </c>
      <c r="H18" s="505">
        <v>33667.870000000003</v>
      </c>
      <c r="I18" s="505">
        <v>2143.7199999999998</v>
      </c>
      <c r="J18" s="505">
        <v>17584.3</v>
      </c>
      <c r="K18" s="505">
        <v>2624.91</v>
      </c>
      <c r="L18" s="505">
        <v>44114.91</v>
      </c>
      <c r="M18" s="505">
        <v>1370.96</v>
      </c>
      <c r="N18" s="505">
        <v>23040.66</v>
      </c>
    </row>
    <row r="19" spans="2:14" x14ac:dyDescent="0.25">
      <c r="B19" s="517" t="s">
        <v>896</v>
      </c>
      <c r="C19" s="505"/>
      <c r="D19" s="505"/>
      <c r="E19" s="505"/>
      <c r="F19" s="505"/>
      <c r="G19" s="505">
        <v>5729.79</v>
      </c>
      <c r="H19" s="505">
        <v>52015.75</v>
      </c>
      <c r="I19" s="505">
        <v>708.27</v>
      </c>
      <c r="J19" s="505">
        <v>6429.74</v>
      </c>
      <c r="K19" s="505">
        <v>5047.9799999999996</v>
      </c>
      <c r="L19" s="505">
        <v>61523.56</v>
      </c>
      <c r="M19" s="505">
        <v>623.99</v>
      </c>
      <c r="N19" s="505">
        <v>7605.02</v>
      </c>
    </row>
    <row r="20" spans="2:14" x14ac:dyDescent="0.25">
      <c r="B20" s="517" t="s">
        <v>895</v>
      </c>
      <c r="C20" s="505"/>
      <c r="D20" s="505"/>
      <c r="E20" s="505"/>
      <c r="F20" s="505"/>
      <c r="G20" s="505">
        <v>8549.7000000000007</v>
      </c>
      <c r="H20" s="505">
        <v>106606.99</v>
      </c>
      <c r="I20" s="505">
        <v>891.94</v>
      </c>
      <c r="J20" s="505">
        <v>11121.69</v>
      </c>
      <c r="K20" s="505">
        <v>8343.57</v>
      </c>
      <c r="L20" s="505">
        <v>173275.64</v>
      </c>
      <c r="M20" s="505">
        <v>870.44</v>
      </c>
      <c r="N20" s="505">
        <v>18076.849999999999</v>
      </c>
    </row>
    <row r="21" spans="2:14" x14ac:dyDescent="0.25">
      <c r="B21" s="517" t="s">
        <v>894</v>
      </c>
      <c r="C21" s="505"/>
      <c r="D21" s="505"/>
      <c r="E21" s="505"/>
      <c r="F21" s="505"/>
      <c r="G21" s="505">
        <v>17717.759999999998</v>
      </c>
      <c r="H21" s="505">
        <v>627482.73</v>
      </c>
      <c r="I21" s="505">
        <v>3105.41</v>
      </c>
      <c r="J21" s="505">
        <v>109979.49</v>
      </c>
      <c r="K21" s="505">
        <v>11162.73</v>
      </c>
      <c r="L21" s="505">
        <v>132590.15</v>
      </c>
      <c r="M21" s="505">
        <v>1956.5</v>
      </c>
      <c r="N21" s="505">
        <v>23239.200000000001</v>
      </c>
    </row>
    <row r="22" spans="2:14" x14ac:dyDescent="0.25">
      <c r="B22" s="517" t="s">
        <v>893</v>
      </c>
      <c r="C22" s="505"/>
      <c r="D22" s="505"/>
      <c r="E22" s="505"/>
      <c r="F22" s="505"/>
      <c r="G22" s="505">
        <v>36120.26</v>
      </c>
      <c r="H22" s="505">
        <v>1836741.45</v>
      </c>
      <c r="I22" s="505">
        <v>7613.66</v>
      </c>
      <c r="J22" s="505">
        <v>387160.33</v>
      </c>
      <c r="K22" s="505">
        <v>22021.81</v>
      </c>
      <c r="L22" s="505">
        <v>194101.3</v>
      </c>
      <c r="M22" s="505">
        <v>4641.8999999999996</v>
      </c>
      <c r="N22" s="505">
        <v>40913.94</v>
      </c>
    </row>
    <row r="23" spans="2:14" x14ac:dyDescent="0.25">
      <c r="B23" s="517" t="s">
        <v>892</v>
      </c>
      <c r="C23" s="505">
        <v>262023.93</v>
      </c>
      <c r="D23" s="505">
        <v>12110534.5</v>
      </c>
      <c r="E23" s="505">
        <v>61308.15</v>
      </c>
      <c r="F23" s="505">
        <v>2020071.63</v>
      </c>
      <c r="G23" s="505">
        <v>56598.64</v>
      </c>
      <c r="H23" s="505">
        <v>4484850.34</v>
      </c>
      <c r="I23" s="505">
        <v>27230.92</v>
      </c>
      <c r="J23" s="505">
        <v>2157765.9900000002</v>
      </c>
      <c r="K23" s="505"/>
      <c r="L23" s="505"/>
      <c r="M23" s="505"/>
      <c r="N23" s="505"/>
    </row>
    <row r="24" spans="2:14" x14ac:dyDescent="0.25">
      <c r="B24" s="517" t="s">
        <v>891</v>
      </c>
      <c r="C24" s="505">
        <v>226995.52</v>
      </c>
      <c r="D24" s="505">
        <v>8599706.5800000001</v>
      </c>
      <c r="E24" s="505">
        <v>53096.31</v>
      </c>
      <c r="F24" s="505">
        <v>1667557.89</v>
      </c>
      <c r="G24" s="505">
        <v>75300.800000000003</v>
      </c>
      <c r="H24" s="505">
        <v>5914993.4400000004</v>
      </c>
      <c r="I24" s="505">
        <v>37566.07</v>
      </c>
      <c r="J24" s="505">
        <v>2950872.68</v>
      </c>
      <c r="K24" s="505"/>
      <c r="L24" s="505"/>
      <c r="M24" s="505"/>
      <c r="N24" s="505"/>
    </row>
    <row r="25" spans="2:14" x14ac:dyDescent="0.25">
      <c r="B25" s="517" t="s">
        <v>890</v>
      </c>
      <c r="C25" s="505">
        <v>216161.75</v>
      </c>
      <c r="D25" s="505">
        <v>10689683.4</v>
      </c>
      <c r="E25" s="505">
        <v>21616.17</v>
      </c>
      <c r="F25" s="505">
        <v>1068968.3400000001</v>
      </c>
      <c r="G25" s="505">
        <v>66965.039999999994</v>
      </c>
      <c r="H25" s="505">
        <v>4940666.96</v>
      </c>
      <c r="I25" s="505">
        <v>19999.63</v>
      </c>
      <c r="J25" s="505">
        <v>1475568.79</v>
      </c>
      <c r="K25" s="505"/>
      <c r="L25" s="505"/>
      <c r="M25" s="505"/>
      <c r="N25" s="505"/>
    </row>
    <row r="26" spans="2:14" x14ac:dyDescent="0.25">
      <c r="B26" s="517" t="s">
        <v>889</v>
      </c>
      <c r="C26" s="505">
        <v>136041.91</v>
      </c>
      <c r="D26" s="505">
        <v>7552924.7800000003</v>
      </c>
      <c r="E26" s="505">
        <v>22310.87</v>
      </c>
      <c r="F26" s="505">
        <v>1238679.6599999999</v>
      </c>
      <c r="G26" s="505">
        <v>74111.67</v>
      </c>
      <c r="H26" s="505">
        <v>1827308.21</v>
      </c>
      <c r="I26" s="505">
        <v>21491.200000000001</v>
      </c>
      <c r="J26" s="505">
        <v>529890.16</v>
      </c>
      <c r="K26" s="505"/>
      <c r="L26" s="505"/>
      <c r="M26" s="505"/>
      <c r="N26" s="505"/>
    </row>
    <row r="27" spans="2:14" x14ac:dyDescent="0.25">
      <c r="B27" s="517" t="s">
        <v>888</v>
      </c>
      <c r="C27" s="505">
        <v>114412.74</v>
      </c>
      <c r="D27" s="505">
        <v>6272627.4400000004</v>
      </c>
      <c r="E27" s="505">
        <v>18763.689999999999</v>
      </c>
      <c r="F27" s="505">
        <v>1028710.9</v>
      </c>
      <c r="G27" s="505">
        <v>48883.31</v>
      </c>
      <c r="H27" s="505">
        <v>872959.75</v>
      </c>
      <c r="I27" s="505">
        <v>12747.5</v>
      </c>
      <c r="J27" s="505">
        <v>227645.28</v>
      </c>
      <c r="K27" s="505"/>
      <c r="L27" s="505"/>
      <c r="M27" s="505"/>
      <c r="N27" s="505"/>
    </row>
    <row r="28" spans="2:14" x14ac:dyDescent="0.25">
      <c r="B28" s="517" t="s">
        <v>887</v>
      </c>
      <c r="C28" s="505">
        <v>58264.71</v>
      </c>
      <c r="D28" s="505">
        <v>2114885.4700000002</v>
      </c>
      <c r="E28" s="505">
        <v>9555.41</v>
      </c>
      <c r="F28" s="505">
        <v>346841.22</v>
      </c>
      <c r="G28" s="505">
        <v>20328.82</v>
      </c>
      <c r="H28" s="505">
        <v>110776.71</v>
      </c>
      <c r="I28" s="505">
        <v>5035.7299999999996</v>
      </c>
      <c r="J28" s="505">
        <v>27440.95</v>
      </c>
      <c r="K28" s="505"/>
      <c r="L28" s="505"/>
      <c r="M28" s="505"/>
      <c r="N28" s="505"/>
    </row>
    <row r="29" spans="2:14" x14ac:dyDescent="0.25">
      <c r="B29" s="518" t="s">
        <v>40</v>
      </c>
      <c r="C29" s="506">
        <f t="shared" ref="C29:N29" si="2">+SUM(C17:C28)</f>
        <v>1013900.5599999999</v>
      </c>
      <c r="D29" s="506">
        <f t="shared" si="2"/>
        <v>47340362.169999994</v>
      </c>
      <c r="E29" s="506">
        <f t="shared" si="2"/>
        <v>186650.6</v>
      </c>
      <c r="F29" s="506">
        <f t="shared" si="2"/>
        <v>7370829.6399999997</v>
      </c>
      <c r="G29" s="506">
        <f t="shared" si="2"/>
        <v>423204.87999999995</v>
      </c>
      <c r="H29" s="506">
        <f t="shared" si="2"/>
        <v>21814300.900000002</v>
      </c>
      <c r="I29" s="506">
        <f t="shared" si="2"/>
        <v>142343.73000000001</v>
      </c>
      <c r="J29" s="506">
        <f t="shared" si="2"/>
        <v>8337342.3100000015</v>
      </c>
      <c r="K29" s="506">
        <f t="shared" si="2"/>
        <v>52912.81</v>
      </c>
      <c r="L29" s="506">
        <f t="shared" si="2"/>
        <v>607111.25</v>
      </c>
      <c r="M29" s="506">
        <f t="shared" si="2"/>
        <v>11071.69</v>
      </c>
      <c r="N29" s="506">
        <f t="shared" si="2"/>
        <v>113527.91</v>
      </c>
    </row>
    <row r="30" spans="2:14" x14ac:dyDescent="0.25">
      <c r="B30" s="507" t="s">
        <v>886</v>
      </c>
    </row>
  </sheetData>
  <sheetProtection algorithmName="SHA-512" hashValue="XEWA4h1vTuQVknXb2WaPTm0XzhtmHcmheLJotuxspXuqG4J8oqEpTwyhSTAgyKK698yzx+ocw662P2MZAgIK1g==" saltValue="HabtCxMl/XpKH8h9uA2h/A==" spinCount="100000" sheet="1" objects="1" scenarios="1"/>
  <mergeCells count="10">
    <mergeCell ref="C14:F14"/>
    <mergeCell ref="G14:J14"/>
    <mergeCell ref="K14:N14"/>
    <mergeCell ref="B15:B16"/>
    <mergeCell ref="C15:D15"/>
    <mergeCell ref="E15:F15"/>
    <mergeCell ref="G15:H15"/>
    <mergeCell ref="I15:J15"/>
    <mergeCell ref="K15:L15"/>
    <mergeCell ref="M15:N15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tabColor theme="8" tint="0.39997558519241921"/>
  </sheetPr>
  <dimension ref="B1:BA93"/>
  <sheetViews>
    <sheetView showGridLines="0" zoomScale="85" zoomScaleNormal="85" workbookViewId="0">
      <pane xSplit="18" ySplit="15" topLeftCell="AR16" activePane="bottomRight" state="frozen"/>
      <selection activeCell="E111" sqref="E111"/>
      <selection pane="topRight" activeCell="E111" sqref="E111"/>
      <selection pane="bottomLeft" activeCell="E111" sqref="E111"/>
      <selection pane="bottomRight" activeCell="AY18" sqref="AY18"/>
    </sheetView>
  </sheetViews>
  <sheetFormatPr baseColWidth="10" defaultRowHeight="12.75" outlineLevelRow="1" outlineLevelCol="1" x14ac:dyDescent="0.2"/>
  <cols>
    <col min="1" max="1" width="3.140625" style="1" customWidth="1"/>
    <col min="2" max="2" width="11.42578125" style="1" hidden="1" customWidth="1" outlineLevel="1"/>
    <col min="3" max="7" width="13.85546875" style="1" hidden="1" customWidth="1" outlineLevel="1"/>
    <col min="8" max="11" width="18" style="1" hidden="1" customWidth="1" outlineLevel="1"/>
    <col min="12" max="15" width="16.140625" style="1" hidden="1" customWidth="1" outlineLevel="1"/>
    <col min="16" max="16" width="54.42578125" style="1" hidden="1" customWidth="1" outlineLevel="1"/>
    <col min="17" max="17" width="16.140625" style="1" customWidth="1" collapsed="1"/>
    <col min="18" max="18" width="42.7109375" style="1" customWidth="1"/>
    <col min="19" max="19" width="14.7109375" style="34" customWidth="1"/>
    <col min="20" max="24" width="14.7109375" style="1" customWidth="1"/>
    <col min="25" max="25" width="14.7109375" style="30" customWidth="1"/>
    <col min="26" max="26" width="14.7109375" style="1" customWidth="1"/>
    <col min="27" max="27" width="3.85546875" style="1" customWidth="1"/>
    <col min="28" max="33" width="14.7109375" style="1" customWidth="1"/>
    <col min="34" max="34" width="14.7109375" style="30" customWidth="1"/>
    <col min="35" max="35" width="14.7109375" style="1" customWidth="1"/>
    <col min="36" max="36" width="3.42578125" style="1" customWidth="1"/>
    <col min="37" max="42" width="14.7109375" style="1" customWidth="1"/>
    <col min="43" max="43" width="14.7109375" style="30" customWidth="1"/>
    <col min="44" max="44" width="14.7109375" style="1" customWidth="1"/>
    <col min="45" max="45" width="3.28515625" style="1" customWidth="1"/>
    <col min="46" max="53" width="14.7109375" style="1" customWidth="1"/>
    <col min="54" max="16384" width="11.42578125" style="1"/>
  </cols>
  <sheetData>
    <row r="1" spans="2:53" hidden="1" x14ac:dyDescent="0.2"/>
    <row r="2" spans="2:53" hidden="1" x14ac:dyDescent="0.2"/>
    <row r="3" spans="2:53" hidden="1" x14ac:dyDescent="0.2"/>
    <row r="4" spans="2:53" hidden="1" x14ac:dyDescent="0.2"/>
    <row r="5" spans="2:53" hidden="1" x14ac:dyDescent="0.2"/>
    <row r="6" spans="2:53" s="89" customFormat="1" x14ac:dyDescent="0.2">
      <c r="B6" s="107"/>
    </row>
    <row r="8" spans="2:53" x14ac:dyDescent="0.2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 t="s">
        <v>0</v>
      </c>
      <c r="R8" s="46"/>
      <c r="S8" s="46"/>
      <c r="T8" s="46"/>
      <c r="U8" s="46"/>
      <c r="V8" s="46"/>
      <c r="W8" s="46"/>
      <c r="X8" s="46"/>
      <c r="Z8" s="30"/>
    </row>
    <row r="9" spans="2:53" x14ac:dyDescent="0.2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 t="s">
        <v>1</v>
      </c>
      <c r="R9" s="47"/>
      <c r="S9" s="47"/>
      <c r="T9" s="47"/>
      <c r="U9" s="47"/>
      <c r="V9" s="47"/>
      <c r="W9" s="47"/>
      <c r="X9" s="47"/>
      <c r="Y9" s="50"/>
      <c r="Z9" s="30"/>
    </row>
    <row r="10" spans="2:53" x14ac:dyDescent="0.2"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 t="s">
        <v>403</v>
      </c>
      <c r="R10" s="47"/>
      <c r="S10" s="47"/>
      <c r="T10" s="47"/>
      <c r="U10" s="47"/>
      <c r="V10" s="47"/>
      <c r="W10" s="47"/>
      <c r="X10" s="47"/>
      <c r="Y10" s="50"/>
      <c r="Z10" s="30"/>
    </row>
    <row r="11" spans="2:53" x14ac:dyDescent="0.2"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28" t="s">
        <v>423</v>
      </c>
      <c r="R11" s="47"/>
      <c r="S11" s="47"/>
      <c r="T11" s="47"/>
      <c r="U11" s="152" t="s">
        <v>430</v>
      </c>
      <c r="V11" s="47"/>
      <c r="W11" s="47"/>
      <c r="Y11" s="151">
        <v>0.03</v>
      </c>
      <c r="Z11" s="153">
        <f>(1-$Y$11)</f>
        <v>0.97</v>
      </c>
    </row>
    <row r="12" spans="2:53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1"/>
      <c r="S12" s="49"/>
      <c r="T12" s="50"/>
      <c r="U12" s="50"/>
      <c r="V12" s="48"/>
      <c r="W12" s="48"/>
      <c r="X12" s="48"/>
      <c r="Y12" s="48"/>
      <c r="Z12" s="30"/>
    </row>
    <row r="13" spans="2:53" s="100" customFormat="1" ht="38.25" hidden="1" outlineLevel="1" x14ac:dyDescent="0.2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9" t="str">
        <f t="shared" ref="S13:Z13" si="0">+CONCATENATE(S$14," ",S$15)</f>
        <v>COSTO AL 41274</v>
      </c>
      <c r="T13" s="99" t="str">
        <f t="shared" si="0"/>
        <v>2013 ADICIONES</v>
      </c>
      <c r="U13" s="99" t="str">
        <f t="shared" si="0"/>
        <v>2013 RETIROS</v>
      </c>
      <c r="V13" s="99" t="str">
        <f t="shared" si="0"/>
        <v>2013 RECLASIFICACIONES</v>
      </c>
      <c r="W13" s="99" t="str">
        <f t="shared" si="0"/>
        <v xml:space="preserve">2013 AJUSTES </v>
      </c>
      <c r="X13" s="99" t="str">
        <f t="shared" si="0"/>
        <v>COSTO AL 41639</v>
      </c>
      <c r="Y13" s="99" t="str">
        <f t="shared" si="0"/>
        <v>DEPRECIACION 41639</v>
      </c>
      <c r="Z13" s="99" t="str">
        <f t="shared" si="0"/>
        <v>VALOR NETO 41639</v>
      </c>
      <c r="AB13" s="99" t="str">
        <f t="shared" ref="AB13:AI13" si="1">+CONCATENATE(AB$14," ",AB$15)</f>
        <v>COSTO AL 41639</v>
      </c>
      <c r="AC13" s="99" t="str">
        <f t="shared" si="1"/>
        <v>2014 ADICIONES</v>
      </c>
      <c r="AD13" s="99" t="str">
        <f t="shared" si="1"/>
        <v>2014 RETIROS</v>
      </c>
      <c r="AE13" s="99" t="str">
        <f t="shared" si="1"/>
        <v>2014 RECLASIFICACIONES</v>
      </c>
      <c r="AF13" s="99" t="str">
        <f t="shared" si="1"/>
        <v xml:space="preserve">2014 AJUSTES </v>
      </c>
      <c r="AG13" s="99" t="str">
        <f t="shared" si="1"/>
        <v>COSTO AL 42004</v>
      </c>
      <c r="AH13" s="99" t="str">
        <f t="shared" si="1"/>
        <v>DEPRECIACION 42004</v>
      </c>
      <c r="AI13" s="99" t="str">
        <f t="shared" si="1"/>
        <v>VALOR NETO 42004</v>
      </c>
      <c r="AK13" s="99" t="str">
        <f t="shared" ref="AK13:AR13" si="2">+CONCATENATE(AK$14," ",AK$15)</f>
        <v>COSTO AL 42004</v>
      </c>
      <c r="AL13" s="99" t="str">
        <f t="shared" si="2"/>
        <v>2015 ADICIONES</v>
      </c>
      <c r="AM13" s="99" t="str">
        <f t="shared" si="2"/>
        <v>2015 RETIROS</v>
      </c>
      <c r="AN13" s="99" t="str">
        <f t="shared" si="2"/>
        <v>2015 RECLASIFICACIONES</v>
      </c>
      <c r="AO13" s="99" t="str">
        <f t="shared" si="2"/>
        <v xml:space="preserve">2015 AJUSTES </v>
      </c>
      <c r="AP13" s="99" t="str">
        <f t="shared" si="2"/>
        <v>COSTO AL 42369</v>
      </c>
      <c r="AQ13" s="99" t="str">
        <f t="shared" si="2"/>
        <v>DEPRECIACION 42369</v>
      </c>
      <c r="AR13" s="99" t="str">
        <f t="shared" si="2"/>
        <v>VALOR NETO 42369</v>
      </c>
      <c r="AT13" s="99" t="str">
        <f t="shared" ref="AT13:BA13" si="3">+CONCATENATE(AT$14," ",AT$15)</f>
        <v>COSTO AL 42369</v>
      </c>
      <c r="AU13" s="99" t="str">
        <f t="shared" si="3"/>
        <v>2016 ADICIONES</v>
      </c>
      <c r="AV13" s="99" t="str">
        <f t="shared" si="3"/>
        <v>2016 RETIROS</v>
      </c>
      <c r="AW13" s="99" t="str">
        <f t="shared" si="3"/>
        <v>2016 RECLASIFICACIONES</v>
      </c>
      <c r="AX13" s="99" t="str">
        <f t="shared" si="3"/>
        <v xml:space="preserve">2016 AJUSTES </v>
      </c>
      <c r="AY13" s="99" t="str">
        <f t="shared" si="3"/>
        <v>COSTO AL 42735</v>
      </c>
      <c r="AZ13" s="99" t="str">
        <f t="shared" si="3"/>
        <v>DEPRECIACION 42735</v>
      </c>
      <c r="BA13" s="99" t="str">
        <f t="shared" si="3"/>
        <v>VALOR NETO 42735</v>
      </c>
    </row>
    <row r="14" spans="2:53" s="89" customFormat="1" collapsed="1" x14ac:dyDescent="0.2">
      <c r="C14" s="101" t="s">
        <v>401</v>
      </c>
      <c r="D14" s="101" t="s">
        <v>401</v>
      </c>
      <c r="E14" s="101" t="s">
        <v>401</v>
      </c>
      <c r="F14" s="101" t="s">
        <v>401</v>
      </c>
      <c r="G14" s="101" t="s">
        <v>401</v>
      </c>
      <c r="H14" s="101" t="s">
        <v>402</v>
      </c>
      <c r="I14" s="101" t="s">
        <v>402</v>
      </c>
      <c r="J14" s="101" t="s">
        <v>402</v>
      </c>
      <c r="K14" s="101" t="s">
        <v>402</v>
      </c>
      <c r="L14" s="101" t="s">
        <v>404</v>
      </c>
      <c r="M14" s="101" t="s">
        <v>404</v>
      </c>
      <c r="N14" s="101" t="s">
        <v>404</v>
      </c>
      <c r="O14" s="101" t="s">
        <v>404</v>
      </c>
      <c r="R14" s="93"/>
      <c r="S14" s="102" t="s">
        <v>2</v>
      </c>
      <c r="T14" s="92">
        <v>2013</v>
      </c>
      <c r="U14" s="92">
        <v>2013</v>
      </c>
      <c r="V14" s="92">
        <v>2013</v>
      </c>
      <c r="W14" s="92">
        <v>2013</v>
      </c>
      <c r="X14" s="92" t="s">
        <v>2</v>
      </c>
      <c r="Y14" s="92" t="s">
        <v>3</v>
      </c>
      <c r="Z14" s="92" t="s">
        <v>4</v>
      </c>
      <c r="AB14" s="102" t="s">
        <v>2</v>
      </c>
      <c r="AC14" s="92">
        <v>2014</v>
      </c>
      <c r="AD14" s="92">
        <v>2014</v>
      </c>
      <c r="AE14" s="92">
        <v>2014</v>
      </c>
      <c r="AF14" s="92">
        <v>2014</v>
      </c>
      <c r="AG14" s="92" t="s">
        <v>2</v>
      </c>
      <c r="AH14" s="92" t="s">
        <v>3</v>
      </c>
      <c r="AI14" s="92" t="s">
        <v>4</v>
      </c>
      <c r="AK14" s="92" t="s">
        <v>2</v>
      </c>
      <c r="AL14" s="92">
        <v>2015</v>
      </c>
      <c r="AM14" s="92">
        <v>2015</v>
      </c>
      <c r="AN14" s="92">
        <v>2015</v>
      </c>
      <c r="AO14" s="92">
        <v>2015</v>
      </c>
      <c r="AP14" s="92" t="s">
        <v>2</v>
      </c>
      <c r="AQ14" s="92" t="s">
        <v>3</v>
      </c>
      <c r="AR14" s="92" t="s">
        <v>4</v>
      </c>
      <c r="AT14" s="92" t="s">
        <v>2</v>
      </c>
      <c r="AU14" s="92">
        <v>2016</v>
      </c>
      <c r="AV14" s="92">
        <v>2016</v>
      </c>
      <c r="AW14" s="92">
        <v>2016</v>
      </c>
      <c r="AX14" s="92">
        <v>2016</v>
      </c>
      <c r="AY14" s="92" t="s">
        <v>2</v>
      </c>
      <c r="AZ14" s="92" t="s">
        <v>3</v>
      </c>
      <c r="BA14" s="92" t="s">
        <v>4</v>
      </c>
    </row>
    <row r="15" spans="2:53" s="89" customFormat="1" ht="13.5" thickBot="1" x14ac:dyDescent="0.25">
      <c r="C15" s="101">
        <v>2012</v>
      </c>
      <c r="D15" s="101">
        <v>2013</v>
      </c>
      <c r="E15" s="101">
        <v>2014</v>
      </c>
      <c r="F15" s="101">
        <v>2015</v>
      </c>
      <c r="G15" s="101">
        <v>2016</v>
      </c>
      <c r="H15" s="101">
        <v>2013</v>
      </c>
      <c r="I15" s="101">
        <v>2014</v>
      </c>
      <c r="J15" s="101">
        <v>2015</v>
      </c>
      <c r="K15" s="101">
        <v>2016</v>
      </c>
      <c r="L15" s="101">
        <v>2013</v>
      </c>
      <c r="M15" s="101">
        <v>2014</v>
      </c>
      <c r="N15" s="101">
        <v>2015</v>
      </c>
      <c r="O15" s="101">
        <v>2016</v>
      </c>
      <c r="S15" s="103">
        <v>41274</v>
      </c>
      <c r="T15" s="104" t="s">
        <v>5</v>
      </c>
      <c r="U15" s="104" t="s">
        <v>6</v>
      </c>
      <c r="V15" s="105" t="s">
        <v>7</v>
      </c>
      <c r="W15" s="104" t="s">
        <v>8</v>
      </c>
      <c r="X15" s="103">
        <v>41639</v>
      </c>
      <c r="Y15" s="103">
        <v>41639</v>
      </c>
      <c r="Z15" s="103">
        <v>41639</v>
      </c>
      <c r="AB15" s="103">
        <v>41639</v>
      </c>
      <c r="AC15" s="104" t="s">
        <v>5</v>
      </c>
      <c r="AD15" s="104" t="s">
        <v>6</v>
      </c>
      <c r="AE15" s="105" t="s">
        <v>7</v>
      </c>
      <c r="AF15" s="104" t="s">
        <v>8</v>
      </c>
      <c r="AG15" s="103">
        <v>42004</v>
      </c>
      <c r="AH15" s="103">
        <v>42004</v>
      </c>
      <c r="AI15" s="103">
        <v>42004</v>
      </c>
      <c r="AK15" s="103">
        <v>42004</v>
      </c>
      <c r="AL15" s="104" t="s">
        <v>5</v>
      </c>
      <c r="AM15" s="104" t="s">
        <v>6</v>
      </c>
      <c r="AN15" s="105" t="s">
        <v>7</v>
      </c>
      <c r="AO15" s="104" t="s">
        <v>8</v>
      </c>
      <c r="AP15" s="103">
        <v>42369</v>
      </c>
      <c r="AQ15" s="103">
        <v>42369</v>
      </c>
      <c r="AR15" s="103">
        <v>42369</v>
      </c>
      <c r="AT15" s="103">
        <v>42369</v>
      </c>
      <c r="AU15" s="104" t="s">
        <v>5</v>
      </c>
      <c r="AV15" s="104" t="s">
        <v>6</v>
      </c>
      <c r="AW15" s="105" t="s">
        <v>7</v>
      </c>
      <c r="AX15" s="104" t="s">
        <v>8</v>
      </c>
      <c r="AY15" s="103">
        <v>42735</v>
      </c>
      <c r="AZ15" s="103">
        <v>42735</v>
      </c>
      <c r="BA15" s="103">
        <v>42735</v>
      </c>
    </row>
    <row r="16" spans="2:53" x14ac:dyDescent="0.2">
      <c r="B16" s="30"/>
      <c r="C16" s="32">
        <v>1</v>
      </c>
      <c r="D16" s="32">
        <v>6</v>
      </c>
      <c r="E16" s="32">
        <v>6</v>
      </c>
      <c r="F16" s="32">
        <v>6</v>
      </c>
      <c r="G16" s="32">
        <v>6</v>
      </c>
      <c r="H16" s="32">
        <v>7</v>
      </c>
      <c r="I16" s="32">
        <v>7</v>
      </c>
      <c r="J16" s="32">
        <v>7</v>
      </c>
      <c r="K16" s="32">
        <v>7</v>
      </c>
      <c r="L16" s="32">
        <v>8</v>
      </c>
      <c r="M16" s="32">
        <v>8</v>
      </c>
      <c r="N16" s="32">
        <v>8</v>
      </c>
      <c r="O16" s="32">
        <v>8</v>
      </c>
      <c r="P16" s="32"/>
      <c r="Q16" s="32"/>
      <c r="R16" s="50" t="s">
        <v>9</v>
      </c>
      <c r="S16" s="49"/>
      <c r="T16" s="33"/>
      <c r="U16" s="33"/>
      <c r="V16" s="33"/>
      <c r="W16" s="51"/>
      <c r="X16" s="33"/>
      <c r="Y16" s="33"/>
      <c r="Z16" s="33"/>
      <c r="AB16" s="49"/>
      <c r="AC16" s="33"/>
      <c r="AD16" s="33"/>
      <c r="AE16" s="33"/>
      <c r="AF16" s="51"/>
      <c r="AG16" s="33"/>
      <c r="AH16" s="33"/>
      <c r="AI16" s="33"/>
      <c r="AK16" s="49"/>
      <c r="AL16" s="33"/>
      <c r="AM16" s="33"/>
      <c r="AN16" s="33"/>
      <c r="AO16" s="51"/>
      <c r="AP16" s="33"/>
      <c r="AQ16" s="33"/>
      <c r="AR16" s="33"/>
      <c r="AT16" s="49"/>
      <c r="AU16" s="33"/>
      <c r="AV16" s="33"/>
      <c r="AW16" s="33"/>
      <c r="AX16" s="51"/>
      <c r="AY16" s="33"/>
      <c r="AZ16" s="33"/>
      <c r="BA16" s="33"/>
    </row>
    <row r="17" spans="2:53" ht="16.5" customHeight="1" outlineLevel="1" x14ac:dyDescent="0.2">
      <c r="B17" s="1">
        <v>11110100</v>
      </c>
      <c r="C17" s="34" t="str">
        <f t="shared" ref="C17:D36" si="4">+INDEX($S$13:$Z$13,0,C$16)</f>
        <v>COSTO AL 41274</v>
      </c>
      <c r="D17" s="34" t="str">
        <f t="shared" si="4"/>
        <v>COSTO AL 41639</v>
      </c>
      <c r="E17" s="34" t="str">
        <f t="shared" ref="E17:E48" si="5">+INDEX($AB$13:$AI$13,0,E$16)</f>
        <v>COSTO AL 42004</v>
      </c>
      <c r="F17" s="34" t="str">
        <f>+INDEX($AK$13:$AR$13,0,F$16)</f>
        <v>COSTO AL 42369</v>
      </c>
      <c r="G17" s="34" t="str">
        <f>+INDEX($AT$13:$BA$13,0,G$16)</f>
        <v>COSTO AL 42735</v>
      </c>
      <c r="H17" s="34" t="str">
        <f>+INDEX($S$13:$Z$13,0,H$16)</f>
        <v>DEPRECIACION 41639</v>
      </c>
      <c r="I17" s="34" t="str">
        <f>+INDEX($AB$13:$AI$13,0,I$16)</f>
        <v>DEPRECIACION 42004</v>
      </c>
      <c r="J17" s="34" t="str">
        <f>+INDEX($AK$13:$AR$13,0,J$16)</f>
        <v>DEPRECIACION 42369</v>
      </c>
      <c r="K17" s="34" t="str">
        <f>+INDEX($AT$13:$BA$13,0,K$16)</f>
        <v>DEPRECIACION 42735</v>
      </c>
      <c r="L17" s="34" t="str">
        <f>+INDEX($S$13:$Z$13,0,L$16)</f>
        <v>VALOR NETO 41639</v>
      </c>
      <c r="M17" s="34" t="str">
        <f>+INDEX($AB$13:$AI$13,0,M$16)</f>
        <v>VALOR NETO 42004</v>
      </c>
      <c r="N17" s="34" t="str">
        <f>+INDEX($AK$13:$AR$13,0,N$16)</f>
        <v>VALOR NETO 42369</v>
      </c>
      <c r="O17" s="34" t="str">
        <f>+INDEX($AT$13:$BA$13,0,O$16)</f>
        <v>VALOR NETO 42735</v>
      </c>
      <c r="P17" s="34" t="str">
        <f>+CONCATENATE(Q17,R17)</f>
        <v>SISTEMA PRINCIPALTERRENOS</v>
      </c>
      <c r="Q17" s="34" t="str">
        <f t="shared" ref="Q17:Q32" si="6">+$R$16</f>
        <v>SISTEMA PRINCIPAL</v>
      </c>
      <c r="R17" s="1" t="s">
        <v>10</v>
      </c>
      <c r="S17" s="35">
        <v>4123958.5500000003</v>
      </c>
      <c r="T17" s="37">
        <v>0</v>
      </c>
      <c r="U17" s="37">
        <v>0</v>
      </c>
      <c r="V17" s="37">
        <v>0</v>
      </c>
      <c r="W17" s="37">
        <v>0</v>
      </c>
      <c r="X17" s="33">
        <f t="shared" ref="X17:X31" si="7">+S17+T17-U17+V17+W17</f>
        <v>4123958.5500000003</v>
      </c>
      <c r="Y17" s="33">
        <f>0*(1-$Y$11)</f>
        <v>0</v>
      </c>
      <c r="Z17" s="33">
        <f>+X17-Y17</f>
        <v>4123958.5500000003</v>
      </c>
      <c r="AA17" s="34"/>
      <c r="AB17" s="58">
        <f>+X17</f>
        <v>4123958.5500000003</v>
      </c>
      <c r="AC17" s="64">
        <v>0</v>
      </c>
      <c r="AD17" s="64">
        <v>0</v>
      </c>
      <c r="AE17" s="64">
        <v>0</v>
      </c>
      <c r="AF17" s="64">
        <v>0</v>
      </c>
      <c r="AG17" s="58">
        <f t="shared" ref="AG17:AG31" si="8">+AB17+AC17-AD17+AE17+AF17</f>
        <v>4123958.5500000003</v>
      </c>
      <c r="AH17" s="58">
        <f>0*((1-$Y$11))</f>
        <v>0</v>
      </c>
      <c r="AI17" s="58">
        <f>+AG17-AH17</f>
        <v>4123958.5500000003</v>
      </c>
      <c r="AK17" s="58">
        <f>+AG17</f>
        <v>4123958.5500000003</v>
      </c>
      <c r="AL17" s="64">
        <v>0</v>
      </c>
      <c r="AM17" s="64">
        <v>0</v>
      </c>
      <c r="AN17" s="64">
        <v>0</v>
      </c>
      <c r="AO17" s="64">
        <v>0</v>
      </c>
      <c r="AP17" s="58">
        <f t="shared" ref="AP17:AP31" si="9">+AK17+AL17-AM17+AN17+AO17</f>
        <v>4123958.5500000003</v>
      </c>
      <c r="AQ17" s="58">
        <f>0*((1-$Y$11))</f>
        <v>0</v>
      </c>
      <c r="AR17" s="58">
        <f>+AP17-AQ17</f>
        <v>4123958.5500000003</v>
      </c>
      <c r="AT17" s="58">
        <f>+AP17</f>
        <v>4123958.5500000003</v>
      </c>
      <c r="AU17" s="65">
        <v>333653</v>
      </c>
      <c r="AV17" s="65">
        <v>0</v>
      </c>
      <c r="AW17" s="65">
        <v>0</v>
      </c>
      <c r="AX17" s="65">
        <v>0</v>
      </c>
      <c r="AY17" s="58">
        <f>+AT17+AU17-AV17+AW17+AX17</f>
        <v>4457611.5500000007</v>
      </c>
      <c r="AZ17" s="58">
        <f>0*((1-$Y$11))</f>
        <v>0</v>
      </c>
      <c r="BA17" s="33">
        <f t="shared" ref="BA17:BA22" si="10">+AY17-AZ17</f>
        <v>4457611.5500000007</v>
      </c>
    </row>
    <row r="18" spans="2:53" ht="16.5" customHeight="1" outlineLevel="1" x14ac:dyDescent="0.2">
      <c r="B18" s="1">
        <v>11110200</v>
      </c>
      <c r="C18" s="34" t="str">
        <f t="shared" si="4"/>
        <v>COSTO AL 41274</v>
      </c>
      <c r="D18" s="34" t="str">
        <f t="shared" si="4"/>
        <v>COSTO AL 41639</v>
      </c>
      <c r="E18" s="34" t="str">
        <f t="shared" si="5"/>
        <v>COSTO AL 42004</v>
      </c>
      <c r="F18" s="34" t="str">
        <f t="shared" ref="F18:F82" si="11">+INDEX($AK$13:$AR$13,0,F$16)</f>
        <v>COSTO AL 42369</v>
      </c>
      <c r="G18" s="34" t="str">
        <f t="shared" ref="G18:G81" si="12">+INDEX($AT$13:$BA$13,0,G$16)</f>
        <v>COSTO AL 42735</v>
      </c>
      <c r="H18" s="34" t="str">
        <f t="shared" ref="H18:H82" si="13">+INDEX($S$13:$Z$13,0,H$16)</f>
        <v>DEPRECIACION 41639</v>
      </c>
      <c r="I18" s="34" t="str">
        <f t="shared" ref="I18:I82" si="14">+INDEX($AB$13:$AI$13,0,I$16)</f>
        <v>DEPRECIACION 42004</v>
      </c>
      <c r="J18" s="34" t="str">
        <f t="shared" ref="J18:J82" si="15">+INDEX($AK$13:$AR$13,0,J$16)</f>
        <v>DEPRECIACION 42369</v>
      </c>
      <c r="K18" s="34" t="str">
        <f t="shared" ref="K18:K82" si="16">+INDEX($AT$13:$BA$13,0,K$16)</f>
        <v>DEPRECIACION 42735</v>
      </c>
      <c r="L18" s="34" t="str">
        <f t="shared" ref="L18:L81" si="17">+INDEX($S$13:$Z$13,0,L$16)</f>
        <v>VALOR NETO 41639</v>
      </c>
      <c r="M18" s="34" t="str">
        <f t="shared" ref="M18:M81" si="18">+INDEX($AB$13:$AI$13,0,M$16)</f>
        <v>VALOR NETO 42004</v>
      </c>
      <c r="N18" s="34" t="str">
        <f t="shared" ref="N18:N81" si="19">+INDEX($AK$13:$AR$13,0,N$16)</f>
        <v>VALOR NETO 42369</v>
      </c>
      <c r="O18" s="34" t="str">
        <f t="shared" ref="O18:O81" si="20">+INDEX($AT$13:$BA$13,0,O$16)</f>
        <v>VALOR NETO 42735</v>
      </c>
      <c r="P18" s="34" t="str">
        <f t="shared" ref="P18:P82" si="21">+CONCATENATE(Q18,R18)</f>
        <v>SISTEMA PRINCIPALEDIFICIOS Y MEJORAS</v>
      </c>
      <c r="Q18" s="34" t="str">
        <f t="shared" si="6"/>
        <v>SISTEMA PRINCIPAL</v>
      </c>
      <c r="R18" s="1" t="s">
        <v>11</v>
      </c>
      <c r="S18" s="35">
        <v>14546189.24</v>
      </c>
      <c r="T18" s="37">
        <v>0</v>
      </c>
      <c r="U18" s="37">
        <v>0</v>
      </c>
      <c r="V18" s="37">
        <v>426588.44</v>
      </c>
      <c r="W18" s="37">
        <v>0</v>
      </c>
      <c r="X18" s="33">
        <f t="shared" si="7"/>
        <v>14972777.68</v>
      </c>
      <c r="Y18" s="33">
        <f>7755711.05*(1-$Y$11)</f>
        <v>7523039.7184999995</v>
      </c>
      <c r="Z18" s="33">
        <f t="shared" ref="Z18:Z31" si="22">+X18-Y18</f>
        <v>7449737.9615000002</v>
      </c>
      <c r="AA18" s="34"/>
      <c r="AB18" s="58">
        <f t="shared" ref="AB18:AB31" si="23">+X18</f>
        <v>14972777.68</v>
      </c>
      <c r="AC18" s="64">
        <v>128459.16</v>
      </c>
      <c r="AD18" s="64">
        <v>0</v>
      </c>
      <c r="AE18" s="64">
        <v>0</v>
      </c>
      <c r="AF18" s="64">
        <v>0</v>
      </c>
      <c r="AG18" s="58">
        <f t="shared" si="8"/>
        <v>15101236.84</v>
      </c>
      <c r="AH18" s="58">
        <f>8186030.39*((1-$Y$11))</f>
        <v>7940449.4782999996</v>
      </c>
      <c r="AI18" s="58">
        <f t="shared" ref="AI18:AI31" si="24">+AG18-AH18</f>
        <v>7160787.3617000002</v>
      </c>
      <c r="AK18" s="58">
        <f t="shared" ref="AK18:AK31" si="25">+AG18</f>
        <v>15101236.84</v>
      </c>
      <c r="AL18" s="64">
        <v>0</v>
      </c>
      <c r="AM18" s="64">
        <v>0</v>
      </c>
      <c r="AN18" s="64">
        <v>0</v>
      </c>
      <c r="AO18" s="64">
        <v>0</v>
      </c>
      <c r="AP18" s="58">
        <f t="shared" si="9"/>
        <v>15101236.84</v>
      </c>
      <c r="AQ18" s="58">
        <f>8617490.24*((1-$Y$11))</f>
        <v>8358965.5328000002</v>
      </c>
      <c r="AR18" s="58">
        <f t="shared" ref="AR18:AR31" si="26">+AP18-AQ18</f>
        <v>6742271.3071999997</v>
      </c>
      <c r="AT18" s="58">
        <f t="shared" ref="AT18:AT31" si="27">+AP18</f>
        <v>15101236.84</v>
      </c>
      <c r="AU18" s="65">
        <v>853158</v>
      </c>
      <c r="AV18" s="65">
        <v>0</v>
      </c>
      <c r="AW18" s="65">
        <v>0</v>
      </c>
      <c r="AX18" s="65">
        <v>0</v>
      </c>
      <c r="AY18" s="58">
        <f>+AT18+AU18-AV18+AW18+AX18</f>
        <v>15954394.84</v>
      </c>
      <c r="AZ18" s="58">
        <f>9081641*((1-$Y$11))</f>
        <v>8809191.7699999996</v>
      </c>
      <c r="BA18" s="33">
        <f t="shared" si="10"/>
        <v>7145203.0700000003</v>
      </c>
    </row>
    <row r="19" spans="2:53" ht="16.5" customHeight="1" outlineLevel="1" x14ac:dyDescent="0.2">
      <c r="B19" s="1">
        <v>11110300</v>
      </c>
      <c r="C19" s="34" t="str">
        <f t="shared" si="4"/>
        <v>COSTO AL 41274</v>
      </c>
      <c r="D19" s="34" t="str">
        <f t="shared" si="4"/>
        <v>COSTO AL 41639</v>
      </c>
      <c r="E19" s="34" t="str">
        <f t="shared" si="5"/>
        <v>COSTO AL 42004</v>
      </c>
      <c r="F19" s="34" t="str">
        <f t="shared" si="11"/>
        <v>COSTO AL 42369</v>
      </c>
      <c r="G19" s="34" t="str">
        <f t="shared" si="12"/>
        <v>COSTO AL 42735</v>
      </c>
      <c r="H19" s="34" t="str">
        <f t="shared" si="13"/>
        <v>DEPRECIACION 41639</v>
      </c>
      <c r="I19" s="34" t="str">
        <f t="shared" si="14"/>
        <v>DEPRECIACION 42004</v>
      </c>
      <c r="J19" s="34" t="str">
        <f t="shared" si="15"/>
        <v>DEPRECIACION 42369</v>
      </c>
      <c r="K19" s="34" t="str">
        <f t="shared" si="16"/>
        <v>DEPRECIACION 42735</v>
      </c>
      <c r="L19" s="34" t="str">
        <f t="shared" si="17"/>
        <v>VALOR NETO 41639</v>
      </c>
      <c r="M19" s="34" t="str">
        <f t="shared" si="18"/>
        <v>VALOR NETO 42004</v>
      </c>
      <c r="N19" s="34" t="str">
        <f t="shared" si="19"/>
        <v>VALOR NETO 42369</v>
      </c>
      <c r="O19" s="34" t="str">
        <f t="shared" si="20"/>
        <v>VALOR NETO 42735</v>
      </c>
      <c r="P19" s="34" t="str">
        <f t="shared" si="21"/>
        <v>SISTEMA PRINCIPALCAMINOS Y SENDEROS</v>
      </c>
      <c r="Q19" s="34" t="str">
        <f t="shared" si="6"/>
        <v>SISTEMA PRINCIPAL</v>
      </c>
      <c r="R19" s="1" t="s">
        <v>12</v>
      </c>
      <c r="S19" s="37">
        <v>632488.52</v>
      </c>
      <c r="T19" s="37">
        <v>0</v>
      </c>
      <c r="U19" s="37">
        <v>0</v>
      </c>
      <c r="V19" s="37">
        <v>0</v>
      </c>
      <c r="W19" s="37">
        <v>0</v>
      </c>
      <c r="X19" s="33">
        <f t="shared" si="7"/>
        <v>632488.52</v>
      </c>
      <c r="Y19" s="33">
        <f>116039.44*(1-$Y$11)</f>
        <v>112558.2568</v>
      </c>
      <c r="Z19" s="33">
        <f t="shared" si="22"/>
        <v>519930.26320000004</v>
      </c>
      <c r="AA19" s="34"/>
      <c r="AB19" s="58">
        <f t="shared" si="23"/>
        <v>632488.52</v>
      </c>
      <c r="AC19" s="64">
        <v>0</v>
      </c>
      <c r="AD19" s="64">
        <v>0</v>
      </c>
      <c r="AE19" s="64">
        <v>0</v>
      </c>
      <c r="AF19" s="64">
        <v>0</v>
      </c>
      <c r="AG19" s="58">
        <f t="shared" si="8"/>
        <v>632488.52</v>
      </c>
      <c r="AH19" s="58">
        <f>134110.49*((1-$Y$11))</f>
        <v>130087.17529999999</v>
      </c>
      <c r="AI19" s="58">
        <f t="shared" si="24"/>
        <v>502401.34470000002</v>
      </c>
      <c r="AK19" s="58">
        <f t="shared" si="25"/>
        <v>632488.52</v>
      </c>
      <c r="AL19" s="64">
        <v>0</v>
      </c>
      <c r="AM19" s="64">
        <v>0</v>
      </c>
      <c r="AN19" s="64">
        <v>0</v>
      </c>
      <c r="AO19" s="64">
        <v>0</v>
      </c>
      <c r="AP19" s="58">
        <f t="shared" si="9"/>
        <v>632488.52</v>
      </c>
      <c r="AQ19" s="58">
        <f>152181.54*((1-$Y$11))</f>
        <v>147616.0938</v>
      </c>
      <c r="AR19" s="58">
        <f t="shared" si="26"/>
        <v>484872.42619999999</v>
      </c>
      <c r="AT19" s="58">
        <f t="shared" si="27"/>
        <v>632488.52</v>
      </c>
      <c r="AU19" s="65">
        <v>126329</v>
      </c>
      <c r="AV19" s="65">
        <v>0</v>
      </c>
      <c r="AW19" s="65">
        <v>0</v>
      </c>
      <c r="AX19" s="65">
        <v>0</v>
      </c>
      <c r="AY19" s="58">
        <f t="shared" ref="AY19:AY31" si="28">+AT19+AU19-AV19+AW19+AX19</f>
        <v>758817.52</v>
      </c>
      <c r="AZ19" s="58">
        <f>177171*((1-$Y$11))</f>
        <v>171855.87</v>
      </c>
      <c r="BA19" s="33">
        <f t="shared" si="10"/>
        <v>586961.65</v>
      </c>
    </row>
    <row r="20" spans="2:53" ht="16.5" customHeight="1" outlineLevel="1" x14ac:dyDescent="0.2">
      <c r="B20" s="1">
        <v>11110400</v>
      </c>
      <c r="C20" s="34" t="str">
        <f t="shared" si="4"/>
        <v>COSTO AL 41274</v>
      </c>
      <c r="D20" s="34" t="str">
        <f t="shared" si="4"/>
        <v>COSTO AL 41639</v>
      </c>
      <c r="E20" s="34" t="str">
        <f t="shared" si="5"/>
        <v>COSTO AL 42004</v>
      </c>
      <c r="F20" s="34" t="str">
        <f t="shared" si="11"/>
        <v>COSTO AL 42369</v>
      </c>
      <c r="G20" s="34" t="str">
        <f t="shared" si="12"/>
        <v>COSTO AL 42735</v>
      </c>
      <c r="H20" s="34" t="str">
        <f t="shared" si="13"/>
        <v>DEPRECIACION 41639</v>
      </c>
      <c r="I20" s="34" t="str">
        <f t="shared" si="14"/>
        <v>DEPRECIACION 42004</v>
      </c>
      <c r="J20" s="34" t="str">
        <f t="shared" si="15"/>
        <v>DEPRECIACION 42369</v>
      </c>
      <c r="K20" s="34" t="str">
        <f t="shared" si="16"/>
        <v>DEPRECIACION 42735</v>
      </c>
      <c r="L20" s="34" t="str">
        <f t="shared" si="17"/>
        <v>VALOR NETO 41639</v>
      </c>
      <c r="M20" s="34" t="str">
        <f t="shared" si="18"/>
        <v>VALOR NETO 42004</v>
      </c>
      <c r="N20" s="34" t="str">
        <f t="shared" si="19"/>
        <v>VALOR NETO 42369</v>
      </c>
      <c r="O20" s="34" t="str">
        <f t="shared" si="20"/>
        <v>VALOR NETO 42735</v>
      </c>
      <c r="P20" s="34" t="str">
        <f t="shared" si="21"/>
        <v>SISTEMA PRINCIPALSERVIDUMBRE</v>
      </c>
      <c r="Q20" s="34" t="str">
        <f t="shared" si="6"/>
        <v>SISTEMA PRINCIPAL</v>
      </c>
      <c r="R20" s="1" t="s">
        <v>13</v>
      </c>
      <c r="S20" s="37">
        <v>17524439.199999999</v>
      </c>
      <c r="T20" s="37">
        <v>0</v>
      </c>
      <c r="U20" s="37">
        <v>0</v>
      </c>
      <c r="V20" s="37">
        <v>0</v>
      </c>
      <c r="W20" s="37">
        <v>0</v>
      </c>
      <c r="X20" s="33">
        <f t="shared" si="7"/>
        <v>17524439.199999999</v>
      </c>
      <c r="Y20" s="33">
        <f>4044774.49*(1-$Y$11)</f>
        <v>3923431.2553000003</v>
      </c>
      <c r="Z20" s="33">
        <f t="shared" si="22"/>
        <v>13601007.944699999</v>
      </c>
      <c r="AA20" s="34"/>
      <c r="AB20" s="58">
        <f t="shared" si="23"/>
        <v>17524439.199999999</v>
      </c>
      <c r="AC20" s="64">
        <v>0</v>
      </c>
      <c r="AD20" s="64">
        <v>0</v>
      </c>
      <c r="AE20" s="64">
        <v>0</v>
      </c>
      <c r="AF20" s="64">
        <v>0</v>
      </c>
      <c r="AG20" s="58">
        <f t="shared" si="8"/>
        <v>17524439.199999999</v>
      </c>
      <c r="AH20" s="58">
        <f>4794025.65*((1-$Y$11))</f>
        <v>4650204.8805</v>
      </c>
      <c r="AI20" s="58">
        <f t="shared" si="24"/>
        <v>12874234.319499999</v>
      </c>
      <c r="AK20" s="58">
        <f t="shared" si="25"/>
        <v>17524439.199999999</v>
      </c>
      <c r="AL20" s="64">
        <v>0</v>
      </c>
      <c r="AM20" s="64">
        <v>0</v>
      </c>
      <c r="AN20" s="64">
        <v>0</v>
      </c>
      <c r="AO20" s="64">
        <v>0</v>
      </c>
      <c r="AP20" s="58">
        <f t="shared" si="9"/>
        <v>17524439.199999999</v>
      </c>
      <c r="AQ20" s="58">
        <f>5543276.81*((1-$Y$11))</f>
        <v>5376978.5056999996</v>
      </c>
      <c r="AR20" s="58">
        <f t="shared" si="26"/>
        <v>12147460.6943</v>
      </c>
      <c r="AT20" s="58">
        <f t="shared" si="27"/>
        <v>17524439.199999999</v>
      </c>
      <c r="AU20" s="65">
        <v>0</v>
      </c>
      <c r="AV20" s="65">
        <v>0</v>
      </c>
      <c r="AW20" s="65">
        <v>0</v>
      </c>
      <c r="AX20" s="65">
        <v>0</v>
      </c>
      <c r="AY20" s="58">
        <f t="shared" si="28"/>
        <v>17524439.199999999</v>
      </c>
      <c r="AZ20" s="58">
        <f>6292528*((1-$Y$11))</f>
        <v>6103752.1600000001</v>
      </c>
      <c r="BA20" s="33">
        <f t="shared" si="10"/>
        <v>11420687.039999999</v>
      </c>
    </row>
    <row r="21" spans="2:53" ht="16.5" customHeight="1" outlineLevel="1" x14ac:dyDescent="0.2">
      <c r="B21" s="1">
        <v>11110700</v>
      </c>
      <c r="C21" s="34" t="str">
        <f t="shared" si="4"/>
        <v>COSTO AL 41274</v>
      </c>
      <c r="D21" s="34" t="str">
        <f t="shared" si="4"/>
        <v>COSTO AL 41639</v>
      </c>
      <c r="E21" s="34" t="str">
        <f t="shared" si="5"/>
        <v>COSTO AL 42004</v>
      </c>
      <c r="F21" s="34" t="str">
        <f t="shared" si="11"/>
        <v>COSTO AL 42369</v>
      </c>
      <c r="G21" s="34" t="str">
        <f t="shared" si="12"/>
        <v>COSTO AL 42735</v>
      </c>
      <c r="H21" s="34" t="str">
        <f t="shared" si="13"/>
        <v>DEPRECIACION 41639</v>
      </c>
      <c r="I21" s="34" t="str">
        <f t="shared" si="14"/>
        <v>DEPRECIACION 42004</v>
      </c>
      <c r="J21" s="34" t="str">
        <f t="shared" si="15"/>
        <v>DEPRECIACION 42369</v>
      </c>
      <c r="K21" s="34" t="str">
        <f t="shared" si="16"/>
        <v>DEPRECIACION 42735</v>
      </c>
      <c r="L21" s="34" t="str">
        <f t="shared" si="17"/>
        <v>VALOR NETO 41639</v>
      </c>
      <c r="M21" s="34" t="str">
        <f t="shared" si="18"/>
        <v>VALOR NETO 42004</v>
      </c>
      <c r="N21" s="34" t="str">
        <f t="shared" si="19"/>
        <v>VALOR NETO 42369</v>
      </c>
      <c r="O21" s="34" t="str">
        <f t="shared" si="20"/>
        <v>VALOR NETO 42735</v>
      </c>
      <c r="P21" s="34" t="str">
        <f t="shared" si="21"/>
        <v>SISTEMA PRINCIPALEQUIPO ELÉCTRICO AUXILIAR</v>
      </c>
      <c r="Q21" s="34" t="str">
        <f t="shared" si="6"/>
        <v>SISTEMA PRINCIPAL</v>
      </c>
      <c r="R21" s="1" t="s">
        <v>14</v>
      </c>
      <c r="S21" s="37">
        <v>6417088.5899999999</v>
      </c>
      <c r="T21" s="37">
        <v>0</v>
      </c>
      <c r="U21" s="37">
        <v>0</v>
      </c>
      <c r="V21" s="37">
        <v>0</v>
      </c>
      <c r="W21" s="37">
        <v>0</v>
      </c>
      <c r="X21" s="33">
        <f t="shared" si="7"/>
        <v>6417088.5899999999</v>
      </c>
      <c r="Y21" s="33">
        <f>3046365.83*(1-$Y$11)</f>
        <v>2954974.8550999998</v>
      </c>
      <c r="Z21" s="33">
        <f t="shared" si="22"/>
        <v>3462113.7349</v>
      </c>
      <c r="AA21" s="34"/>
      <c r="AB21" s="58">
        <f t="shared" si="23"/>
        <v>6417088.5899999999</v>
      </c>
      <c r="AC21" s="64">
        <v>33639.279999999999</v>
      </c>
      <c r="AD21" s="64">
        <v>0</v>
      </c>
      <c r="AE21" s="64">
        <v>0</v>
      </c>
      <c r="AF21" s="64">
        <v>0</v>
      </c>
      <c r="AG21" s="58">
        <f t="shared" si="8"/>
        <v>6450727.8700000001</v>
      </c>
      <c r="AH21" s="58">
        <f>3233060.86*((1-$Y$11))</f>
        <v>3136069.0341999996</v>
      </c>
      <c r="AI21" s="58">
        <f t="shared" si="24"/>
        <v>3314658.8358000005</v>
      </c>
      <c r="AK21" s="58">
        <f t="shared" si="25"/>
        <v>6450727.8700000001</v>
      </c>
      <c r="AL21" s="64">
        <v>0</v>
      </c>
      <c r="AM21" s="64">
        <v>0</v>
      </c>
      <c r="AN21" s="64">
        <v>0</v>
      </c>
      <c r="AO21" s="64">
        <v>0</v>
      </c>
      <c r="AP21" s="58">
        <f t="shared" si="9"/>
        <v>6450727.8700000001</v>
      </c>
      <c r="AQ21" s="58">
        <f>3420076.26*((1-$Y$11))</f>
        <v>3317473.9721999997</v>
      </c>
      <c r="AR21" s="58">
        <f t="shared" si="26"/>
        <v>3133253.8978000004</v>
      </c>
      <c r="AT21" s="58">
        <f t="shared" si="27"/>
        <v>6450727.8700000001</v>
      </c>
      <c r="AU21" s="65">
        <v>496908</v>
      </c>
      <c r="AV21" s="65">
        <v>0</v>
      </c>
      <c r="AW21" s="65">
        <v>0</v>
      </c>
      <c r="AX21" s="65">
        <v>0</v>
      </c>
      <c r="AY21" s="58">
        <f t="shared" si="28"/>
        <v>6947635.8700000001</v>
      </c>
      <c r="AZ21" s="58">
        <f>3634303*((1-$Y$11))</f>
        <v>3525273.9099999997</v>
      </c>
      <c r="BA21" s="33">
        <f t="shared" si="10"/>
        <v>3422361.9600000004</v>
      </c>
    </row>
    <row r="22" spans="2:53" ht="16.5" customHeight="1" outlineLevel="1" x14ac:dyDescent="0.2">
      <c r="B22" s="1">
        <v>11110900</v>
      </c>
      <c r="C22" s="34" t="str">
        <f t="shared" si="4"/>
        <v>COSTO AL 41274</v>
      </c>
      <c r="D22" s="34" t="str">
        <f t="shared" si="4"/>
        <v>COSTO AL 41639</v>
      </c>
      <c r="E22" s="34" t="str">
        <f t="shared" si="5"/>
        <v>COSTO AL 42004</v>
      </c>
      <c r="F22" s="34" t="str">
        <f>+INDEX($AK$13:$AR$13,0,F$16)</f>
        <v>COSTO AL 42369</v>
      </c>
      <c r="G22" s="34" t="str">
        <f t="shared" si="12"/>
        <v>COSTO AL 42735</v>
      </c>
      <c r="H22" s="34" t="str">
        <f t="shared" si="13"/>
        <v>DEPRECIACION 41639</v>
      </c>
      <c r="I22" s="34" t="str">
        <f t="shared" si="14"/>
        <v>DEPRECIACION 42004</v>
      </c>
      <c r="J22" s="34" t="str">
        <f t="shared" si="15"/>
        <v>DEPRECIACION 42369</v>
      </c>
      <c r="K22" s="34" t="str">
        <f t="shared" si="16"/>
        <v>DEPRECIACION 42735</v>
      </c>
      <c r="L22" s="34" t="str">
        <f t="shared" si="17"/>
        <v>VALOR NETO 41639</v>
      </c>
      <c r="M22" s="34" t="str">
        <f t="shared" si="18"/>
        <v>VALOR NETO 42004</v>
      </c>
      <c r="N22" s="34" t="str">
        <f t="shared" si="19"/>
        <v>VALOR NETO 42369</v>
      </c>
      <c r="O22" s="34" t="str">
        <f t="shared" si="20"/>
        <v>VALOR NETO 42735</v>
      </c>
      <c r="P22" s="34" t="str">
        <f t="shared" si="21"/>
        <v>SISTEMA PRINCIPALEQUIPO ELÉCTRICO MISCELÁNEO</v>
      </c>
      <c r="Q22" s="34" t="str">
        <f t="shared" si="6"/>
        <v>SISTEMA PRINCIPAL</v>
      </c>
      <c r="R22" s="1" t="s">
        <v>15</v>
      </c>
      <c r="S22" s="37">
        <v>69052</v>
      </c>
      <c r="T22" s="37">
        <v>0</v>
      </c>
      <c r="U22" s="37">
        <v>0</v>
      </c>
      <c r="V22" s="37">
        <v>0</v>
      </c>
      <c r="W22" s="37">
        <v>0</v>
      </c>
      <c r="X22" s="33">
        <f t="shared" si="7"/>
        <v>69052</v>
      </c>
      <c r="Y22" s="33">
        <f>55690.05*(1-$Y$11)</f>
        <v>54019.3485</v>
      </c>
      <c r="Z22" s="33">
        <f t="shared" si="22"/>
        <v>15032.6515</v>
      </c>
      <c r="AA22" s="34"/>
      <c r="AB22" s="58">
        <f t="shared" si="23"/>
        <v>69052</v>
      </c>
      <c r="AC22" s="64">
        <v>0</v>
      </c>
      <c r="AD22" s="64">
        <v>0</v>
      </c>
      <c r="AE22" s="64">
        <v>0</v>
      </c>
      <c r="AF22" s="64">
        <v>0</v>
      </c>
      <c r="AG22" s="58">
        <f t="shared" si="8"/>
        <v>69052</v>
      </c>
      <c r="AH22" s="58">
        <f>59126.67*((1-$Y$11))</f>
        <v>57352.869899999998</v>
      </c>
      <c r="AI22" s="58">
        <f t="shared" si="24"/>
        <v>11699.130100000002</v>
      </c>
      <c r="AK22" s="58">
        <f t="shared" si="25"/>
        <v>69052</v>
      </c>
      <c r="AL22" s="64">
        <v>0</v>
      </c>
      <c r="AM22" s="64">
        <v>0</v>
      </c>
      <c r="AN22" s="64">
        <v>0</v>
      </c>
      <c r="AO22" s="64">
        <v>0</v>
      </c>
      <c r="AP22" s="58">
        <f t="shared" si="9"/>
        <v>69052</v>
      </c>
      <c r="AQ22" s="58">
        <f>62529.59*((1-$Y$11))</f>
        <v>60653.702299999997</v>
      </c>
      <c r="AR22" s="58">
        <f t="shared" si="26"/>
        <v>8398.2977000000028</v>
      </c>
      <c r="AT22" s="58">
        <f t="shared" si="27"/>
        <v>69052</v>
      </c>
      <c r="AU22" s="65">
        <v>0</v>
      </c>
      <c r="AV22" s="65">
        <v>0</v>
      </c>
      <c r="AW22" s="65">
        <v>0</v>
      </c>
      <c r="AX22" s="65">
        <v>0</v>
      </c>
      <c r="AY22" s="58">
        <f t="shared" si="28"/>
        <v>69052</v>
      </c>
      <c r="AZ22" s="58">
        <f>65933*((1-$Y$11))</f>
        <v>63955.009999999995</v>
      </c>
      <c r="BA22" s="33">
        <f t="shared" si="10"/>
        <v>5096.9900000000052</v>
      </c>
    </row>
    <row r="23" spans="2:53" ht="16.5" customHeight="1" outlineLevel="1" x14ac:dyDescent="0.2">
      <c r="B23" s="1">
        <v>11111200</v>
      </c>
      <c r="C23" s="34" t="str">
        <f t="shared" si="4"/>
        <v>COSTO AL 41274</v>
      </c>
      <c r="D23" s="34" t="str">
        <f t="shared" si="4"/>
        <v>COSTO AL 41639</v>
      </c>
      <c r="E23" s="34" t="str">
        <f t="shared" si="5"/>
        <v>COSTO AL 42004</v>
      </c>
      <c r="F23" s="34" t="str">
        <f t="shared" si="11"/>
        <v>COSTO AL 42369</v>
      </c>
      <c r="G23" s="34" t="str">
        <f t="shared" si="12"/>
        <v>COSTO AL 42735</v>
      </c>
      <c r="H23" s="34" t="str">
        <f t="shared" si="13"/>
        <v>DEPRECIACION 41639</v>
      </c>
      <c r="I23" s="34" t="str">
        <f t="shared" si="14"/>
        <v>DEPRECIACION 42004</v>
      </c>
      <c r="J23" s="34" t="str">
        <f t="shared" si="15"/>
        <v>DEPRECIACION 42369</v>
      </c>
      <c r="K23" s="34" t="str">
        <f t="shared" si="16"/>
        <v>DEPRECIACION 42735</v>
      </c>
      <c r="L23" s="34" t="str">
        <f t="shared" si="17"/>
        <v>VALOR NETO 41639</v>
      </c>
      <c r="M23" s="34" t="str">
        <f t="shared" si="18"/>
        <v>VALOR NETO 42004</v>
      </c>
      <c r="N23" s="34" t="str">
        <f t="shared" si="19"/>
        <v>VALOR NETO 42369</v>
      </c>
      <c r="O23" s="34" t="str">
        <f t="shared" si="20"/>
        <v>VALOR NETO 42735</v>
      </c>
      <c r="P23" s="34" t="str">
        <f t="shared" si="21"/>
        <v>SISTEMA PRINCIPALEQUIPO DE SUBESTACIONES</v>
      </c>
      <c r="Q23" s="34" t="str">
        <f t="shared" si="6"/>
        <v>SISTEMA PRINCIPAL</v>
      </c>
      <c r="R23" s="1" t="s">
        <v>16</v>
      </c>
      <c r="S23" s="37">
        <v>53186556.583410524</v>
      </c>
      <c r="T23" s="37">
        <v>1154397.77</v>
      </c>
      <c r="U23" s="37">
        <v>0</v>
      </c>
      <c r="V23" s="37">
        <v>210169.21999999974</v>
      </c>
      <c r="W23" s="37">
        <v>0</v>
      </c>
      <c r="X23" s="33">
        <f t="shared" si="7"/>
        <v>54551123.573410526</v>
      </c>
      <c r="Y23" s="33">
        <f>25023330.57*(1-$Y$11)</f>
        <v>24272630.652899999</v>
      </c>
      <c r="Z23" s="33">
        <f t="shared" si="22"/>
        <v>30278492.920510527</v>
      </c>
      <c r="AA23" s="34"/>
      <c r="AB23" s="58">
        <f t="shared" si="23"/>
        <v>54551123.573410526</v>
      </c>
      <c r="AC23" s="64">
        <v>6303031</v>
      </c>
      <c r="AD23" s="64">
        <v>0</v>
      </c>
      <c r="AE23" s="64">
        <v>0</v>
      </c>
      <c r="AF23" s="64">
        <v>0</v>
      </c>
      <c r="AG23" s="58">
        <f t="shared" si="8"/>
        <v>60854154.573410526</v>
      </c>
      <c r="AH23" s="58">
        <f>26951104.93*((1-$Y$11))</f>
        <v>26142571.782099999</v>
      </c>
      <c r="AI23" s="58">
        <f t="shared" si="24"/>
        <v>34711582.791310526</v>
      </c>
      <c r="AK23" s="58">
        <f t="shared" si="25"/>
        <v>60854154.573410526</v>
      </c>
      <c r="AL23" s="64">
        <v>-490185.29</v>
      </c>
      <c r="AM23" s="64">
        <v>0</v>
      </c>
      <c r="AN23" s="64">
        <v>0</v>
      </c>
      <c r="AO23" s="64">
        <v>0</v>
      </c>
      <c r="AP23" s="58">
        <f t="shared" si="9"/>
        <v>60363969.283410527</v>
      </c>
      <c r="AQ23" s="58">
        <f>28884866.89*((1-$Y$11))</f>
        <v>28018320.883299999</v>
      </c>
      <c r="AR23" s="58">
        <f t="shared" si="26"/>
        <v>32345648.400110528</v>
      </c>
      <c r="AT23" s="58">
        <f t="shared" si="27"/>
        <v>60363969.283410527</v>
      </c>
      <c r="AU23" s="65">
        <v>17535177</v>
      </c>
      <c r="AV23" s="65">
        <v>0</v>
      </c>
      <c r="AW23" s="65">
        <v>0</v>
      </c>
      <c r="AX23" s="65">
        <v>-728927</v>
      </c>
      <c r="AY23" s="58">
        <f t="shared" si="28"/>
        <v>77170219.283410519</v>
      </c>
      <c r="AZ23" s="58">
        <f>31368871*((1-$Y$11))</f>
        <v>30427804.869999997</v>
      </c>
      <c r="BA23" s="33">
        <f t="shared" ref="BA23:BA31" si="29">+AY23-AZ23</f>
        <v>46742414.413410522</v>
      </c>
    </row>
    <row r="24" spans="2:53" ht="16.5" customHeight="1" outlineLevel="1" x14ac:dyDescent="0.2">
      <c r="B24" s="1">
        <v>11111400</v>
      </c>
      <c r="C24" s="34" t="str">
        <f t="shared" si="4"/>
        <v>COSTO AL 41274</v>
      </c>
      <c r="D24" s="34" t="str">
        <f t="shared" si="4"/>
        <v>COSTO AL 41639</v>
      </c>
      <c r="E24" s="34" t="str">
        <f t="shared" si="5"/>
        <v>COSTO AL 42004</v>
      </c>
      <c r="F24" s="34" t="str">
        <f t="shared" si="11"/>
        <v>COSTO AL 42369</v>
      </c>
      <c r="G24" s="34" t="str">
        <f t="shared" si="12"/>
        <v>COSTO AL 42735</v>
      </c>
      <c r="H24" s="34" t="str">
        <f t="shared" si="13"/>
        <v>DEPRECIACION 41639</v>
      </c>
      <c r="I24" s="34" t="str">
        <f t="shared" si="14"/>
        <v>DEPRECIACION 42004</v>
      </c>
      <c r="J24" s="34" t="str">
        <f t="shared" si="15"/>
        <v>DEPRECIACION 42369</v>
      </c>
      <c r="K24" s="34" t="str">
        <f t="shared" si="16"/>
        <v>DEPRECIACION 42735</v>
      </c>
      <c r="L24" s="34" t="str">
        <f t="shared" si="17"/>
        <v>VALOR NETO 41639</v>
      </c>
      <c r="M24" s="34" t="str">
        <f t="shared" si="18"/>
        <v>VALOR NETO 42004</v>
      </c>
      <c r="N24" s="34" t="str">
        <f t="shared" si="19"/>
        <v>VALOR NETO 42369</v>
      </c>
      <c r="O24" s="34" t="str">
        <f t="shared" si="20"/>
        <v>VALOR NETO 42735</v>
      </c>
      <c r="P24" s="34" t="str">
        <f t="shared" si="21"/>
        <v>SISTEMA PRINCIPALTORRES Y ACCESORIOS</v>
      </c>
      <c r="Q24" s="34" t="str">
        <f t="shared" si="6"/>
        <v>SISTEMA PRINCIPAL</v>
      </c>
      <c r="R24" s="1" t="s">
        <v>17</v>
      </c>
      <c r="S24" s="37">
        <v>92015993.515311688</v>
      </c>
      <c r="T24" s="37">
        <v>0</v>
      </c>
      <c r="U24" s="37">
        <v>0</v>
      </c>
      <c r="V24" s="37">
        <v>13741.36</v>
      </c>
      <c r="W24" s="37">
        <v>0</v>
      </c>
      <c r="X24" s="33">
        <f t="shared" si="7"/>
        <v>92029734.875311688</v>
      </c>
      <c r="Y24" s="33">
        <f>38753625.07*(1-$Y$11)</f>
        <v>37591016.317900002</v>
      </c>
      <c r="Z24" s="33">
        <f t="shared" si="22"/>
        <v>54438718.557411686</v>
      </c>
      <c r="AA24" s="34"/>
      <c r="AB24" s="58">
        <f t="shared" si="23"/>
        <v>92029734.875311688</v>
      </c>
      <c r="AC24" s="64">
        <v>28800</v>
      </c>
      <c r="AD24" s="64">
        <v>0</v>
      </c>
      <c r="AE24" s="64">
        <v>0</v>
      </c>
      <c r="AF24" s="64">
        <v>0</v>
      </c>
      <c r="AG24" s="58">
        <f t="shared" si="8"/>
        <v>92058534.875311688</v>
      </c>
      <c r="AH24" s="58">
        <f>41175997.9*((1-$Y$11))</f>
        <v>39940717.963</v>
      </c>
      <c r="AI24" s="58">
        <f t="shared" si="24"/>
        <v>52117816.912311688</v>
      </c>
      <c r="AK24" s="58">
        <f t="shared" si="25"/>
        <v>92058534.875311688</v>
      </c>
      <c r="AL24" s="64">
        <v>0</v>
      </c>
      <c r="AM24" s="64">
        <v>0</v>
      </c>
      <c r="AN24" s="64">
        <v>0</v>
      </c>
      <c r="AO24" s="64">
        <v>0</v>
      </c>
      <c r="AP24" s="58">
        <f t="shared" si="9"/>
        <v>92058534.875311688</v>
      </c>
      <c r="AQ24" s="58">
        <f>43598070.73*((1-$Y$11))</f>
        <v>42290128.608099997</v>
      </c>
      <c r="AR24" s="58">
        <f t="shared" si="26"/>
        <v>49768406.267211691</v>
      </c>
      <c r="AT24" s="58">
        <f t="shared" si="27"/>
        <v>92058534.875311688</v>
      </c>
      <c r="AU24" s="65">
        <v>596122</v>
      </c>
      <c r="AV24" s="65">
        <v>0</v>
      </c>
      <c r="AW24" s="65">
        <v>0</v>
      </c>
      <c r="AX24" s="65">
        <v>0</v>
      </c>
      <c r="AY24" s="58">
        <f t="shared" si="28"/>
        <v>92654656.875311688</v>
      </c>
      <c r="AZ24" s="58">
        <f>46037813*((1-$Y$11))</f>
        <v>44656678.609999999</v>
      </c>
      <c r="BA24" s="33">
        <f t="shared" si="29"/>
        <v>47997978.265311688</v>
      </c>
    </row>
    <row r="25" spans="2:53" ht="16.5" customHeight="1" outlineLevel="1" x14ac:dyDescent="0.2">
      <c r="B25" s="1">
        <v>11111500</v>
      </c>
      <c r="C25" s="34" t="str">
        <f t="shared" si="4"/>
        <v>COSTO AL 41274</v>
      </c>
      <c r="D25" s="34" t="str">
        <f t="shared" si="4"/>
        <v>COSTO AL 41639</v>
      </c>
      <c r="E25" s="34" t="str">
        <f t="shared" si="5"/>
        <v>COSTO AL 42004</v>
      </c>
      <c r="F25" s="34" t="str">
        <f t="shared" si="11"/>
        <v>COSTO AL 42369</v>
      </c>
      <c r="G25" s="34" t="str">
        <f t="shared" si="12"/>
        <v>COSTO AL 42735</v>
      </c>
      <c r="H25" s="34" t="str">
        <f t="shared" si="13"/>
        <v>DEPRECIACION 41639</v>
      </c>
      <c r="I25" s="34" t="str">
        <f t="shared" si="14"/>
        <v>DEPRECIACION 42004</v>
      </c>
      <c r="J25" s="34" t="str">
        <f t="shared" si="15"/>
        <v>DEPRECIACION 42369</v>
      </c>
      <c r="K25" s="34" t="str">
        <f t="shared" si="16"/>
        <v>DEPRECIACION 42735</v>
      </c>
      <c r="L25" s="34" t="str">
        <f t="shared" si="17"/>
        <v>VALOR NETO 41639</v>
      </c>
      <c r="M25" s="34" t="str">
        <f t="shared" si="18"/>
        <v>VALOR NETO 42004</v>
      </c>
      <c r="N25" s="34" t="str">
        <f t="shared" si="19"/>
        <v>VALOR NETO 42369</v>
      </c>
      <c r="O25" s="34" t="str">
        <f t="shared" si="20"/>
        <v>VALOR NETO 42735</v>
      </c>
      <c r="P25" s="34" t="str">
        <f t="shared" si="21"/>
        <v>SISTEMA PRINCIPALCONDUCTORES AÉREOS Y ACCESORIOS</v>
      </c>
      <c r="Q25" s="34" t="str">
        <f t="shared" si="6"/>
        <v>SISTEMA PRINCIPAL</v>
      </c>
      <c r="R25" s="1" t="s">
        <v>18</v>
      </c>
      <c r="S25" s="37">
        <v>86435917.065311655</v>
      </c>
      <c r="T25" s="37">
        <v>0</v>
      </c>
      <c r="U25" s="37">
        <v>0</v>
      </c>
      <c r="V25" s="37">
        <v>261953.62</v>
      </c>
      <c r="W25" s="37">
        <v>0</v>
      </c>
      <c r="X25" s="33">
        <f t="shared" si="7"/>
        <v>86697870.68531166</v>
      </c>
      <c r="Y25" s="33">
        <f>38861206.18*(1-$Y$11)</f>
        <v>37695369.994599998</v>
      </c>
      <c r="Z25" s="33">
        <f t="shared" si="22"/>
        <v>49002500.690711662</v>
      </c>
      <c r="AA25" s="34"/>
      <c r="AB25" s="58">
        <f t="shared" si="23"/>
        <v>86697870.68531166</v>
      </c>
      <c r="AC25" s="64">
        <v>2862389.1399999997</v>
      </c>
      <c r="AD25" s="64">
        <v>0</v>
      </c>
      <c r="AE25" s="64">
        <v>0</v>
      </c>
      <c r="AF25" s="64">
        <v>0</v>
      </c>
      <c r="AG25" s="58">
        <f t="shared" si="8"/>
        <v>89560259.825311661</v>
      </c>
      <c r="AH25" s="58">
        <f>41563094.54*((1-$Y$11))</f>
        <v>40316201.7038</v>
      </c>
      <c r="AI25" s="58">
        <f t="shared" si="24"/>
        <v>49244058.121511661</v>
      </c>
      <c r="AK25" s="58">
        <f t="shared" si="25"/>
        <v>89560259.825311661</v>
      </c>
      <c r="AL25" s="64">
        <v>0</v>
      </c>
      <c r="AM25" s="64">
        <v>0</v>
      </c>
      <c r="AN25" s="64">
        <v>0</v>
      </c>
      <c r="AO25" s="64">
        <v>0</v>
      </c>
      <c r="AP25" s="58">
        <f t="shared" si="9"/>
        <v>89560259.825311661</v>
      </c>
      <c r="AQ25" s="58">
        <f>43638038.39*((1-$Y$11))</f>
        <v>42328897.238300003</v>
      </c>
      <c r="AR25" s="58">
        <f t="shared" si="26"/>
        <v>47231362.587011658</v>
      </c>
      <c r="AT25" s="58">
        <f t="shared" si="27"/>
        <v>89560259.825311661</v>
      </c>
      <c r="AU25" s="65">
        <v>2884264</v>
      </c>
      <c r="AV25" s="65">
        <v>0</v>
      </c>
      <c r="AW25" s="65">
        <v>0</v>
      </c>
      <c r="AX25" s="65">
        <v>-222766</v>
      </c>
      <c r="AY25" s="58">
        <f t="shared" si="28"/>
        <v>92221757.825311661</v>
      </c>
      <c r="AZ25" s="58">
        <f>45769070*((1-$Y$11))</f>
        <v>44395997.899999999</v>
      </c>
      <c r="BA25" s="33">
        <f t="shared" si="29"/>
        <v>47825759.925311662</v>
      </c>
    </row>
    <row r="26" spans="2:53" ht="16.5" customHeight="1" outlineLevel="1" x14ac:dyDescent="0.2">
      <c r="B26" s="1">
        <v>11111700</v>
      </c>
      <c r="C26" s="34" t="str">
        <f t="shared" si="4"/>
        <v>COSTO AL 41274</v>
      </c>
      <c r="D26" s="34" t="str">
        <f t="shared" si="4"/>
        <v>COSTO AL 41639</v>
      </c>
      <c r="E26" s="34" t="str">
        <f t="shared" si="5"/>
        <v>COSTO AL 42004</v>
      </c>
      <c r="F26" s="34" t="str">
        <f t="shared" si="11"/>
        <v>COSTO AL 42369</v>
      </c>
      <c r="G26" s="34" t="str">
        <f t="shared" si="12"/>
        <v>COSTO AL 42735</v>
      </c>
      <c r="H26" s="34" t="str">
        <f t="shared" si="13"/>
        <v>DEPRECIACION 41639</v>
      </c>
      <c r="I26" s="34" t="str">
        <f t="shared" si="14"/>
        <v>DEPRECIACION 42004</v>
      </c>
      <c r="J26" s="34" t="str">
        <f t="shared" si="15"/>
        <v>DEPRECIACION 42369</v>
      </c>
      <c r="K26" s="34" t="str">
        <f t="shared" si="16"/>
        <v>DEPRECIACION 42735</v>
      </c>
      <c r="L26" s="34" t="str">
        <f t="shared" si="17"/>
        <v>VALOR NETO 41639</v>
      </c>
      <c r="M26" s="34" t="str">
        <f t="shared" si="18"/>
        <v>VALOR NETO 42004</v>
      </c>
      <c r="N26" s="34" t="str">
        <f t="shared" si="19"/>
        <v>VALOR NETO 42369</v>
      </c>
      <c r="O26" s="34" t="str">
        <f t="shared" si="20"/>
        <v>VALOR NETO 42735</v>
      </c>
      <c r="P26" s="34" t="str">
        <f t="shared" si="21"/>
        <v>SISTEMA PRINCIPALEQUIPO MECANICO</v>
      </c>
      <c r="Q26" s="34" t="str">
        <f t="shared" si="6"/>
        <v>SISTEMA PRINCIPAL</v>
      </c>
      <c r="R26" s="1" t="s">
        <v>19</v>
      </c>
      <c r="S26" s="37">
        <v>31826</v>
      </c>
      <c r="T26" s="37">
        <v>0</v>
      </c>
      <c r="U26" s="37">
        <v>0</v>
      </c>
      <c r="V26" s="37">
        <v>0</v>
      </c>
      <c r="W26" s="37">
        <v>0</v>
      </c>
      <c r="X26" s="33">
        <f t="shared" si="7"/>
        <v>31826</v>
      </c>
      <c r="Y26" s="33">
        <f>16305.7*(1-$Y$11)</f>
        <v>15816.529</v>
      </c>
      <c r="Z26" s="33">
        <f t="shared" si="22"/>
        <v>16009.471</v>
      </c>
      <c r="AA26" s="34"/>
      <c r="AB26" s="58">
        <f t="shared" si="23"/>
        <v>31826</v>
      </c>
      <c r="AC26" s="64">
        <v>0</v>
      </c>
      <c r="AD26" s="64">
        <v>0</v>
      </c>
      <c r="AE26" s="64">
        <v>0</v>
      </c>
      <c r="AF26" s="64">
        <v>0</v>
      </c>
      <c r="AG26" s="58">
        <f t="shared" si="8"/>
        <v>31826</v>
      </c>
      <c r="AH26" s="58">
        <f>19488.29*((1-$Y$11))</f>
        <v>18903.641299999999</v>
      </c>
      <c r="AI26" s="58">
        <f t="shared" si="24"/>
        <v>12922.358700000001</v>
      </c>
      <c r="AK26" s="58">
        <f t="shared" si="25"/>
        <v>31826</v>
      </c>
      <c r="AL26" s="64">
        <v>0</v>
      </c>
      <c r="AM26" s="64">
        <v>0</v>
      </c>
      <c r="AN26" s="64">
        <v>0</v>
      </c>
      <c r="AO26" s="64">
        <v>0</v>
      </c>
      <c r="AP26" s="58">
        <f t="shared" si="9"/>
        <v>31826</v>
      </c>
      <c r="AQ26" s="58">
        <f>22670.88*((1-$Y$11))</f>
        <v>21990.7536</v>
      </c>
      <c r="AR26" s="58">
        <f t="shared" si="26"/>
        <v>9835.2464</v>
      </c>
      <c r="AT26" s="58">
        <f t="shared" si="27"/>
        <v>31826</v>
      </c>
      <c r="AU26" s="65">
        <v>0</v>
      </c>
      <c r="AV26" s="65">
        <v>0</v>
      </c>
      <c r="AW26" s="65">
        <v>0</v>
      </c>
      <c r="AX26" s="65">
        <v>0</v>
      </c>
      <c r="AY26" s="58">
        <f t="shared" si="28"/>
        <v>31826</v>
      </c>
      <c r="AZ26" s="58">
        <f>25853*((1-$Y$11))</f>
        <v>25077.41</v>
      </c>
      <c r="BA26" s="33">
        <f t="shared" si="29"/>
        <v>6748.59</v>
      </c>
    </row>
    <row r="27" spans="2:53" ht="16.5" customHeight="1" outlineLevel="1" x14ac:dyDescent="0.2">
      <c r="B27" s="1">
        <v>11111800</v>
      </c>
      <c r="C27" s="34" t="str">
        <f t="shared" si="4"/>
        <v>COSTO AL 41274</v>
      </c>
      <c r="D27" s="34" t="str">
        <f t="shared" si="4"/>
        <v>COSTO AL 41639</v>
      </c>
      <c r="E27" s="34" t="str">
        <f t="shared" si="5"/>
        <v>COSTO AL 42004</v>
      </c>
      <c r="F27" s="34" t="str">
        <f t="shared" si="11"/>
        <v>COSTO AL 42369</v>
      </c>
      <c r="G27" s="34" t="str">
        <f t="shared" si="12"/>
        <v>COSTO AL 42735</v>
      </c>
      <c r="H27" s="34" t="str">
        <f t="shared" si="13"/>
        <v>DEPRECIACION 41639</v>
      </c>
      <c r="I27" s="34" t="str">
        <f t="shared" si="14"/>
        <v>DEPRECIACION 42004</v>
      </c>
      <c r="J27" s="34" t="str">
        <f t="shared" si="15"/>
        <v>DEPRECIACION 42369</v>
      </c>
      <c r="K27" s="34" t="str">
        <f t="shared" si="16"/>
        <v>DEPRECIACION 42735</v>
      </c>
      <c r="L27" s="34" t="str">
        <f t="shared" si="17"/>
        <v>VALOR NETO 41639</v>
      </c>
      <c r="M27" s="34" t="str">
        <f t="shared" si="18"/>
        <v>VALOR NETO 42004</v>
      </c>
      <c r="N27" s="34" t="str">
        <f t="shared" si="19"/>
        <v>VALOR NETO 42369</v>
      </c>
      <c r="O27" s="34" t="str">
        <f t="shared" si="20"/>
        <v>VALOR NETO 42735</v>
      </c>
      <c r="P27" s="34" t="str">
        <f t="shared" si="21"/>
        <v>SISTEMA PRINCIPALEQUIPO DE COMUNICACIÓN</v>
      </c>
      <c r="Q27" s="34" t="str">
        <f t="shared" si="6"/>
        <v>SISTEMA PRINCIPAL</v>
      </c>
      <c r="R27" s="1" t="s">
        <v>20</v>
      </c>
      <c r="S27" s="37">
        <v>1173393.68</v>
      </c>
      <c r="T27" s="37">
        <v>0</v>
      </c>
      <c r="U27" s="37">
        <v>0</v>
      </c>
      <c r="V27" s="37">
        <v>0</v>
      </c>
      <c r="W27" s="37">
        <v>0</v>
      </c>
      <c r="X27" s="33">
        <f t="shared" si="7"/>
        <v>1173393.68</v>
      </c>
      <c r="Y27" s="33">
        <f>371269.29*(1-$Y$11)</f>
        <v>360131.21129999997</v>
      </c>
      <c r="Z27" s="33">
        <f t="shared" si="22"/>
        <v>813262.46869999997</v>
      </c>
      <c r="AA27" s="34"/>
      <c r="AB27" s="58">
        <f t="shared" si="23"/>
        <v>1173393.68</v>
      </c>
      <c r="AC27" s="64">
        <v>0</v>
      </c>
      <c r="AD27" s="64">
        <v>0</v>
      </c>
      <c r="AE27" s="64">
        <v>0</v>
      </c>
      <c r="AF27" s="64">
        <v>0</v>
      </c>
      <c r="AG27" s="58">
        <f t="shared" si="8"/>
        <v>1173393.68</v>
      </c>
      <c r="AH27" s="58">
        <f>478534.61*((1-$Y$11))</f>
        <v>464178.57169999997</v>
      </c>
      <c r="AI27" s="58">
        <f t="shared" si="24"/>
        <v>709215.10829999996</v>
      </c>
      <c r="AK27" s="58">
        <f t="shared" si="25"/>
        <v>1173393.68</v>
      </c>
      <c r="AL27" s="64">
        <v>0</v>
      </c>
      <c r="AM27" s="64">
        <v>0</v>
      </c>
      <c r="AN27" s="64">
        <v>0</v>
      </c>
      <c r="AO27" s="64">
        <v>0</v>
      </c>
      <c r="AP27" s="58">
        <f t="shared" si="9"/>
        <v>1173393.68</v>
      </c>
      <c r="AQ27" s="58">
        <f>584896.97*((1-$Y$11))</f>
        <v>567350.06089999992</v>
      </c>
      <c r="AR27" s="58">
        <f t="shared" si="26"/>
        <v>606043.61910000001</v>
      </c>
      <c r="AT27" s="58">
        <f t="shared" si="27"/>
        <v>1173393.68</v>
      </c>
      <c r="AU27" s="65">
        <v>2408672</v>
      </c>
      <c r="AV27" s="65">
        <v>0</v>
      </c>
      <c r="AW27" s="65">
        <v>0</v>
      </c>
      <c r="AX27" s="65">
        <v>-314658</v>
      </c>
      <c r="AY27" s="58">
        <f t="shared" si="28"/>
        <v>3267407.6799999997</v>
      </c>
      <c r="AZ27" s="58">
        <f>867540*((1-$Y$11))</f>
        <v>841513.79999999993</v>
      </c>
      <c r="BA27" s="33">
        <f t="shared" si="29"/>
        <v>2425893.88</v>
      </c>
    </row>
    <row r="28" spans="2:53" ht="16.5" customHeight="1" outlineLevel="1" x14ac:dyDescent="0.2">
      <c r="B28" s="1">
        <v>11111900</v>
      </c>
      <c r="C28" s="34" t="str">
        <f t="shared" si="4"/>
        <v>COSTO AL 41274</v>
      </c>
      <c r="D28" s="34" t="str">
        <f t="shared" si="4"/>
        <v>COSTO AL 41639</v>
      </c>
      <c r="E28" s="34" t="str">
        <f t="shared" si="5"/>
        <v>COSTO AL 42004</v>
      </c>
      <c r="F28" s="34" t="str">
        <f t="shared" si="11"/>
        <v>COSTO AL 42369</v>
      </c>
      <c r="G28" s="34" t="str">
        <f t="shared" si="12"/>
        <v>COSTO AL 42735</v>
      </c>
      <c r="H28" s="34" t="str">
        <f t="shared" si="13"/>
        <v>DEPRECIACION 41639</v>
      </c>
      <c r="I28" s="34" t="str">
        <f t="shared" si="14"/>
        <v>DEPRECIACION 42004</v>
      </c>
      <c r="J28" s="34" t="str">
        <f t="shared" si="15"/>
        <v>DEPRECIACION 42369</v>
      </c>
      <c r="K28" s="34" t="str">
        <f t="shared" si="16"/>
        <v>DEPRECIACION 42735</v>
      </c>
      <c r="L28" s="34" t="str">
        <f t="shared" si="17"/>
        <v>VALOR NETO 41639</v>
      </c>
      <c r="M28" s="34" t="str">
        <f t="shared" si="18"/>
        <v>VALOR NETO 42004</v>
      </c>
      <c r="N28" s="34" t="str">
        <f t="shared" si="19"/>
        <v>VALOR NETO 42369</v>
      </c>
      <c r="O28" s="34" t="str">
        <f t="shared" si="20"/>
        <v>VALOR NETO 42735</v>
      </c>
      <c r="P28" s="34" t="str">
        <f t="shared" si="21"/>
        <v>SISTEMA PRINCIPALTRANSFORMADORES DE LÍNEAS</v>
      </c>
      <c r="Q28" s="34" t="str">
        <f t="shared" si="6"/>
        <v>SISTEMA PRINCIPAL</v>
      </c>
      <c r="R28" s="1" t="s">
        <v>21</v>
      </c>
      <c r="S28" s="37">
        <v>36524987.250000007</v>
      </c>
      <c r="T28" s="37">
        <v>2814943.52</v>
      </c>
      <c r="U28" s="37">
        <v>0</v>
      </c>
      <c r="V28" s="37">
        <v>-2786994.18</v>
      </c>
      <c r="W28" s="37">
        <v>0</v>
      </c>
      <c r="X28" s="33">
        <f t="shared" si="7"/>
        <v>36552936.590000011</v>
      </c>
      <c r="Y28" s="33">
        <f>16432345.6*(1-$Y$11)</f>
        <v>15939375.231999999</v>
      </c>
      <c r="Z28" s="33">
        <f t="shared" si="22"/>
        <v>20613561.35800001</v>
      </c>
      <c r="AA28" s="34"/>
      <c r="AB28" s="58">
        <f t="shared" si="23"/>
        <v>36552936.590000011</v>
      </c>
      <c r="AC28" s="64">
        <v>133382.95000000001</v>
      </c>
      <c r="AD28" s="64">
        <v>0</v>
      </c>
      <c r="AE28" s="64">
        <v>0</v>
      </c>
      <c r="AF28" s="64">
        <v>0</v>
      </c>
      <c r="AG28" s="58">
        <f t="shared" si="8"/>
        <v>36686319.540000014</v>
      </c>
      <c r="AH28" s="58">
        <f>17467878.85*((1-$Y$11))</f>
        <v>16943842.484500002</v>
      </c>
      <c r="AI28" s="58">
        <f t="shared" si="24"/>
        <v>19742477.055500012</v>
      </c>
      <c r="AK28" s="58">
        <f t="shared" si="25"/>
        <v>36686319.540000014</v>
      </c>
      <c r="AL28" s="64">
        <v>0</v>
      </c>
      <c r="AM28" s="64">
        <v>0</v>
      </c>
      <c r="AN28" s="64">
        <v>0</v>
      </c>
      <c r="AO28" s="64">
        <v>0</v>
      </c>
      <c r="AP28" s="58">
        <f t="shared" si="9"/>
        <v>36686319.540000014</v>
      </c>
      <c r="AQ28" s="58">
        <f>18504682.42*((1-$Y$11))</f>
        <v>17949541.9474</v>
      </c>
      <c r="AR28" s="58">
        <f t="shared" si="26"/>
        <v>18736777.592600014</v>
      </c>
      <c r="AT28" s="58">
        <f t="shared" si="27"/>
        <v>36686319.540000014</v>
      </c>
      <c r="AU28" s="65">
        <v>2766245.4</v>
      </c>
      <c r="AV28" s="65">
        <v>0</v>
      </c>
      <c r="AW28" s="65">
        <v>0</v>
      </c>
      <c r="AX28" s="65">
        <v>-399963</v>
      </c>
      <c r="AY28" s="58">
        <f t="shared" si="28"/>
        <v>39052601.940000013</v>
      </c>
      <c r="AZ28" s="58">
        <f>19601403*((1-$Y$11))</f>
        <v>19013360.91</v>
      </c>
      <c r="BA28" s="33">
        <f t="shared" si="29"/>
        <v>20039241.030000012</v>
      </c>
    </row>
    <row r="29" spans="2:53" ht="16.5" customHeight="1" outlineLevel="1" x14ac:dyDescent="0.2">
      <c r="B29" s="1">
        <v>11112000</v>
      </c>
      <c r="C29" s="34" t="str">
        <f t="shared" si="4"/>
        <v>COSTO AL 41274</v>
      </c>
      <c r="D29" s="34" t="str">
        <f t="shared" si="4"/>
        <v>COSTO AL 41639</v>
      </c>
      <c r="E29" s="34" t="str">
        <f t="shared" si="5"/>
        <v>COSTO AL 42004</v>
      </c>
      <c r="F29" s="34" t="str">
        <f t="shared" si="11"/>
        <v>COSTO AL 42369</v>
      </c>
      <c r="G29" s="34" t="str">
        <f t="shared" si="12"/>
        <v>COSTO AL 42735</v>
      </c>
      <c r="H29" s="34" t="str">
        <f t="shared" si="13"/>
        <v>DEPRECIACION 41639</v>
      </c>
      <c r="I29" s="34" t="str">
        <f t="shared" si="14"/>
        <v>DEPRECIACION 42004</v>
      </c>
      <c r="J29" s="34" t="str">
        <f t="shared" si="15"/>
        <v>DEPRECIACION 42369</v>
      </c>
      <c r="K29" s="34" t="str">
        <f t="shared" si="16"/>
        <v>DEPRECIACION 42735</v>
      </c>
      <c r="L29" s="34" t="str">
        <f t="shared" si="17"/>
        <v>VALOR NETO 41639</v>
      </c>
      <c r="M29" s="34" t="str">
        <f t="shared" si="18"/>
        <v>VALOR NETO 42004</v>
      </c>
      <c r="N29" s="34" t="str">
        <f t="shared" si="19"/>
        <v>VALOR NETO 42369</v>
      </c>
      <c r="O29" s="34" t="str">
        <f t="shared" si="20"/>
        <v>VALOR NETO 42735</v>
      </c>
      <c r="P29" s="34" t="str">
        <f t="shared" si="21"/>
        <v>SISTEMA PRINCIPALEQUIPO DE PROTECCIÓN, CONTROL Y</v>
      </c>
      <c r="Q29" s="34" t="str">
        <f t="shared" si="6"/>
        <v>SISTEMA PRINCIPAL</v>
      </c>
      <c r="R29" s="1" t="s">
        <v>22</v>
      </c>
      <c r="S29" s="35">
        <v>15444003.799999999</v>
      </c>
      <c r="T29" s="37">
        <v>0</v>
      </c>
      <c r="U29" s="37">
        <v>0</v>
      </c>
      <c r="V29" s="37">
        <v>-912452.6399999999</v>
      </c>
      <c r="W29" s="37">
        <v>0</v>
      </c>
      <c r="X29" s="33">
        <f t="shared" si="7"/>
        <v>14531551.159999998</v>
      </c>
      <c r="Y29" s="33">
        <f>13224239.49*(1-$Y$11)</f>
        <v>12827512.305299999</v>
      </c>
      <c r="Z29" s="33">
        <f t="shared" si="22"/>
        <v>1704038.8546999991</v>
      </c>
      <c r="AA29" s="34"/>
      <c r="AB29" s="58">
        <f t="shared" si="23"/>
        <v>14531551.159999998</v>
      </c>
      <c r="AC29" s="64">
        <v>430603.81</v>
      </c>
      <c r="AD29" s="64">
        <v>0</v>
      </c>
      <c r="AE29" s="64">
        <v>0</v>
      </c>
      <c r="AF29" s="64">
        <v>0</v>
      </c>
      <c r="AG29" s="58">
        <f t="shared" si="8"/>
        <v>14962154.969999999</v>
      </c>
      <c r="AH29" s="58">
        <f>13740801.79*((1-$Y$11))</f>
        <v>13328577.736299999</v>
      </c>
      <c r="AI29" s="58">
        <f t="shared" si="24"/>
        <v>1633577.2336999997</v>
      </c>
      <c r="AK29" s="58">
        <f t="shared" si="25"/>
        <v>14962154.969999999</v>
      </c>
      <c r="AL29" s="64">
        <v>0</v>
      </c>
      <c r="AM29" s="64">
        <v>0</v>
      </c>
      <c r="AN29" s="64">
        <v>0</v>
      </c>
      <c r="AO29" s="64">
        <v>0</v>
      </c>
      <c r="AP29" s="58">
        <f t="shared" si="9"/>
        <v>14962154.969999999</v>
      </c>
      <c r="AQ29" s="58">
        <f>14202169.21*((1-$Y$11))</f>
        <v>13776104.1337</v>
      </c>
      <c r="AR29" s="58">
        <f t="shared" si="26"/>
        <v>1186050.8362999987</v>
      </c>
      <c r="AT29" s="58">
        <f t="shared" si="27"/>
        <v>14962154.969999999</v>
      </c>
      <c r="AU29" s="65">
        <v>3215945.4</v>
      </c>
      <c r="AV29" s="65">
        <v>3100</v>
      </c>
      <c r="AW29" s="65">
        <v>0</v>
      </c>
      <c r="AX29" s="65">
        <v>-699666</v>
      </c>
      <c r="AY29" s="58">
        <f t="shared" si="28"/>
        <v>17475334.369999997</v>
      </c>
      <c r="AZ29" s="58">
        <f>14794255*((1-$Y$11))</f>
        <v>14350427.35</v>
      </c>
      <c r="BA29" s="33">
        <f t="shared" si="29"/>
        <v>3124907.0199999977</v>
      </c>
    </row>
    <row r="30" spans="2:53" ht="16.5" customHeight="1" outlineLevel="1" x14ac:dyDescent="0.2">
      <c r="B30" s="1">
        <v>11112300</v>
      </c>
      <c r="C30" s="34" t="str">
        <f t="shared" si="4"/>
        <v>COSTO AL 41274</v>
      </c>
      <c r="D30" s="34" t="str">
        <f t="shared" si="4"/>
        <v>COSTO AL 41639</v>
      </c>
      <c r="E30" s="34" t="str">
        <f t="shared" si="5"/>
        <v>COSTO AL 42004</v>
      </c>
      <c r="F30" s="34" t="str">
        <f t="shared" si="11"/>
        <v>COSTO AL 42369</v>
      </c>
      <c r="G30" s="34" t="str">
        <f t="shared" si="12"/>
        <v>COSTO AL 42735</v>
      </c>
      <c r="H30" s="34" t="str">
        <f t="shared" si="13"/>
        <v>DEPRECIACION 41639</v>
      </c>
      <c r="I30" s="34" t="str">
        <f t="shared" si="14"/>
        <v>DEPRECIACION 42004</v>
      </c>
      <c r="J30" s="34" t="str">
        <f t="shared" si="15"/>
        <v>DEPRECIACION 42369</v>
      </c>
      <c r="K30" s="34" t="str">
        <f t="shared" si="16"/>
        <v>DEPRECIACION 42735</v>
      </c>
      <c r="L30" s="34" t="str">
        <f t="shared" si="17"/>
        <v>VALOR NETO 41639</v>
      </c>
      <c r="M30" s="34" t="str">
        <f t="shared" si="18"/>
        <v>VALOR NETO 42004</v>
      </c>
      <c r="N30" s="34" t="str">
        <f t="shared" si="19"/>
        <v>VALOR NETO 42369</v>
      </c>
      <c r="O30" s="34" t="str">
        <f t="shared" si="20"/>
        <v>VALOR NETO 42735</v>
      </c>
      <c r="P30" s="34" t="str">
        <f t="shared" si="21"/>
        <v>SISTEMA PRINCIPALMOBILIARIO Y EQUIPO DE OFICINA</v>
      </c>
      <c r="Q30" s="34" t="str">
        <f t="shared" si="6"/>
        <v>SISTEMA PRINCIPAL</v>
      </c>
      <c r="R30" s="1" t="s">
        <v>23</v>
      </c>
      <c r="S30" s="37">
        <v>89012.98</v>
      </c>
      <c r="T30" s="37">
        <v>0</v>
      </c>
      <c r="U30" s="37">
        <v>0</v>
      </c>
      <c r="V30" s="37">
        <v>0</v>
      </c>
      <c r="W30" s="37">
        <v>0</v>
      </c>
      <c r="X30" s="33">
        <f t="shared" si="7"/>
        <v>89012.98</v>
      </c>
      <c r="Y30" s="33">
        <f>86282.44*(1-$Y$11)</f>
        <v>83693.966799999995</v>
      </c>
      <c r="Z30" s="33">
        <f t="shared" si="22"/>
        <v>5319.0132000000012</v>
      </c>
      <c r="AA30" s="34"/>
      <c r="AB30" s="58">
        <f t="shared" si="23"/>
        <v>89012.98</v>
      </c>
      <c r="AC30" s="64">
        <v>0</v>
      </c>
      <c r="AD30" s="64">
        <v>0</v>
      </c>
      <c r="AE30" s="64">
        <v>0</v>
      </c>
      <c r="AF30" s="64">
        <v>0</v>
      </c>
      <c r="AG30" s="58">
        <f t="shared" si="8"/>
        <v>89012.98</v>
      </c>
      <c r="AH30" s="58">
        <f>86916.05*((1-$Y$11))</f>
        <v>84308.568499999994</v>
      </c>
      <c r="AI30" s="58">
        <f t="shared" si="24"/>
        <v>4704.411500000002</v>
      </c>
      <c r="AK30" s="58">
        <f t="shared" si="25"/>
        <v>89012.98</v>
      </c>
      <c r="AL30" s="64">
        <v>0</v>
      </c>
      <c r="AM30" s="64">
        <v>0</v>
      </c>
      <c r="AN30" s="64">
        <v>0</v>
      </c>
      <c r="AO30" s="64">
        <v>0</v>
      </c>
      <c r="AP30" s="58">
        <f t="shared" si="9"/>
        <v>89012.98</v>
      </c>
      <c r="AQ30" s="58">
        <f>87463.59*((1-$Y$11))</f>
        <v>84839.6823</v>
      </c>
      <c r="AR30" s="58">
        <f t="shared" si="26"/>
        <v>4173.2976999999955</v>
      </c>
      <c r="AT30" s="58">
        <f t="shared" si="27"/>
        <v>89012.98</v>
      </c>
      <c r="AU30" s="65">
        <v>0</v>
      </c>
      <c r="AV30" s="65">
        <v>0</v>
      </c>
      <c r="AW30" s="65">
        <v>0</v>
      </c>
      <c r="AX30" s="65">
        <v>0</v>
      </c>
      <c r="AY30" s="58">
        <f t="shared" si="28"/>
        <v>89012.98</v>
      </c>
      <c r="AZ30" s="58">
        <f>87891*((1-$Y$11))</f>
        <v>85254.27</v>
      </c>
      <c r="BA30" s="33">
        <f t="shared" si="29"/>
        <v>3758.7099999999919</v>
      </c>
    </row>
    <row r="31" spans="2:53" ht="16.5" customHeight="1" outlineLevel="1" x14ac:dyDescent="0.2">
      <c r="B31" s="1">
        <v>11112500</v>
      </c>
      <c r="C31" s="34" t="str">
        <f t="shared" si="4"/>
        <v>COSTO AL 41274</v>
      </c>
      <c r="D31" s="34" t="str">
        <f t="shared" si="4"/>
        <v>COSTO AL 41639</v>
      </c>
      <c r="E31" s="34" t="str">
        <f t="shared" si="5"/>
        <v>COSTO AL 42004</v>
      </c>
      <c r="F31" s="34" t="str">
        <f t="shared" si="11"/>
        <v>COSTO AL 42369</v>
      </c>
      <c r="G31" s="34" t="str">
        <f t="shared" si="12"/>
        <v>COSTO AL 42735</v>
      </c>
      <c r="H31" s="34" t="str">
        <f t="shared" si="13"/>
        <v>DEPRECIACION 41639</v>
      </c>
      <c r="I31" s="34" t="str">
        <f t="shared" si="14"/>
        <v>DEPRECIACION 42004</v>
      </c>
      <c r="J31" s="34" t="str">
        <f t="shared" si="15"/>
        <v>DEPRECIACION 42369</v>
      </c>
      <c r="K31" s="34" t="str">
        <f t="shared" si="16"/>
        <v>DEPRECIACION 42735</v>
      </c>
      <c r="L31" s="34" t="str">
        <f t="shared" si="17"/>
        <v>VALOR NETO 41639</v>
      </c>
      <c r="M31" s="34" t="str">
        <f t="shared" si="18"/>
        <v>VALOR NETO 42004</v>
      </c>
      <c r="N31" s="34" t="str">
        <f t="shared" si="19"/>
        <v>VALOR NETO 42369</v>
      </c>
      <c r="O31" s="34" t="str">
        <f t="shared" si="20"/>
        <v>VALOR NETO 42735</v>
      </c>
      <c r="P31" s="34" t="str">
        <f t="shared" si="21"/>
        <v>SISTEMA PRINCIPALHERRAMIENTAS ESPECIALIZADAS</v>
      </c>
      <c r="Q31" s="34" t="str">
        <f t="shared" si="6"/>
        <v>SISTEMA PRINCIPAL</v>
      </c>
      <c r="R31" s="1" t="s">
        <v>24</v>
      </c>
      <c r="S31" s="37">
        <v>3.0000000027939677E-2</v>
      </c>
      <c r="T31" s="37">
        <v>0</v>
      </c>
      <c r="U31" s="37">
        <v>0</v>
      </c>
      <c r="V31" s="37">
        <v>0</v>
      </c>
      <c r="W31" s="37">
        <v>0</v>
      </c>
      <c r="X31" s="33">
        <f t="shared" si="7"/>
        <v>3.0000000027939677E-2</v>
      </c>
      <c r="Y31" s="33">
        <f>0*(1-$Y$11)</f>
        <v>0</v>
      </c>
      <c r="Z31" s="33">
        <f t="shared" si="22"/>
        <v>3.0000000027939677E-2</v>
      </c>
      <c r="AB31" s="58">
        <f t="shared" si="23"/>
        <v>3.0000000027939677E-2</v>
      </c>
      <c r="AC31" s="64">
        <v>0</v>
      </c>
      <c r="AD31" s="64">
        <v>0</v>
      </c>
      <c r="AE31" s="64">
        <v>0</v>
      </c>
      <c r="AF31" s="64">
        <v>0</v>
      </c>
      <c r="AG31" s="58">
        <f t="shared" si="8"/>
        <v>3.0000000027939677E-2</v>
      </c>
      <c r="AH31" s="58">
        <f>0*((1-$Y$11))</f>
        <v>0</v>
      </c>
      <c r="AI31" s="58">
        <f t="shared" si="24"/>
        <v>3.0000000027939677E-2</v>
      </c>
      <c r="AK31" s="60">
        <f t="shared" si="25"/>
        <v>3.0000000027939677E-2</v>
      </c>
      <c r="AL31" s="64">
        <v>0</v>
      </c>
      <c r="AM31" s="64">
        <v>0</v>
      </c>
      <c r="AN31" s="64">
        <v>0</v>
      </c>
      <c r="AO31" s="64">
        <v>0</v>
      </c>
      <c r="AP31" s="58">
        <f t="shared" si="9"/>
        <v>3.0000000027939677E-2</v>
      </c>
      <c r="AQ31" s="58">
        <f>0*((1-$Y$11))</f>
        <v>0</v>
      </c>
      <c r="AR31" s="58">
        <f t="shared" si="26"/>
        <v>3.0000000027939677E-2</v>
      </c>
      <c r="AT31" s="60">
        <f t="shared" si="27"/>
        <v>3.0000000027939677E-2</v>
      </c>
      <c r="AU31" s="65">
        <v>0</v>
      </c>
      <c r="AV31" s="65">
        <v>0</v>
      </c>
      <c r="AW31" s="65">
        <v>0</v>
      </c>
      <c r="AX31" s="65">
        <v>0</v>
      </c>
      <c r="AY31" s="58">
        <f t="shared" si="28"/>
        <v>3.0000000027939677E-2</v>
      </c>
      <c r="AZ31" s="58">
        <f>0*((1-$Y$11))</f>
        <v>0</v>
      </c>
      <c r="BA31" s="33">
        <f t="shared" si="29"/>
        <v>3.0000000027939677E-2</v>
      </c>
    </row>
    <row r="32" spans="2:53" ht="16.5" customHeight="1" thickBot="1" x14ac:dyDescent="0.25">
      <c r="C32" s="34" t="str">
        <f t="shared" si="4"/>
        <v>COSTO AL 41274</v>
      </c>
      <c r="D32" s="34" t="str">
        <f t="shared" si="4"/>
        <v>COSTO AL 41639</v>
      </c>
      <c r="E32" s="34" t="str">
        <f t="shared" si="5"/>
        <v>COSTO AL 42004</v>
      </c>
      <c r="F32" s="34" t="str">
        <f t="shared" si="11"/>
        <v>COSTO AL 42369</v>
      </c>
      <c r="G32" s="34" t="str">
        <f t="shared" si="12"/>
        <v>COSTO AL 42735</v>
      </c>
      <c r="H32" s="34" t="str">
        <f t="shared" si="13"/>
        <v>DEPRECIACION 41639</v>
      </c>
      <c r="I32" s="34" t="str">
        <f t="shared" si="14"/>
        <v>DEPRECIACION 42004</v>
      </c>
      <c r="J32" s="34" t="str">
        <f t="shared" si="15"/>
        <v>DEPRECIACION 42369</v>
      </c>
      <c r="K32" s="34" t="str">
        <f t="shared" si="16"/>
        <v>DEPRECIACION 42735</v>
      </c>
      <c r="L32" s="34" t="str">
        <f t="shared" si="17"/>
        <v>VALOR NETO 41639</v>
      </c>
      <c r="M32" s="34" t="str">
        <f t="shared" si="18"/>
        <v>VALOR NETO 42004</v>
      </c>
      <c r="N32" s="34" t="str">
        <f t="shared" si="19"/>
        <v>VALOR NETO 42369</v>
      </c>
      <c r="O32" s="34" t="str">
        <f t="shared" si="20"/>
        <v>VALOR NETO 42735</v>
      </c>
      <c r="P32" s="34" t="str">
        <f t="shared" si="21"/>
        <v>SISTEMA PRINCIPALSUB TOTAL</v>
      </c>
      <c r="Q32" s="34" t="str">
        <f t="shared" si="6"/>
        <v>SISTEMA PRINCIPAL</v>
      </c>
      <c r="R32" s="38" t="s">
        <v>25</v>
      </c>
      <c r="S32" s="39">
        <f>SUM(S17:S31)</f>
        <v>328214907.00403386</v>
      </c>
      <c r="T32" s="39">
        <f>SUM(T17:T31)</f>
        <v>3969341.29</v>
      </c>
      <c r="U32" s="39">
        <f t="shared" ref="U32:Z32" si="30">SUM(U17:U31)</f>
        <v>0</v>
      </c>
      <c r="V32" s="39">
        <f t="shared" si="30"/>
        <v>-2786994.1800000006</v>
      </c>
      <c r="W32" s="39">
        <f t="shared" si="30"/>
        <v>0</v>
      </c>
      <c r="X32" s="52">
        <f t="shared" si="30"/>
        <v>329397254.11403394</v>
      </c>
      <c r="Y32" s="52">
        <f>SUM(Y17:Y31)</f>
        <v>143353569.64399999</v>
      </c>
      <c r="Z32" s="52">
        <f t="shared" si="30"/>
        <v>186043684.47003388</v>
      </c>
      <c r="AB32" s="59">
        <f>SUM(AB17:AB31)</f>
        <v>329397254.11403394</v>
      </c>
      <c r="AC32" s="59">
        <f>SUM(AC17:AC31)</f>
        <v>9920305.3399999999</v>
      </c>
      <c r="AD32" s="59">
        <f t="shared" ref="AD32:AI32" si="31">SUM(AD17:AD31)</f>
        <v>0</v>
      </c>
      <c r="AE32" s="59">
        <f t="shared" si="31"/>
        <v>0</v>
      </c>
      <c r="AF32" s="59">
        <f t="shared" si="31"/>
        <v>0</v>
      </c>
      <c r="AG32" s="70">
        <f t="shared" si="31"/>
        <v>339317559.45403385</v>
      </c>
      <c r="AH32" s="70">
        <f>SUM(AH17:AH31)</f>
        <v>153153465.88939998</v>
      </c>
      <c r="AI32" s="70">
        <f t="shared" si="31"/>
        <v>186164093.56463391</v>
      </c>
      <c r="AK32" s="70">
        <f>SUM(AK17:AK31)</f>
        <v>339317559.45403385</v>
      </c>
      <c r="AL32" s="70">
        <f>SUM(AL17:AL31)</f>
        <v>-490185.29</v>
      </c>
      <c r="AM32" s="70">
        <f t="shared" ref="AM32:AR32" si="32">SUM(AM17:AM31)</f>
        <v>0</v>
      </c>
      <c r="AN32" s="70">
        <f t="shared" si="32"/>
        <v>0</v>
      </c>
      <c r="AO32" s="70">
        <f t="shared" si="32"/>
        <v>0</v>
      </c>
      <c r="AP32" s="70">
        <f t="shared" si="32"/>
        <v>338827374.16403389</v>
      </c>
      <c r="AQ32" s="70">
        <f>SUM(AQ17:AQ31)</f>
        <v>162298861.11440003</v>
      </c>
      <c r="AR32" s="70">
        <f t="shared" si="32"/>
        <v>176528513.04963386</v>
      </c>
      <c r="AT32" s="21">
        <f>SUM(AT17:AT31)</f>
        <v>338827374.16403389</v>
      </c>
      <c r="AU32" s="21">
        <f>SUM(AU17:AU31)</f>
        <v>31216473.799999997</v>
      </c>
      <c r="AV32" s="21">
        <f t="shared" ref="AV32:BA32" si="33">SUM(AV17:AV31)</f>
        <v>3100</v>
      </c>
      <c r="AW32" s="21">
        <f t="shared" si="33"/>
        <v>0</v>
      </c>
      <c r="AX32" s="21">
        <f t="shared" si="33"/>
        <v>-2365980</v>
      </c>
      <c r="AY32" s="21">
        <f t="shared" si="33"/>
        <v>367674767.96403384</v>
      </c>
      <c r="AZ32" s="21">
        <f>SUM(AZ17:AZ31)</f>
        <v>172470143.84</v>
      </c>
      <c r="BA32" s="21">
        <f t="shared" si="33"/>
        <v>195204624.1240339</v>
      </c>
    </row>
    <row r="33" spans="2:53" ht="15.75" thickTop="1" x14ac:dyDescent="0.25">
      <c r="C33" s="34" t="str">
        <f t="shared" si="4"/>
        <v>COSTO AL 41274</v>
      </c>
      <c r="D33" s="34" t="str">
        <f t="shared" si="4"/>
        <v>COSTO AL 41639</v>
      </c>
      <c r="E33" s="34" t="str">
        <f t="shared" si="5"/>
        <v>COSTO AL 42004</v>
      </c>
      <c r="F33" s="34" t="str">
        <f t="shared" si="11"/>
        <v>COSTO AL 42369</v>
      </c>
      <c r="G33" s="34" t="str">
        <f t="shared" si="12"/>
        <v>COSTO AL 42735</v>
      </c>
      <c r="H33" s="34" t="str">
        <f t="shared" si="13"/>
        <v>DEPRECIACION 41639</v>
      </c>
      <c r="I33" s="34" t="str">
        <f t="shared" si="14"/>
        <v>DEPRECIACION 42004</v>
      </c>
      <c r="J33" s="34" t="str">
        <f t="shared" si="15"/>
        <v>DEPRECIACION 42369</v>
      </c>
      <c r="K33" s="34" t="str">
        <f t="shared" si="16"/>
        <v>DEPRECIACION 42735</v>
      </c>
      <c r="L33" s="34" t="str">
        <f t="shared" si="17"/>
        <v>VALOR NETO 41639</v>
      </c>
      <c r="M33" s="34" t="str">
        <f t="shared" si="18"/>
        <v>VALOR NETO 42004</v>
      </c>
      <c r="N33" s="34" t="str">
        <f t="shared" si="19"/>
        <v>VALOR NETO 42369</v>
      </c>
      <c r="O33" s="34" t="str">
        <f t="shared" si="20"/>
        <v>VALOR NETO 42735</v>
      </c>
      <c r="P33" s="34" t="str">
        <f t="shared" si="21"/>
        <v>CONEXIÓN</v>
      </c>
      <c r="Q33" s="34"/>
      <c r="R33" s="54" t="s">
        <v>26</v>
      </c>
      <c r="T33" s="34"/>
      <c r="U33" s="34"/>
      <c r="V33" s="34"/>
      <c r="W33" s="34"/>
      <c r="X33" s="33"/>
      <c r="Y33" s="33"/>
      <c r="Z33" s="33"/>
      <c r="AB33" s="57"/>
      <c r="AC33" s="57"/>
      <c r="AD33" s="57"/>
      <c r="AE33" s="57"/>
      <c r="AF33" s="57"/>
      <c r="AG33" s="58"/>
      <c r="AH33" s="58"/>
      <c r="AI33" s="58"/>
      <c r="AK33" s="58"/>
      <c r="AL33" s="58"/>
      <c r="AM33" s="58"/>
      <c r="AN33" s="58"/>
      <c r="AO33" s="58"/>
      <c r="AP33" s="58"/>
      <c r="AQ33" s="58"/>
      <c r="AR33" s="58"/>
      <c r="AT33" s="20"/>
      <c r="AU33" s="19"/>
      <c r="AV33" s="19"/>
      <c r="AW33" s="19"/>
      <c r="AX33" s="19"/>
      <c r="AY33" s="19"/>
      <c r="AZ33" s="58"/>
      <c r="BA33" s="58"/>
    </row>
    <row r="34" spans="2:53" ht="15" outlineLevel="1" x14ac:dyDescent="0.25">
      <c r="B34" s="1">
        <v>11120100</v>
      </c>
      <c r="C34" s="34" t="str">
        <f t="shared" si="4"/>
        <v>COSTO AL 41274</v>
      </c>
      <c r="D34" s="34" t="str">
        <f t="shared" si="4"/>
        <v>COSTO AL 41639</v>
      </c>
      <c r="E34" s="34" t="str">
        <f t="shared" si="5"/>
        <v>COSTO AL 42004</v>
      </c>
      <c r="F34" s="34" t="str">
        <f t="shared" si="11"/>
        <v>COSTO AL 42369</v>
      </c>
      <c r="G34" s="34" t="str">
        <f t="shared" si="12"/>
        <v>COSTO AL 42735</v>
      </c>
      <c r="H34" s="34" t="str">
        <f t="shared" si="13"/>
        <v>DEPRECIACION 41639</v>
      </c>
      <c r="I34" s="34" t="str">
        <f t="shared" si="14"/>
        <v>DEPRECIACION 42004</v>
      </c>
      <c r="J34" s="34" t="str">
        <f t="shared" si="15"/>
        <v>DEPRECIACION 42369</v>
      </c>
      <c r="K34" s="34" t="str">
        <f t="shared" si="16"/>
        <v>DEPRECIACION 42735</v>
      </c>
      <c r="L34" s="34" t="str">
        <f t="shared" si="17"/>
        <v>VALOR NETO 41639</v>
      </c>
      <c r="M34" s="34" t="str">
        <f t="shared" si="18"/>
        <v>VALOR NETO 42004</v>
      </c>
      <c r="N34" s="34" t="str">
        <f t="shared" si="19"/>
        <v>VALOR NETO 42369</v>
      </c>
      <c r="O34" s="34" t="str">
        <f t="shared" si="20"/>
        <v>VALOR NETO 42735</v>
      </c>
      <c r="P34" s="34" t="str">
        <f t="shared" si="21"/>
        <v>CONEXIÓNTERRENOS</v>
      </c>
      <c r="Q34" s="34" t="str">
        <f t="shared" ref="Q34:Q44" si="34">+$R$33</f>
        <v>CONEXIÓN</v>
      </c>
      <c r="R34" s="1" t="s">
        <v>10</v>
      </c>
      <c r="S34" s="35">
        <v>770837.08</v>
      </c>
      <c r="T34" s="37">
        <v>0</v>
      </c>
      <c r="U34" s="37">
        <v>0</v>
      </c>
      <c r="V34" s="37">
        <v>0</v>
      </c>
      <c r="W34" s="37">
        <v>0</v>
      </c>
      <c r="X34" s="33">
        <f t="shared" ref="X34:X43" si="35">+S34+T34-U34+V34+W34</f>
        <v>770837.08</v>
      </c>
      <c r="Y34" s="33">
        <v>0</v>
      </c>
      <c r="Z34" s="33">
        <f>+X34-Y34</f>
        <v>770837.08</v>
      </c>
      <c r="AB34" s="64">
        <v>770837.08</v>
      </c>
      <c r="AC34" s="64">
        <v>0</v>
      </c>
      <c r="AD34" s="64">
        <v>0</v>
      </c>
      <c r="AE34" s="64">
        <v>0</v>
      </c>
      <c r="AF34" s="64">
        <v>0</v>
      </c>
      <c r="AG34" s="58">
        <f t="shared" ref="AG34:AG43" si="36">+AB34+AC34-AD34+AE34+AF34</f>
        <v>770837.08</v>
      </c>
      <c r="AH34" s="64">
        <v>0</v>
      </c>
      <c r="AI34" s="58">
        <f>+AG34-AH34</f>
        <v>770837.08</v>
      </c>
      <c r="AK34" s="64">
        <v>770837.08</v>
      </c>
      <c r="AL34" s="64">
        <v>0</v>
      </c>
      <c r="AM34" s="64">
        <v>0</v>
      </c>
      <c r="AN34" s="64">
        <v>0</v>
      </c>
      <c r="AO34" s="64">
        <v>0</v>
      </c>
      <c r="AP34" s="58">
        <f t="shared" ref="AP34:AP43" si="37">+AK34+AL34-AM34+AN34+AO34</f>
        <v>770837.08</v>
      </c>
      <c r="AQ34" s="64">
        <v>0</v>
      </c>
      <c r="AR34" s="58">
        <f>+AP34-AQ34</f>
        <v>770837.08</v>
      </c>
      <c r="AT34" s="80">
        <v>770837.08</v>
      </c>
      <c r="AU34" s="65">
        <v>0</v>
      </c>
      <c r="AV34" s="65">
        <v>0</v>
      </c>
      <c r="AW34" s="65">
        <v>0</v>
      </c>
      <c r="AX34" s="65">
        <v>0</v>
      </c>
      <c r="AY34" s="58">
        <f t="shared" ref="AY34:AY40" si="38">+AT34+AU34-AV34+AW34+AX34</f>
        <v>770837.08</v>
      </c>
      <c r="AZ34" s="64">
        <v>0</v>
      </c>
      <c r="BA34" s="58">
        <f t="shared" ref="BA34:BA40" si="39">+AY34-AZ34</f>
        <v>770837.08</v>
      </c>
    </row>
    <row r="35" spans="2:53" ht="15" outlineLevel="1" x14ac:dyDescent="0.25">
      <c r="B35" s="1">
        <v>11120200</v>
      </c>
      <c r="C35" s="34" t="str">
        <f t="shared" si="4"/>
        <v>COSTO AL 41274</v>
      </c>
      <c r="D35" s="34" t="str">
        <f t="shared" si="4"/>
        <v>COSTO AL 41639</v>
      </c>
      <c r="E35" s="34" t="str">
        <f t="shared" si="5"/>
        <v>COSTO AL 42004</v>
      </c>
      <c r="F35" s="34" t="str">
        <f t="shared" si="11"/>
        <v>COSTO AL 42369</v>
      </c>
      <c r="G35" s="34" t="str">
        <f t="shared" si="12"/>
        <v>COSTO AL 42735</v>
      </c>
      <c r="H35" s="34" t="str">
        <f t="shared" si="13"/>
        <v>DEPRECIACION 41639</v>
      </c>
      <c r="I35" s="34" t="str">
        <f t="shared" si="14"/>
        <v>DEPRECIACION 42004</v>
      </c>
      <c r="J35" s="34" t="str">
        <f t="shared" si="15"/>
        <v>DEPRECIACION 42369</v>
      </c>
      <c r="K35" s="34" t="str">
        <f t="shared" si="16"/>
        <v>DEPRECIACION 42735</v>
      </c>
      <c r="L35" s="34" t="str">
        <f t="shared" si="17"/>
        <v>VALOR NETO 41639</v>
      </c>
      <c r="M35" s="34" t="str">
        <f t="shared" si="18"/>
        <v>VALOR NETO 42004</v>
      </c>
      <c r="N35" s="34" t="str">
        <f t="shared" si="19"/>
        <v>VALOR NETO 42369</v>
      </c>
      <c r="O35" s="34" t="str">
        <f t="shared" si="20"/>
        <v>VALOR NETO 42735</v>
      </c>
      <c r="P35" s="34" t="str">
        <f t="shared" si="21"/>
        <v>CONEXIÓNEDIFICIOS Y MEJORAS</v>
      </c>
      <c r="Q35" s="34" t="str">
        <f t="shared" si="34"/>
        <v>CONEXIÓN</v>
      </c>
      <c r="R35" s="1" t="s">
        <v>11</v>
      </c>
      <c r="S35" s="35">
        <v>138192.18</v>
      </c>
      <c r="T35" s="37">
        <v>0</v>
      </c>
      <c r="U35" s="37">
        <v>0</v>
      </c>
      <c r="V35" s="37">
        <v>0</v>
      </c>
      <c r="W35" s="37">
        <v>0</v>
      </c>
      <c r="X35" s="33">
        <f t="shared" si="35"/>
        <v>138192.18</v>
      </c>
      <c r="Y35" s="33">
        <v>105880.28999999996</v>
      </c>
      <c r="Z35" s="33">
        <f t="shared" ref="Z35:Z43" si="40">+X35-Y35</f>
        <v>32311.890000000029</v>
      </c>
      <c r="AB35" s="64">
        <v>138192.18</v>
      </c>
      <c r="AC35" s="64">
        <v>0</v>
      </c>
      <c r="AD35" s="64">
        <v>0</v>
      </c>
      <c r="AE35" s="64">
        <v>0</v>
      </c>
      <c r="AF35" s="64">
        <v>0</v>
      </c>
      <c r="AG35" s="58">
        <f t="shared" si="36"/>
        <v>138192.18</v>
      </c>
      <c r="AH35" s="64">
        <v>109828.57999999996</v>
      </c>
      <c r="AI35" s="58">
        <f t="shared" ref="AI35:AI43" si="41">+AG35-AH35</f>
        <v>28363.600000000035</v>
      </c>
      <c r="AK35" s="64">
        <v>138192.18</v>
      </c>
      <c r="AL35" s="64">
        <v>0</v>
      </c>
      <c r="AM35" s="64">
        <v>0</v>
      </c>
      <c r="AN35" s="64">
        <v>0</v>
      </c>
      <c r="AO35" s="64">
        <v>0</v>
      </c>
      <c r="AP35" s="58">
        <f t="shared" si="37"/>
        <v>138192.18</v>
      </c>
      <c r="AQ35" s="64">
        <v>113776.86999999995</v>
      </c>
      <c r="AR35" s="58">
        <f t="shared" ref="AR35:AR43" si="42">+AP35-AQ35</f>
        <v>24415.310000000041</v>
      </c>
      <c r="AT35" s="80">
        <v>138192.18</v>
      </c>
      <c r="AU35" s="65">
        <v>0</v>
      </c>
      <c r="AV35" s="65">
        <v>0</v>
      </c>
      <c r="AW35" s="65">
        <v>0</v>
      </c>
      <c r="AX35" s="65">
        <v>0</v>
      </c>
      <c r="AY35" s="58">
        <f t="shared" si="38"/>
        <v>138192.18</v>
      </c>
      <c r="AZ35" s="64">
        <v>117725</v>
      </c>
      <c r="BA35" s="58">
        <f t="shared" si="39"/>
        <v>20467.179999999993</v>
      </c>
    </row>
    <row r="36" spans="2:53" ht="15" outlineLevel="1" x14ac:dyDescent="0.25">
      <c r="B36" s="1">
        <v>11120400</v>
      </c>
      <c r="C36" s="34" t="str">
        <f t="shared" si="4"/>
        <v>COSTO AL 41274</v>
      </c>
      <c r="D36" s="34" t="str">
        <f t="shared" si="4"/>
        <v>COSTO AL 41639</v>
      </c>
      <c r="E36" s="34" t="str">
        <f t="shared" si="5"/>
        <v>COSTO AL 42004</v>
      </c>
      <c r="F36" s="34" t="str">
        <f t="shared" si="11"/>
        <v>COSTO AL 42369</v>
      </c>
      <c r="G36" s="34" t="str">
        <f t="shared" si="12"/>
        <v>COSTO AL 42735</v>
      </c>
      <c r="H36" s="34" t="str">
        <f t="shared" si="13"/>
        <v>DEPRECIACION 41639</v>
      </c>
      <c r="I36" s="34" t="str">
        <f t="shared" si="14"/>
        <v>DEPRECIACION 42004</v>
      </c>
      <c r="J36" s="34" t="str">
        <f t="shared" si="15"/>
        <v>DEPRECIACION 42369</v>
      </c>
      <c r="K36" s="34" t="str">
        <f t="shared" si="16"/>
        <v>DEPRECIACION 42735</v>
      </c>
      <c r="L36" s="34" t="str">
        <f t="shared" si="17"/>
        <v>VALOR NETO 41639</v>
      </c>
      <c r="M36" s="34" t="str">
        <f t="shared" si="18"/>
        <v>VALOR NETO 42004</v>
      </c>
      <c r="N36" s="34" t="str">
        <f t="shared" si="19"/>
        <v>VALOR NETO 42369</v>
      </c>
      <c r="O36" s="34" t="str">
        <f t="shared" si="20"/>
        <v>VALOR NETO 42735</v>
      </c>
      <c r="P36" s="34" t="str">
        <f t="shared" si="21"/>
        <v>CONEXIÓNSERVIDUMBRE</v>
      </c>
      <c r="Q36" s="34" t="str">
        <f t="shared" si="34"/>
        <v>CONEXIÓN</v>
      </c>
      <c r="R36" s="1" t="s">
        <v>13</v>
      </c>
      <c r="S36" s="35">
        <v>8591.3799999999992</v>
      </c>
      <c r="T36" s="37">
        <v>0</v>
      </c>
      <c r="U36" s="37">
        <v>0</v>
      </c>
      <c r="V36" s="37">
        <v>0</v>
      </c>
      <c r="W36" s="37">
        <v>0</v>
      </c>
      <c r="X36" s="33">
        <f t="shared" si="35"/>
        <v>8591.3799999999992</v>
      </c>
      <c r="Y36" s="33">
        <v>2454.6</v>
      </c>
      <c r="Z36" s="33">
        <f t="shared" si="40"/>
        <v>6136.7799999999988</v>
      </c>
      <c r="AB36" s="64">
        <v>8591.3799999999992</v>
      </c>
      <c r="AC36" s="64">
        <v>0</v>
      </c>
      <c r="AD36" s="64">
        <v>0</v>
      </c>
      <c r="AE36" s="64">
        <v>0</v>
      </c>
      <c r="AF36" s="64">
        <v>0</v>
      </c>
      <c r="AG36" s="58">
        <f t="shared" si="36"/>
        <v>8591.3799999999992</v>
      </c>
      <c r="AH36" s="64">
        <v>2700.06</v>
      </c>
      <c r="AI36" s="58">
        <f t="shared" si="41"/>
        <v>5891.32</v>
      </c>
      <c r="AK36" s="64">
        <v>8591.3799999999992</v>
      </c>
      <c r="AL36" s="64">
        <v>0</v>
      </c>
      <c r="AM36" s="64">
        <v>0</v>
      </c>
      <c r="AN36" s="64">
        <v>0</v>
      </c>
      <c r="AO36" s="64">
        <v>0</v>
      </c>
      <c r="AP36" s="58">
        <f t="shared" si="37"/>
        <v>8591.3799999999992</v>
      </c>
      <c r="AQ36" s="64">
        <v>2945.52</v>
      </c>
      <c r="AR36" s="58">
        <f t="shared" si="42"/>
        <v>5645.8599999999988</v>
      </c>
      <c r="AT36" s="80">
        <v>8591.3799999999992</v>
      </c>
      <c r="AU36" s="65">
        <v>0</v>
      </c>
      <c r="AV36" s="65">
        <v>0</v>
      </c>
      <c r="AW36" s="65">
        <v>0</v>
      </c>
      <c r="AX36" s="65">
        <v>0</v>
      </c>
      <c r="AY36" s="58">
        <f t="shared" si="38"/>
        <v>8591.3799999999992</v>
      </c>
      <c r="AZ36" s="64">
        <v>3191</v>
      </c>
      <c r="BA36" s="58">
        <f t="shared" si="39"/>
        <v>5400.3799999999992</v>
      </c>
    </row>
    <row r="37" spans="2:53" ht="15" outlineLevel="1" x14ac:dyDescent="0.25">
      <c r="B37" s="1">
        <v>11120700</v>
      </c>
      <c r="C37" s="34" t="str">
        <f t="shared" ref="C37:D56" si="43">+INDEX($S$13:$Z$13,0,C$16)</f>
        <v>COSTO AL 41274</v>
      </c>
      <c r="D37" s="34" t="str">
        <f t="shared" si="43"/>
        <v>COSTO AL 41639</v>
      </c>
      <c r="E37" s="34" t="str">
        <f t="shared" si="5"/>
        <v>COSTO AL 42004</v>
      </c>
      <c r="F37" s="34" t="str">
        <f t="shared" si="11"/>
        <v>COSTO AL 42369</v>
      </c>
      <c r="G37" s="34" t="str">
        <f t="shared" si="12"/>
        <v>COSTO AL 42735</v>
      </c>
      <c r="H37" s="34" t="str">
        <f t="shared" si="13"/>
        <v>DEPRECIACION 41639</v>
      </c>
      <c r="I37" s="34" t="str">
        <f t="shared" si="14"/>
        <v>DEPRECIACION 42004</v>
      </c>
      <c r="J37" s="34" t="str">
        <f t="shared" si="15"/>
        <v>DEPRECIACION 42369</v>
      </c>
      <c r="K37" s="34" t="str">
        <f t="shared" si="16"/>
        <v>DEPRECIACION 42735</v>
      </c>
      <c r="L37" s="34" t="str">
        <f t="shared" si="17"/>
        <v>VALOR NETO 41639</v>
      </c>
      <c r="M37" s="34" t="str">
        <f t="shared" si="18"/>
        <v>VALOR NETO 42004</v>
      </c>
      <c r="N37" s="34" t="str">
        <f t="shared" si="19"/>
        <v>VALOR NETO 42369</v>
      </c>
      <c r="O37" s="34" t="str">
        <f t="shared" si="20"/>
        <v>VALOR NETO 42735</v>
      </c>
      <c r="P37" s="34" t="str">
        <f t="shared" si="21"/>
        <v>CONEXIÓNEQUIPO ELÉCTRICO AUXILIAR</v>
      </c>
      <c r="Q37" s="34" t="str">
        <f t="shared" si="34"/>
        <v>CONEXIÓN</v>
      </c>
      <c r="R37" s="1" t="s">
        <v>14</v>
      </c>
      <c r="S37" s="35">
        <v>219682.02</v>
      </c>
      <c r="T37" s="37">
        <v>0</v>
      </c>
      <c r="U37" s="37">
        <v>0</v>
      </c>
      <c r="V37" s="37">
        <v>0</v>
      </c>
      <c r="W37" s="37">
        <v>0</v>
      </c>
      <c r="X37" s="33">
        <f t="shared" si="35"/>
        <v>219682.02</v>
      </c>
      <c r="Y37" s="33">
        <v>140068.86999999997</v>
      </c>
      <c r="Z37" s="33">
        <f t="shared" si="40"/>
        <v>79613.150000000023</v>
      </c>
      <c r="AB37" s="64">
        <v>219682.02</v>
      </c>
      <c r="AC37" s="64">
        <v>0</v>
      </c>
      <c r="AD37" s="64">
        <v>0</v>
      </c>
      <c r="AE37" s="64">
        <v>0</v>
      </c>
      <c r="AF37" s="64">
        <v>0</v>
      </c>
      <c r="AG37" s="58">
        <f t="shared" si="36"/>
        <v>219682.02</v>
      </c>
      <c r="AH37" s="64">
        <v>146345.35999999996</v>
      </c>
      <c r="AI37" s="58">
        <f t="shared" si="41"/>
        <v>73336.660000000033</v>
      </c>
      <c r="AK37" s="64">
        <v>219682.02</v>
      </c>
      <c r="AL37" s="64">
        <v>0</v>
      </c>
      <c r="AM37" s="64">
        <v>0</v>
      </c>
      <c r="AN37" s="64">
        <v>0</v>
      </c>
      <c r="AO37" s="64">
        <v>0</v>
      </c>
      <c r="AP37" s="58">
        <f t="shared" si="37"/>
        <v>219682.02</v>
      </c>
      <c r="AQ37" s="64">
        <v>152621.84999999995</v>
      </c>
      <c r="AR37" s="58">
        <f t="shared" si="42"/>
        <v>67060.170000000042</v>
      </c>
      <c r="AT37" s="80">
        <v>219682.02</v>
      </c>
      <c r="AU37" s="65">
        <v>0</v>
      </c>
      <c r="AV37" s="65">
        <v>0</v>
      </c>
      <c r="AW37" s="65">
        <v>0</v>
      </c>
      <c r="AX37" s="65">
        <v>0</v>
      </c>
      <c r="AY37" s="58">
        <f t="shared" si="38"/>
        <v>219682.02</v>
      </c>
      <c r="AZ37" s="64">
        <v>158898</v>
      </c>
      <c r="BA37" s="58">
        <f t="shared" si="39"/>
        <v>60784.01999999999</v>
      </c>
    </row>
    <row r="38" spans="2:53" ht="15" outlineLevel="1" x14ac:dyDescent="0.25">
      <c r="B38" s="1">
        <v>11121200</v>
      </c>
      <c r="C38" s="34" t="str">
        <f t="shared" si="43"/>
        <v>COSTO AL 41274</v>
      </c>
      <c r="D38" s="34" t="str">
        <f t="shared" si="43"/>
        <v>COSTO AL 41639</v>
      </c>
      <c r="E38" s="34" t="str">
        <f t="shared" si="5"/>
        <v>COSTO AL 42004</v>
      </c>
      <c r="F38" s="34" t="str">
        <f t="shared" si="11"/>
        <v>COSTO AL 42369</v>
      </c>
      <c r="G38" s="34" t="str">
        <f t="shared" si="12"/>
        <v>COSTO AL 42735</v>
      </c>
      <c r="H38" s="34" t="str">
        <f t="shared" si="13"/>
        <v>DEPRECIACION 41639</v>
      </c>
      <c r="I38" s="34" t="str">
        <f t="shared" si="14"/>
        <v>DEPRECIACION 42004</v>
      </c>
      <c r="J38" s="34" t="str">
        <f t="shared" si="15"/>
        <v>DEPRECIACION 42369</v>
      </c>
      <c r="K38" s="34" t="str">
        <f t="shared" si="16"/>
        <v>DEPRECIACION 42735</v>
      </c>
      <c r="L38" s="34" t="str">
        <f t="shared" si="17"/>
        <v>VALOR NETO 41639</v>
      </c>
      <c r="M38" s="34" t="str">
        <f t="shared" si="18"/>
        <v>VALOR NETO 42004</v>
      </c>
      <c r="N38" s="34" t="str">
        <f t="shared" si="19"/>
        <v>VALOR NETO 42369</v>
      </c>
      <c r="O38" s="34" t="str">
        <f t="shared" si="20"/>
        <v>VALOR NETO 42735</v>
      </c>
      <c r="P38" s="34" t="str">
        <f t="shared" si="21"/>
        <v>CONEXIÓNEQUIPO DE SUBESTACIONES</v>
      </c>
      <c r="Q38" s="34" t="str">
        <f t="shared" si="34"/>
        <v>CONEXIÓN</v>
      </c>
      <c r="R38" s="1" t="s">
        <v>16</v>
      </c>
      <c r="S38" s="35">
        <v>5518751.9299999997</v>
      </c>
      <c r="T38" s="37">
        <v>0</v>
      </c>
      <c r="U38" s="37">
        <v>0</v>
      </c>
      <c r="V38" s="37">
        <v>0</v>
      </c>
      <c r="W38" s="37">
        <v>0</v>
      </c>
      <c r="X38" s="33">
        <f t="shared" si="35"/>
        <v>5518751.9299999997</v>
      </c>
      <c r="Y38" s="33">
        <v>3823560.44</v>
      </c>
      <c r="Z38" s="33">
        <f t="shared" si="40"/>
        <v>1695191.4899999998</v>
      </c>
      <c r="AB38" s="64">
        <v>5518751.9299999997</v>
      </c>
      <c r="AC38" s="64">
        <v>539966.18999999994</v>
      </c>
      <c r="AD38" s="64">
        <v>0</v>
      </c>
      <c r="AE38" s="64">
        <v>0</v>
      </c>
      <c r="AF38" s="64">
        <v>0</v>
      </c>
      <c r="AG38" s="58">
        <f t="shared" si="36"/>
        <v>6058718.1199999992</v>
      </c>
      <c r="AH38" s="64">
        <v>3997406.52</v>
      </c>
      <c r="AI38" s="58">
        <f t="shared" si="41"/>
        <v>2061311.5999999992</v>
      </c>
      <c r="AK38" s="64">
        <v>6058718.1199999992</v>
      </c>
      <c r="AL38" s="64">
        <v>0</v>
      </c>
      <c r="AM38" s="64">
        <v>0</v>
      </c>
      <c r="AN38" s="64">
        <v>0</v>
      </c>
      <c r="AO38" s="64">
        <v>0</v>
      </c>
      <c r="AP38" s="58">
        <f t="shared" si="37"/>
        <v>6058718.1199999992</v>
      </c>
      <c r="AQ38" s="64">
        <v>4170511.45</v>
      </c>
      <c r="AR38" s="58">
        <f t="shared" si="42"/>
        <v>1888206.669999999</v>
      </c>
      <c r="AT38" s="80">
        <v>6058718.1199999992</v>
      </c>
      <c r="AU38" s="65">
        <v>311873</v>
      </c>
      <c r="AV38" s="65">
        <v>0</v>
      </c>
      <c r="AW38" s="65">
        <v>0</v>
      </c>
      <c r="AX38" s="65">
        <v>0</v>
      </c>
      <c r="AY38" s="58">
        <f t="shared" si="38"/>
        <v>6370591.1199999992</v>
      </c>
      <c r="AZ38" s="64">
        <v>4360695</v>
      </c>
      <c r="BA38" s="58">
        <f t="shared" si="39"/>
        <v>2009896.1199999992</v>
      </c>
    </row>
    <row r="39" spans="2:53" ht="15" outlineLevel="1" x14ac:dyDescent="0.25">
      <c r="B39" s="1">
        <v>11121400</v>
      </c>
      <c r="C39" s="34" t="str">
        <f t="shared" si="43"/>
        <v>COSTO AL 41274</v>
      </c>
      <c r="D39" s="34" t="str">
        <f t="shared" si="43"/>
        <v>COSTO AL 41639</v>
      </c>
      <c r="E39" s="34" t="str">
        <f t="shared" si="5"/>
        <v>COSTO AL 42004</v>
      </c>
      <c r="F39" s="34" t="str">
        <f t="shared" si="11"/>
        <v>COSTO AL 42369</v>
      </c>
      <c r="G39" s="34" t="str">
        <f t="shared" si="12"/>
        <v>COSTO AL 42735</v>
      </c>
      <c r="H39" s="34" t="str">
        <f t="shared" si="13"/>
        <v>DEPRECIACION 41639</v>
      </c>
      <c r="I39" s="34" t="str">
        <f t="shared" si="14"/>
        <v>DEPRECIACION 42004</v>
      </c>
      <c r="J39" s="34" t="str">
        <f t="shared" si="15"/>
        <v>DEPRECIACION 42369</v>
      </c>
      <c r="K39" s="34" t="str">
        <f t="shared" si="16"/>
        <v>DEPRECIACION 42735</v>
      </c>
      <c r="L39" s="34" t="str">
        <f t="shared" si="17"/>
        <v>VALOR NETO 41639</v>
      </c>
      <c r="M39" s="34" t="str">
        <f t="shared" si="18"/>
        <v>VALOR NETO 42004</v>
      </c>
      <c r="N39" s="34" t="str">
        <f t="shared" si="19"/>
        <v>VALOR NETO 42369</v>
      </c>
      <c r="O39" s="34" t="str">
        <f t="shared" si="20"/>
        <v>VALOR NETO 42735</v>
      </c>
      <c r="P39" s="34" t="str">
        <f t="shared" si="21"/>
        <v>CONEXIÓNTORRES Y ACCESORIOS</v>
      </c>
      <c r="Q39" s="34" t="str">
        <f t="shared" si="34"/>
        <v>CONEXIÓN</v>
      </c>
      <c r="R39" s="1" t="s">
        <v>17</v>
      </c>
      <c r="S39" s="35">
        <v>2037750.78</v>
      </c>
      <c r="T39" s="37">
        <v>0</v>
      </c>
      <c r="U39" s="37">
        <v>0</v>
      </c>
      <c r="V39" s="37">
        <v>0</v>
      </c>
      <c r="W39" s="37">
        <v>0</v>
      </c>
      <c r="X39" s="33">
        <f t="shared" si="35"/>
        <v>2037750.78</v>
      </c>
      <c r="Y39" s="33">
        <v>1688098.7300000004</v>
      </c>
      <c r="Z39" s="33">
        <f t="shared" si="40"/>
        <v>349652.04999999958</v>
      </c>
      <c r="AB39" s="64">
        <v>2037750.78</v>
      </c>
      <c r="AC39" s="64">
        <v>0</v>
      </c>
      <c r="AD39" s="64">
        <v>0</v>
      </c>
      <c r="AE39" s="64">
        <v>0</v>
      </c>
      <c r="AF39" s="64">
        <v>0</v>
      </c>
      <c r="AG39" s="58">
        <f t="shared" si="36"/>
        <v>2037750.78</v>
      </c>
      <c r="AH39" s="64">
        <v>1739042.0600000005</v>
      </c>
      <c r="AI39" s="58">
        <f t="shared" si="41"/>
        <v>298708.71999999951</v>
      </c>
      <c r="AK39" s="64">
        <v>2037750.78</v>
      </c>
      <c r="AL39" s="64">
        <v>0</v>
      </c>
      <c r="AM39" s="64">
        <v>0</v>
      </c>
      <c r="AN39" s="64">
        <v>0</v>
      </c>
      <c r="AO39" s="64">
        <v>0</v>
      </c>
      <c r="AP39" s="58">
        <f t="shared" si="37"/>
        <v>2037750.78</v>
      </c>
      <c r="AQ39" s="64">
        <v>1789985.3900000006</v>
      </c>
      <c r="AR39" s="58">
        <f t="shared" si="42"/>
        <v>247765.38999999943</v>
      </c>
      <c r="AT39" s="80">
        <v>2037750.78</v>
      </c>
      <c r="AU39" s="65">
        <v>0</v>
      </c>
      <c r="AV39" s="65">
        <v>0</v>
      </c>
      <c r="AW39" s="65">
        <v>0</v>
      </c>
      <c r="AX39" s="65">
        <v>0</v>
      </c>
      <c r="AY39" s="58">
        <f t="shared" si="38"/>
        <v>2037750.78</v>
      </c>
      <c r="AZ39" s="64">
        <v>1840928.5</v>
      </c>
      <c r="BA39" s="58">
        <f t="shared" si="39"/>
        <v>196822.28000000003</v>
      </c>
    </row>
    <row r="40" spans="2:53" ht="15" outlineLevel="1" x14ac:dyDescent="0.25">
      <c r="B40" s="1">
        <v>11121500</v>
      </c>
      <c r="C40" s="34" t="str">
        <f t="shared" si="43"/>
        <v>COSTO AL 41274</v>
      </c>
      <c r="D40" s="34" t="str">
        <f t="shared" si="43"/>
        <v>COSTO AL 41639</v>
      </c>
      <c r="E40" s="34" t="str">
        <f t="shared" si="5"/>
        <v>COSTO AL 42004</v>
      </c>
      <c r="F40" s="34" t="str">
        <f t="shared" si="11"/>
        <v>COSTO AL 42369</v>
      </c>
      <c r="G40" s="34" t="str">
        <f t="shared" si="12"/>
        <v>COSTO AL 42735</v>
      </c>
      <c r="H40" s="34" t="str">
        <f t="shared" si="13"/>
        <v>DEPRECIACION 41639</v>
      </c>
      <c r="I40" s="34" t="str">
        <f t="shared" si="14"/>
        <v>DEPRECIACION 42004</v>
      </c>
      <c r="J40" s="34" t="str">
        <f t="shared" si="15"/>
        <v>DEPRECIACION 42369</v>
      </c>
      <c r="K40" s="34" t="str">
        <f t="shared" si="16"/>
        <v>DEPRECIACION 42735</v>
      </c>
      <c r="L40" s="34" t="str">
        <f t="shared" si="17"/>
        <v>VALOR NETO 41639</v>
      </c>
      <c r="M40" s="34" t="str">
        <f t="shared" si="18"/>
        <v>VALOR NETO 42004</v>
      </c>
      <c r="N40" s="34" t="str">
        <f t="shared" si="19"/>
        <v>VALOR NETO 42369</v>
      </c>
      <c r="O40" s="34" t="str">
        <f t="shared" si="20"/>
        <v>VALOR NETO 42735</v>
      </c>
      <c r="P40" s="34" t="str">
        <f t="shared" si="21"/>
        <v>CONEXIÓNCONDUCTORES AÉREOS Y ACCESORIOS</v>
      </c>
      <c r="Q40" s="34" t="str">
        <f t="shared" si="34"/>
        <v>CONEXIÓN</v>
      </c>
      <c r="R40" s="1" t="s">
        <v>18</v>
      </c>
      <c r="S40" s="35">
        <v>407101.57</v>
      </c>
      <c r="T40" s="37">
        <v>0</v>
      </c>
      <c r="U40" s="37">
        <v>0</v>
      </c>
      <c r="V40" s="37">
        <v>0</v>
      </c>
      <c r="W40" s="37">
        <v>0</v>
      </c>
      <c r="X40" s="33">
        <f t="shared" si="35"/>
        <v>407101.57</v>
      </c>
      <c r="Y40" s="33">
        <v>359263.09</v>
      </c>
      <c r="Z40" s="33">
        <f t="shared" si="40"/>
        <v>47838.479999999981</v>
      </c>
      <c r="AB40" s="64">
        <v>407101.57</v>
      </c>
      <c r="AC40" s="64">
        <v>0</v>
      </c>
      <c r="AD40" s="64">
        <v>0</v>
      </c>
      <c r="AE40" s="64">
        <v>0</v>
      </c>
      <c r="AF40" s="64">
        <v>0</v>
      </c>
      <c r="AG40" s="58">
        <f t="shared" si="36"/>
        <v>407101.57</v>
      </c>
      <c r="AH40" s="64">
        <v>369842.19</v>
      </c>
      <c r="AI40" s="58">
        <f t="shared" si="41"/>
        <v>37259.380000000005</v>
      </c>
      <c r="AK40" s="64">
        <v>407101.57</v>
      </c>
      <c r="AL40" s="64">
        <v>0</v>
      </c>
      <c r="AM40" s="64">
        <v>0</v>
      </c>
      <c r="AN40" s="64">
        <v>0</v>
      </c>
      <c r="AO40" s="64">
        <v>0</v>
      </c>
      <c r="AP40" s="58">
        <f t="shared" si="37"/>
        <v>407101.57</v>
      </c>
      <c r="AQ40" s="64">
        <v>375074.05</v>
      </c>
      <c r="AR40" s="58">
        <f t="shared" si="42"/>
        <v>32027.520000000019</v>
      </c>
      <c r="AT40" s="80">
        <v>407101.57</v>
      </c>
      <c r="AU40" s="65">
        <v>392049</v>
      </c>
      <c r="AV40" s="65">
        <v>0</v>
      </c>
      <c r="AW40" s="65">
        <v>0</v>
      </c>
      <c r="AX40" s="65">
        <v>0</v>
      </c>
      <c r="AY40" s="58">
        <f t="shared" si="38"/>
        <v>799150.57000000007</v>
      </c>
      <c r="AZ40" s="64">
        <v>401456</v>
      </c>
      <c r="BA40" s="58">
        <f t="shared" si="39"/>
        <v>397694.57000000007</v>
      </c>
    </row>
    <row r="41" spans="2:53" ht="15" outlineLevel="1" x14ac:dyDescent="0.25">
      <c r="C41" s="34" t="str">
        <f t="shared" si="43"/>
        <v>COSTO AL 41274</v>
      </c>
      <c r="D41" s="34" t="str">
        <f t="shared" si="43"/>
        <v>COSTO AL 41639</v>
      </c>
      <c r="E41" s="34" t="str">
        <f t="shared" si="5"/>
        <v>COSTO AL 42004</v>
      </c>
      <c r="F41" s="34" t="str">
        <f t="shared" si="11"/>
        <v>COSTO AL 42369</v>
      </c>
      <c r="G41" s="34" t="str">
        <f t="shared" si="12"/>
        <v>COSTO AL 42735</v>
      </c>
      <c r="H41" s="34" t="str">
        <f t="shared" si="13"/>
        <v>DEPRECIACION 41639</v>
      </c>
      <c r="I41" s="34" t="str">
        <f t="shared" si="14"/>
        <v>DEPRECIACION 42004</v>
      </c>
      <c r="J41" s="34" t="str">
        <f t="shared" si="15"/>
        <v>DEPRECIACION 42369</v>
      </c>
      <c r="K41" s="34" t="str">
        <f t="shared" si="16"/>
        <v>DEPRECIACION 42735</v>
      </c>
      <c r="L41" s="34" t="str">
        <f t="shared" si="17"/>
        <v>VALOR NETO 41639</v>
      </c>
      <c r="M41" s="34" t="str">
        <f t="shared" si="18"/>
        <v>VALOR NETO 42004</v>
      </c>
      <c r="N41" s="34" t="str">
        <f t="shared" si="19"/>
        <v>VALOR NETO 42369</v>
      </c>
      <c r="O41" s="34" t="str">
        <f t="shared" si="20"/>
        <v>VALOR NETO 42735</v>
      </c>
      <c r="P41" s="34" t="str">
        <f t="shared" ref="P41" si="44">+CONCATENATE(Q41,R41)</f>
        <v>CONEXIÓNEQUIPO DE COMUNICACIÓN</v>
      </c>
      <c r="Q41" s="34" t="str">
        <f t="shared" si="34"/>
        <v>CONEXIÓN</v>
      </c>
      <c r="R41" s="1" t="s">
        <v>20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3">
        <f t="shared" si="35"/>
        <v>0</v>
      </c>
      <c r="Y41" s="33">
        <v>0</v>
      </c>
      <c r="Z41" s="33">
        <f t="shared" si="40"/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33">
        <f t="shared" si="36"/>
        <v>0</v>
      </c>
      <c r="AH41" s="64">
        <v>0</v>
      </c>
      <c r="AI41" s="33">
        <f t="shared" si="41"/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33">
        <f t="shared" si="37"/>
        <v>0</v>
      </c>
      <c r="AQ41" s="64">
        <v>0</v>
      </c>
      <c r="AR41" s="33">
        <f t="shared" si="42"/>
        <v>0</v>
      </c>
      <c r="AT41" s="80">
        <v>0</v>
      </c>
      <c r="AU41" s="65">
        <v>186342</v>
      </c>
      <c r="AV41" s="65">
        <v>0</v>
      </c>
      <c r="AW41" s="65">
        <v>0</v>
      </c>
      <c r="AX41" s="65">
        <v>0</v>
      </c>
      <c r="AY41" s="58">
        <v>186342</v>
      </c>
      <c r="AZ41" s="64">
        <v>35715.57</v>
      </c>
      <c r="BA41" s="58">
        <f>+AY41-AZ41</f>
        <v>150626.43</v>
      </c>
    </row>
    <row r="42" spans="2:53" ht="15" outlineLevel="1" x14ac:dyDescent="0.25">
      <c r="B42" s="1">
        <v>11121900</v>
      </c>
      <c r="C42" s="34" t="str">
        <f t="shared" si="43"/>
        <v>COSTO AL 41274</v>
      </c>
      <c r="D42" s="34" t="str">
        <f t="shared" si="43"/>
        <v>COSTO AL 41639</v>
      </c>
      <c r="E42" s="34" t="str">
        <f t="shared" si="5"/>
        <v>COSTO AL 42004</v>
      </c>
      <c r="F42" s="34" t="str">
        <f t="shared" si="11"/>
        <v>COSTO AL 42369</v>
      </c>
      <c r="G42" s="34" t="str">
        <f t="shared" si="12"/>
        <v>COSTO AL 42735</v>
      </c>
      <c r="H42" s="34" t="str">
        <f t="shared" si="13"/>
        <v>DEPRECIACION 41639</v>
      </c>
      <c r="I42" s="34" t="str">
        <f t="shared" si="14"/>
        <v>DEPRECIACION 42004</v>
      </c>
      <c r="J42" s="34" t="str">
        <f t="shared" si="15"/>
        <v>DEPRECIACION 42369</v>
      </c>
      <c r="K42" s="34" t="str">
        <f t="shared" si="16"/>
        <v>DEPRECIACION 42735</v>
      </c>
      <c r="L42" s="34" t="str">
        <f t="shared" si="17"/>
        <v>VALOR NETO 41639</v>
      </c>
      <c r="M42" s="34" t="str">
        <f t="shared" si="18"/>
        <v>VALOR NETO 42004</v>
      </c>
      <c r="N42" s="34" t="str">
        <f t="shared" si="19"/>
        <v>VALOR NETO 42369</v>
      </c>
      <c r="O42" s="34" t="str">
        <f t="shared" si="20"/>
        <v>VALOR NETO 42735</v>
      </c>
      <c r="P42" s="34" t="str">
        <f t="shared" si="21"/>
        <v>CONEXIÓNTRANSFORMADORES DE LÍNEAS</v>
      </c>
      <c r="Q42" s="34" t="str">
        <f t="shared" si="34"/>
        <v>CONEXIÓN</v>
      </c>
      <c r="R42" s="1" t="s">
        <v>21</v>
      </c>
      <c r="S42" s="35">
        <v>12821847.01</v>
      </c>
      <c r="T42" s="37">
        <v>4123150.94</v>
      </c>
      <c r="U42" s="37">
        <v>28366.46</v>
      </c>
      <c r="V42" s="37">
        <v>2786994.18</v>
      </c>
      <c r="W42" s="37">
        <v>0</v>
      </c>
      <c r="X42" s="33">
        <f t="shared" si="35"/>
        <v>19703625.669999998</v>
      </c>
      <c r="Y42" s="33">
        <v>7333925.79</v>
      </c>
      <c r="Z42" s="33">
        <f t="shared" si="40"/>
        <v>12369699.879999999</v>
      </c>
      <c r="AB42" s="64">
        <v>19703625.669999998</v>
      </c>
      <c r="AC42" s="64">
        <v>0</v>
      </c>
      <c r="AD42" s="64">
        <v>0</v>
      </c>
      <c r="AE42" s="64">
        <v>0</v>
      </c>
      <c r="AF42" s="64">
        <v>-349817.49</v>
      </c>
      <c r="AG42" s="58">
        <f t="shared" si="36"/>
        <v>19353808.18</v>
      </c>
      <c r="AH42" s="64">
        <v>7743671.3100000005</v>
      </c>
      <c r="AI42" s="58">
        <f t="shared" si="41"/>
        <v>11610136.869999999</v>
      </c>
      <c r="AK42" s="64">
        <v>19353808.18</v>
      </c>
      <c r="AL42" s="64">
        <v>0</v>
      </c>
      <c r="AM42" s="64">
        <v>0</v>
      </c>
      <c r="AN42" s="64">
        <v>0</v>
      </c>
      <c r="AO42" s="64">
        <v>0</v>
      </c>
      <c r="AP42" s="58">
        <f t="shared" si="37"/>
        <v>19353808.18</v>
      </c>
      <c r="AQ42" s="64">
        <v>8154249.7500000009</v>
      </c>
      <c r="AR42" s="58">
        <f t="shared" si="42"/>
        <v>11199558.43</v>
      </c>
      <c r="AT42" s="80">
        <v>19353808.18</v>
      </c>
      <c r="AU42" s="65">
        <v>0</v>
      </c>
      <c r="AV42" s="65">
        <v>0</v>
      </c>
      <c r="AW42" s="65">
        <v>0</v>
      </c>
      <c r="AX42" s="65">
        <v>0</v>
      </c>
      <c r="AY42" s="58">
        <f>+AT42+AU42-AV42+AW42+AX42</f>
        <v>19353808.18</v>
      </c>
      <c r="AZ42" s="64">
        <v>8564828</v>
      </c>
      <c r="BA42" s="58">
        <f>+AY42-AZ42</f>
        <v>10788980.18</v>
      </c>
    </row>
    <row r="43" spans="2:53" ht="15" outlineLevel="1" x14ac:dyDescent="0.25">
      <c r="B43" s="1">
        <v>11122000</v>
      </c>
      <c r="C43" s="34" t="str">
        <f t="shared" si="43"/>
        <v>COSTO AL 41274</v>
      </c>
      <c r="D43" s="34" t="str">
        <f t="shared" si="43"/>
        <v>COSTO AL 41639</v>
      </c>
      <c r="E43" s="34" t="str">
        <f t="shared" si="5"/>
        <v>COSTO AL 42004</v>
      </c>
      <c r="F43" s="34" t="str">
        <f t="shared" si="11"/>
        <v>COSTO AL 42369</v>
      </c>
      <c r="G43" s="34" t="str">
        <f t="shared" si="12"/>
        <v>COSTO AL 42735</v>
      </c>
      <c r="H43" s="34" t="str">
        <f t="shared" si="13"/>
        <v>DEPRECIACION 41639</v>
      </c>
      <c r="I43" s="34" t="str">
        <f t="shared" si="14"/>
        <v>DEPRECIACION 42004</v>
      </c>
      <c r="J43" s="34" t="str">
        <f t="shared" si="15"/>
        <v>DEPRECIACION 42369</v>
      </c>
      <c r="K43" s="34" t="str">
        <f t="shared" si="16"/>
        <v>DEPRECIACION 42735</v>
      </c>
      <c r="L43" s="34" t="str">
        <f t="shared" si="17"/>
        <v>VALOR NETO 41639</v>
      </c>
      <c r="M43" s="34" t="str">
        <f t="shared" si="18"/>
        <v>VALOR NETO 42004</v>
      </c>
      <c r="N43" s="34" t="str">
        <f t="shared" si="19"/>
        <v>VALOR NETO 42369</v>
      </c>
      <c r="O43" s="34" t="str">
        <f t="shared" si="20"/>
        <v>VALOR NETO 42735</v>
      </c>
      <c r="P43" s="34" t="str">
        <f t="shared" si="21"/>
        <v>CONEXIÓNEQUIPO DE PROTECCIÓN, CONTROL Y</v>
      </c>
      <c r="Q43" s="34" t="str">
        <f t="shared" si="34"/>
        <v>CONEXIÓN</v>
      </c>
      <c r="R43" s="1" t="s">
        <v>22</v>
      </c>
      <c r="S43" s="35">
        <v>161016.65</v>
      </c>
      <c r="T43" s="37">
        <v>0</v>
      </c>
      <c r="U43" s="37">
        <v>0</v>
      </c>
      <c r="V43" s="37">
        <v>0</v>
      </c>
      <c r="W43" s="37">
        <v>0</v>
      </c>
      <c r="X43" s="33">
        <f t="shared" si="35"/>
        <v>161016.65</v>
      </c>
      <c r="Y43" s="33">
        <v>161016.65000000002</v>
      </c>
      <c r="Z43" s="33">
        <f t="shared" si="40"/>
        <v>0</v>
      </c>
      <c r="AB43" s="64">
        <v>161016.65</v>
      </c>
      <c r="AC43" s="64">
        <v>0</v>
      </c>
      <c r="AD43" s="64">
        <v>0</v>
      </c>
      <c r="AE43" s="64">
        <v>0</v>
      </c>
      <c r="AF43" s="64">
        <v>0</v>
      </c>
      <c r="AG43" s="58">
        <f t="shared" si="36"/>
        <v>161016.65</v>
      </c>
      <c r="AH43" s="64">
        <v>161016.65000000002</v>
      </c>
      <c r="AI43" s="58">
        <f t="shared" si="41"/>
        <v>0</v>
      </c>
      <c r="AK43" s="66">
        <v>161016.65</v>
      </c>
      <c r="AL43" s="64">
        <v>0</v>
      </c>
      <c r="AM43" s="64">
        <v>0</v>
      </c>
      <c r="AN43" s="64">
        <v>0</v>
      </c>
      <c r="AO43" s="64">
        <v>0</v>
      </c>
      <c r="AP43" s="58">
        <f t="shared" si="37"/>
        <v>161016.65</v>
      </c>
      <c r="AQ43" s="64">
        <v>161016.65000000002</v>
      </c>
      <c r="AR43" s="58">
        <f t="shared" si="42"/>
        <v>0</v>
      </c>
      <c r="AT43" s="81">
        <v>161016.64499999999</v>
      </c>
      <c r="AU43" s="65">
        <v>450997.6</v>
      </c>
      <c r="AV43" s="65">
        <v>0</v>
      </c>
      <c r="AW43" s="65">
        <v>0</v>
      </c>
      <c r="AX43" s="65">
        <v>0</v>
      </c>
      <c r="AY43" s="58">
        <f>+AT43+AU43-AV43+AW43+AX43</f>
        <v>612014.245</v>
      </c>
      <c r="AZ43" s="64">
        <v>246704</v>
      </c>
      <c r="BA43" s="58">
        <f>+AY43-AZ43</f>
        <v>365310.245</v>
      </c>
    </row>
    <row r="44" spans="2:53" ht="13.5" thickBot="1" x14ac:dyDescent="0.25">
      <c r="C44" s="34" t="str">
        <f t="shared" si="43"/>
        <v>COSTO AL 41274</v>
      </c>
      <c r="D44" s="34" t="str">
        <f t="shared" si="43"/>
        <v>COSTO AL 41639</v>
      </c>
      <c r="E44" s="34" t="str">
        <f t="shared" si="5"/>
        <v>COSTO AL 42004</v>
      </c>
      <c r="F44" s="34" t="str">
        <f t="shared" si="11"/>
        <v>COSTO AL 42369</v>
      </c>
      <c r="G44" s="34" t="str">
        <f t="shared" si="12"/>
        <v>COSTO AL 42735</v>
      </c>
      <c r="H44" s="34" t="str">
        <f t="shared" si="13"/>
        <v>DEPRECIACION 41639</v>
      </c>
      <c r="I44" s="34" t="str">
        <f t="shared" si="14"/>
        <v>DEPRECIACION 42004</v>
      </c>
      <c r="J44" s="34" t="str">
        <f t="shared" si="15"/>
        <v>DEPRECIACION 42369</v>
      </c>
      <c r="K44" s="34" t="str">
        <f t="shared" si="16"/>
        <v>DEPRECIACION 42735</v>
      </c>
      <c r="L44" s="34" t="str">
        <f t="shared" si="17"/>
        <v>VALOR NETO 41639</v>
      </c>
      <c r="M44" s="34" t="str">
        <f t="shared" si="18"/>
        <v>VALOR NETO 42004</v>
      </c>
      <c r="N44" s="34" t="str">
        <f t="shared" si="19"/>
        <v>VALOR NETO 42369</v>
      </c>
      <c r="O44" s="34" t="str">
        <f t="shared" si="20"/>
        <v>VALOR NETO 42735</v>
      </c>
      <c r="P44" s="34" t="str">
        <f t="shared" si="21"/>
        <v>CONEXIÓNSUB TOTAL</v>
      </c>
      <c r="Q44" s="34" t="str">
        <f t="shared" si="34"/>
        <v>CONEXIÓN</v>
      </c>
      <c r="R44" s="38" t="s">
        <v>25</v>
      </c>
      <c r="S44" s="39">
        <f t="shared" ref="S44:Z44" si="45">SUM(S34:S43)</f>
        <v>22083770.599999998</v>
      </c>
      <c r="T44" s="39">
        <f t="shared" si="45"/>
        <v>4123150.94</v>
      </c>
      <c r="U44" s="39">
        <f t="shared" si="45"/>
        <v>28366.46</v>
      </c>
      <c r="V44" s="39">
        <f t="shared" si="45"/>
        <v>2786994.18</v>
      </c>
      <c r="W44" s="39">
        <f t="shared" si="45"/>
        <v>0</v>
      </c>
      <c r="X44" s="52">
        <f t="shared" si="45"/>
        <v>28965549.259999998</v>
      </c>
      <c r="Y44" s="52">
        <f t="shared" si="45"/>
        <v>13614268.459999999</v>
      </c>
      <c r="Z44" s="52">
        <f t="shared" si="45"/>
        <v>15351280.799999999</v>
      </c>
      <c r="AB44" s="59">
        <f t="shared" ref="AB44:AI44" si="46">SUM(AB34:AB43)</f>
        <v>28965549.259999998</v>
      </c>
      <c r="AC44" s="59">
        <f t="shared" si="46"/>
        <v>539966.18999999994</v>
      </c>
      <c r="AD44" s="59">
        <f t="shared" si="46"/>
        <v>0</v>
      </c>
      <c r="AE44" s="59">
        <f t="shared" si="46"/>
        <v>0</v>
      </c>
      <c r="AF44" s="59">
        <f t="shared" si="46"/>
        <v>-349817.49</v>
      </c>
      <c r="AG44" s="70">
        <f t="shared" si="46"/>
        <v>29155697.959999997</v>
      </c>
      <c r="AH44" s="70">
        <f t="shared" si="46"/>
        <v>14269852.730000002</v>
      </c>
      <c r="AI44" s="70">
        <f t="shared" si="46"/>
        <v>14885845.229999997</v>
      </c>
      <c r="AK44" s="70">
        <f t="shared" ref="AK44:AR44" si="47">SUM(AK34:AK43)</f>
        <v>29155697.959999997</v>
      </c>
      <c r="AL44" s="70">
        <f t="shared" si="47"/>
        <v>0</v>
      </c>
      <c r="AM44" s="70">
        <f t="shared" si="47"/>
        <v>0</v>
      </c>
      <c r="AN44" s="70">
        <f t="shared" si="47"/>
        <v>0</v>
      </c>
      <c r="AO44" s="70">
        <f t="shared" si="47"/>
        <v>0</v>
      </c>
      <c r="AP44" s="70">
        <f t="shared" si="47"/>
        <v>29155697.959999997</v>
      </c>
      <c r="AQ44" s="70">
        <f t="shared" si="47"/>
        <v>14920181.530000003</v>
      </c>
      <c r="AR44" s="70">
        <f t="shared" si="47"/>
        <v>14235516.429999998</v>
      </c>
      <c r="AT44" s="21">
        <f t="shared" ref="AT44:BA44" si="48">SUM(AT34:AT43)</f>
        <v>29155697.954999998</v>
      </c>
      <c r="AU44" s="21">
        <f t="shared" si="48"/>
        <v>1341261.6000000001</v>
      </c>
      <c r="AV44" s="21">
        <f t="shared" si="48"/>
        <v>0</v>
      </c>
      <c r="AW44" s="21">
        <f t="shared" si="48"/>
        <v>0</v>
      </c>
      <c r="AX44" s="21">
        <f t="shared" si="48"/>
        <v>0</v>
      </c>
      <c r="AY44" s="21">
        <f t="shared" si="48"/>
        <v>30496959.555</v>
      </c>
      <c r="AZ44" s="21">
        <f t="shared" si="48"/>
        <v>15730141.07</v>
      </c>
      <c r="BA44" s="21">
        <f t="shared" si="48"/>
        <v>14766818.484999999</v>
      </c>
    </row>
    <row r="45" spans="2:53" ht="13.5" thickTop="1" x14ac:dyDescent="0.2">
      <c r="C45" s="34" t="str">
        <f t="shared" si="43"/>
        <v>COSTO AL 41274</v>
      </c>
      <c r="D45" s="34" t="str">
        <f t="shared" si="43"/>
        <v>COSTO AL 41639</v>
      </c>
      <c r="E45" s="34" t="str">
        <f t="shared" si="5"/>
        <v>COSTO AL 42004</v>
      </c>
      <c r="F45" s="34" t="str">
        <f t="shared" si="11"/>
        <v>COSTO AL 42369</v>
      </c>
      <c r="G45" s="34" t="str">
        <f t="shared" si="12"/>
        <v>COSTO AL 42735</v>
      </c>
      <c r="H45" s="34" t="str">
        <f t="shared" si="13"/>
        <v>DEPRECIACION 41639</v>
      </c>
      <c r="I45" s="34" t="str">
        <f t="shared" si="14"/>
        <v>DEPRECIACION 42004</v>
      </c>
      <c r="J45" s="34" t="str">
        <f t="shared" si="15"/>
        <v>DEPRECIACION 42369</v>
      </c>
      <c r="K45" s="34" t="str">
        <f t="shared" si="16"/>
        <v>DEPRECIACION 42735</v>
      </c>
      <c r="L45" s="34" t="str">
        <f t="shared" si="17"/>
        <v>VALOR NETO 41639</v>
      </c>
      <c r="M45" s="34" t="str">
        <f t="shared" si="18"/>
        <v>VALOR NETO 42004</v>
      </c>
      <c r="N45" s="34" t="str">
        <f t="shared" si="19"/>
        <v>VALOR NETO 42369</v>
      </c>
      <c r="O45" s="34" t="str">
        <f t="shared" si="20"/>
        <v>VALOR NETO 42735</v>
      </c>
      <c r="P45" s="34" t="str">
        <f t="shared" si="21"/>
        <v>CENTRO NACIONAL DE DESPACHO</v>
      </c>
      <c r="Q45" s="34"/>
      <c r="R45" s="54" t="s">
        <v>27</v>
      </c>
      <c r="T45" s="34"/>
      <c r="U45" s="34"/>
      <c r="V45" s="34"/>
      <c r="W45" s="34"/>
      <c r="X45" s="33"/>
      <c r="Y45" s="33"/>
      <c r="Z45" s="33"/>
      <c r="AB45" s="57"/>
      <c r="AC45" s="57"/>
      <c r="AD45" s="57"/>
      <c r="AE45" s="57"/>
      <c r="AF45" s="57"/>
      <c r="AG45" s="58"/>
      <c r="AH45" s="58"/>
      <c r="AI45" s="58"/>
      <c r="AK45" s="58"/>
      <c r="AL45" s="58"/>
      <c r="AM45" s="58"/>
      <c r="AN45" s="58"/>
      <c r="AO45" s="58"/>
      <c r="AP45" s="58"/>
      <c r="AQ45" s="58"/>
      <c r="AR45" s="58"/>
    </row>
    <row r="46" spans="2:53" ht="15" outlineLevel="1" x14ac:dyDescent="0.25">
      <c r="B46" s="1">
        <v>11130200</v>
      </c>
      <c r="C46" s="34" t="str">
        <f t="shared" si="43"/>
        <v>COSTO AL 41274</v>
      </c>
      <c r="D46" s="34" t="str">
        <f t="shared" si="43"/>
        <v>COSTO AL 41639</v>
      </c>
      <c r="E46" s="34" t="str">
        <f t="shared" si="5"/>
        <v>COSTO AL 42004</v>
      </c>
      <c r="F46" s="34" t="str">
        <f t="shared" si="11"/>
        <v>COSTO AL 42369</v>
      </c>
      <c r="G46" s="34" t="str">
        <f t="shared" si="12"/>
        <v>COSTO AL 42735</v>
      </c>
      <c r="H46" s="34" t="str">
        <f t="shared" si="13"/>
        <v>DEPRECIACION 41639</v>
      </c>
      <c r="I46" s="34" t="str">
        <f t="shared" si="14"/>
        <v>DEPRECIACION 42004</v>
      </c>
      <c r="J46" s="34" t="str">
        <f t="shared" si="15"/>
        <v>DEPRECIACION 42369</v>
      </c>
      <c r="K46" s="34" t="str">
        <f t="shared" si="16"/>
        <v>DEPRECIACION 42735</v>
      </c>
      <c r="L46" s="34" t="str">
        <f t="shared" si="17"/>
        <v>VALOR NETO 41639</v>
      </c>
      <c r="M46" s="34" t="str">
        <f t="shared" si="18"/>
        <v>VALOR NETO 42004</v>
      </c>
      <c r="N46" s="34" t="str">
        <f t="shared" si="19"/>
        <v>VALOR NETO 42369</v>
      </c>
      <c r="O46" s="34" t="str">
        <f t="shared" si="20"/>
        <v>VALOR NETO 42735</v>
      </c>
      <c r="P46" s="34" t="str">
        <f t="shared" si="21"/>
        <v>CENTRO NACIONAL DE DESPACHOEDIFICIOS Y MEJORAS</v>
      </c>
      <c r="Q46" s="34" t="str">
        <f t="shared" ref="Q46:Q53" si="49">+$R$45</f>
        <v>CENTRO NACIONAL DE DESPACHO</v>
      </c>
      <c r="R46" s="1" t="s">
        <v>11</v>
      </c>
      <c r="S46" s="37">
        <v>1421893.43</v>
      </c>
      <c r="T46" s="37">
        <v>280536.2</v>
      </c>
      <c r="U46" s="37">
        <v>6756.34</v>
      </c>
      <c r="V46" s="37">
        <v>0</v>
      </c>
      <c r="W46" s="37">
        <v>0</v>
      </c>
      <c r="X46" s="33">
        <f t="shared" ref="X46:X52" si="50">+S46+T46-U46+V46+W46</f>
        <v>1695673.2899999998</v>
      </c>
      <c r="Y46" s="33">
        <v>1175318.3299999998</v>
      </c>
      <c r="Z46" s="33">
        <f>+X46-Y46</f>
        <v>520354.95999999996</v>
      </c>
      <c r="AB46" s="64">
        <v>1695673.2899999998</v>
      </c>
      <c r="AC46" s="64">
        <v>0</v>
      </c>
      <c r="AD46" s="64">
        <v>0</v>
      </c>
      <c r="AE46" s="64">
        <v>0</v>
      </c>
      <c r="AF46" s="64">
        <v>0</v>
      </c>
      <c r="AG46" s="58">
        <f t="shared" ref="AG46:AG52" si="51">+AB46+AC46-AD46+AE46+AF46</f>
        <v>1695673.2899999998</v>
      </c>
      <c r="AH46" s="64">
        <v>1223766.0199999998</v>
      </c>
      <c r="AI46" s="58">
        <f>+AG46-AH46</f>
        <v>471907.27</v>
      </c>
      <c r="AK46" s="64">
        <v>1695673.2899999998</v>
      </c>
      <c r="AL46" s="64">
        <v>0</v>
      </c>
      <c r="AM46" s="64">
        <v>0</v>
      </c>
      <c r="AN46" s="64">
        <v>0</v>
      </c>
      <c r="AO46" s="64">
        <v>0</v>
      </c>
      <c r="AP46" s="58">
        <f t="shared" ref="AP46:AP51" si="52">+AK46+AL46-AM46+AN46+AO46</f>
        <v>1695673.2899999998</v>
      </c>
      <c r="AQ46" s="64">
        <v>1272213.7099999997</v>
      </c>
      <c r="AR46" s="58">
        <f>+AP46-AQ46</f>
        <v>423459.58000000007</v>
      </c>
      <c r="AT46" s="80">
        <v>1695673.2899999998</v>
      </c>
      <c r="AU46" s="65">
        <v>26998</v>
      </c>
      <c r="AV46" s="65">
        <v>0</v>
      </c>
      <c r="AW46" s="65">
        <v>0</v>
      </c>
      <c r="AX46" s="65">
        <v>0</v>
      </c>
      <c r="AY46" s="58">
        <f t="shared" ref="AY46:AY51" si="53">+AT46+AU46-AV46+AW46+AX46</f>
        <v>1722671.2899999998</v>
      </c>
      <c r="AZ46" s="64">
        <v>1322204</v>
      </c>
      <c r="BA46" s="58">
        <f>+AY46-AZ46</f>
        <v>400467.2899999998</v>
      </c>
    </row>
    <row r="47" spans="2:53" ht="15" outlineLevel="1" x14ac:dyDescent="0.25">
      <c r="B47" s="1">
        <v>11130700</v>
      </c>
      <c r="C47" s="34" t="str">
        <f t="shared" si="43"/>
        <v>COSTO AL 41274</v>
      </c>
      <c r="D47" s="34" t="str">
        <f t="shared" si="43"/>
        <v>COSTO AL 41639</v>
      </c>
      <c r="E47" s="34" t="str">
        <f t="shared" si="5"/>
        <v>COSTO AL 42004</v>
      </c>
      <c r="F47" s="34" t="str">
        <f t="shared" si="11"/>
        <v>COSTO AL 42369</v>
      </c>
      <c r="G47" s="34" t="str">
        <f t="shared" si="12"/>
        <v>COSTO AL 42735</v>
      </c>
      <c r="H47" s="34" t="str">
        <f t="shared" si="13"/>
        <v>DEPRECIACION 41639</v>
      </c>
      <c r="I47" s="34" t="str">
        <f t="shared" si="14"/>
        <v>DEPRECIACION 42004</v>
      </c>
      <c r="J47" s="34" t="str">
        <f t="shared" si="15"/>
        <v>DEPRECIACION 42369</v>
      </c>
      <c r="K47" s="34" t="str">
        <f t="shared" si="16"/>
        <v>DEPRECIACION 42735</v>
      </c>
      <c r="L47" s="34" t="str">
        <f t="shared" si="17"/>
        <v>VALOR NETO 41639</v>
      </c>
      <c r="M47" s="34" t="str">
        <f t="shared" si="18"/>
        <v>VALOR NETO 42004</v>
      </c>
      <c r="N47" s="34" t="str">
        <f t="shared" si="19"/>
        <v>VALOR NETO 42369</v>
      </c>
      <c r="O47" s="34" t="str">
        <f t="shared" si="20"/>
        <v>VALOR NETO 42735</v>
      </c>
      <c r="P47" s="34" t="str">
        <f t="shared" si="21"/>
        <v>CENTRO NACIONAL DE DESPACHOEQUIPO ELECTRICO AUXILIAR</v>
      </c>
      <c r="Q47" s="34" t="str">
        <f t="shared" si="49"/>
        <v>CENTRO NACIONAL DE DESPACHO</v>
      </c>
      <c r="R47" s="1" t="s">
        <v>28</v>
      </c>
      <c r="S47" s="37">
        <v>129178.45</v>
      </c>
      <c r="T47" s="37">
        <v>0</v>
      </c>
      <c r="U47" s="37">
        <v>0</v>
      </c>
      <c r="V47" s="37">
        <v>0</v>
      </c>
      <c r="W47" s="37">
        <v>0</v>
      </c>
      <c r="X47" s="33">
        <f t="shared" si="50"/>
        <v>129178.45</v>
      </c>
      <c r="Y47" s="33">
        <v>30469.459999999992</v>
      </c>
      <c r="Z47" s="33">
        <f t="shared" ref="Z47:Z52" si="54">+X47-Y47</f>
        <v>98708.99</v>
      </c>
      <c r="AB47" s="64">
        <v>129178.45</v>
      </c>
      <c r="AC47" s="64">
        <v>0</v>
      </c>
      <c r="AD47" s="64">
        <v>0</v>
      </c>
      <c r="AE47" s="64">
        <v>0</v>
      </c>
      <c r="AF47" s="64">
        <v>0</v>
      </c>
      <c r="AG47" s="58">
        <f t="shared" si="51"/>
        <v>129178.45</v>
      </c>
      <c r="AH47" s="64">
        <v>34160.26999999999</v>
      </c>
      <c r="AI47" s="58">
        <f t="shared" ref="AI47:AI52" si="55">+AG47-AH47</f>
        <v>95018.180000000008</v>
      </c>
      <c r="AK47" s="64">
        <v>129178.45</v>
      </c>
      <c r="AL47" s="64">
        <v>0</v>
      </c>
      <c r="AM47" s="64">
        <v>0</v>
      </c>
      <c r="AN47" s="64">
        <v>0</v>
      </c>
      <c r="AO47" s="64">
        <v>0</v>
      </c>
      <c r="AP47" s="58">
        <f t="shared" si="52"/>
        <v>129178.45</v>
      </c>
      <c r="AQ47" s="64">
        <v>37851.079999999987</v>
      </c>
      <c r="AR47" s="58">
        <f t="shared" ref="AR47:AR52" si="56">+AP47-AQ47</f>
        <v>91327.37000000001</v>
      </c>
      <c r="AT47" s="80">
        <v>129178.45</v>
      </c>
      <c r="AU47" s="65">
        <v>0</v>
      </c>
      <c r="AV47" s="65">
        <v>0</v>
      </c>
      <c r="AW47" s="65">
        <v>0</v>
      </c>
      <c r="AX47" s="65">
        <v>0</v>
      </c>
      <c r="AY47" s="58">
        <f t="shared" si="53"/>
        <v>129178.45</v>
      </c>
      <c r="AZ47" s="64">
        <v>41541.5</v>
      </c>
      <c r="BA47" s="58">
        <f t="shared" ref="BA47:BA52" si="57">+AY47-AZ47</f>
        <v>87636.95</v>
      </c>
    </row>
    <row r="48" spans="2:53" ht="15" outlineLevel="1" x14ac:dyDescent="0.25">
      <c r="B48" s="1">
        <v>11130900</v>
      </c>
      <c r="C48" s="34" t="str">
        <f t="shared" si="43"/>
        <v>COSTO AL 41274</v>
      </c>
      <c r="D48" s="34" t="str">
        <f t="shared" si="43"/>
        <v>COSTO AL 41639</v>
      </c>
      <c r="E48" s="34" t="str">
        <f t="shared" si="5"/>
        <v>COSTO AL 42004</v>
      </c>
      <c r="F48" s="34" t="str">
        <f t="shared" si="11"/>
        <v>COSTO AL 42369</v>
      </c>
      <c r="G48" s="34" t="str">
        <f t="shared" si="12"/>
        <v>COSTO AL 42735</v>
      </c>
      <c r="H48" s="34" t="str">
        <f t="shared" si="13"/>
        <v>DEPRECIACION 41639</v>
      </c>
      <c r="I48" s="34" t="str">
        <f t="shared" si="14"/>
        <v>DEPRECIACION 42004</v>
      </c>
      <c r="J48" s="34" t="str">
        <f t="shared" si="15"/>
        <v>DEPRECIACION 42369</v>
      </c>
      <c r="K48" s="34" t="str">
        <f t="shared" si="16"/>
        <v>DEPRECIACION 42735</v>
      </c>
      <c r="L48" s="34" t="str">
        <f t="shared" si="17"/>
        <v>VALOR NETO 41639</v>
      </c>
      <c r="M48" s="34" t="str">
        <f t="shared" si="18"/>
        <v>VALOR NETO 42004</v>
      </c>
      <c r="N48" s="34" t="str">
        <f t="shared" si="19"/>
        <v>VALOR NETO 42369</v>
      </c>
      <c r="O48" s="34" t="str">
        <f t="shared" si="20"/>
        <v>VALOR NETO 42735</v>
      </c>
      <c r="P48" s="34" t="str">
        <f t="shared" si="21"/>
        <v>CENTRO NACIONAL DE DESPACHOEQUIPO ELÉCTRICO MISCELÁNEO</v>
      </c>
      <c r="Q48" s="34" t="str">
        <f t="shared" si="49"/>
        <v>CENTRO NACIONAL DE DESPACHO</v>
      </c>
      <c r="R48" s="1" t="s">
        <v>15</v>
      </c>
      <c r="S48" s="37">
        <v>223980.21</v>
      </c>
      <c r="T48" s="37">
        <v>0</v>
      </c>
      <c r="U48" s="37">
        <v>57.75</v>
      </c>
      <c r="V48" s="37">
        <v>0</v>
      </c>
      <c r="W48" s="37">
        <v>0</v>
      </c>
      <c r="X48" s="33">
        <f t="shared" si="50"/>
        <v>223922.46</v>
      </c>
      <c r="Y48" s="33">
        <v>71194.16</v>
      </c>
      <c r="Z48" s="33">
        <f t="shared" si="54"/>
        <v>152728.29999999999</v>
      </c>
      <c r="AB48" s="64">
        <v>223922.46</v>
      </c>
      <c r="AC48" s="64">
        <v>90192.98</v>
      </c>
      <c r="AD48" s="64">
        <v>0</v>
      </c>
      <c r="AE48" s="64">
        <v>0</v>
      </c>
      <c r="AF48" s="64">
        <v>0</v>
      </c>
      <c r="AG48" s="58">
        <f t="shared" si="51"/>
        <v>314115.44</v>
      </c>
      <c r="AH48" s="64">
        <v>108249.53</v>
      </c>
      <c r="AI48" s="58">
        <f t="shared" si="55"/>
        <v>205865.91</v>
      </c>
      <c r="AK48" s="64">
        <v>314115.44</v>
      </c>
      <c r="AL48" s="64">
        <v>0</v>
      </c>
      <c r="AM48" s="64">
        <v>0</v>
      </c>
      <c r="AN48" s="64">
        <v>0</v>
      </c>
      <c r="AO48" s="64">
        <v>0</v>
      </c>
      <c r="AP48" s="58">
        <f t="shared" si="52"/>
        <v>314115.44</v>
      </c>
      <c r="AQ48" s="64">
        <v>139293.66</v>
      </c>
      <c r="AR48" s="58">
        <f t="shared" si="56"/>
        <v>174821.78</v>
      </c>
      <c r="AT48" s="80">
        <v>314115.44</v>
      </c>
      <c r="AU48" s="65">
        <v>62274</v>
      </c>
      <c r="AV48" s="65">
        <v>498</v>
      </c>
      <c r="AW48" s="65">
        <v>0</v>
      </c>
      <c r="AX48" s="65">
        <v>0</v>
      </c>
      <c r="AY48" s="58">
        <f t="shared" si="53"/>
        <v>375891.44</v>
      </c>
      <c r="AZ48" s="64">
        <v>176068</v>
      </c>
      <c r="BA48" s="58">
        <f t="shared" si="57"/>
        <v>199823.44</v>
      </c>
    </row>
    <row r="49" spans="2:53" ht="15" outlineLevel="1" x14ac:dyDescent="0.25">
      <c r="B49" s="1">
        <v>11131800</v>
      </c>
      <c r="C49" s="34" t="str">
        <f t="shared" si="43"/>
        <v>COSTO AL 41274</v>
      </c>
      <c r="D49" s="34" t="str">
        <f t="shared" si="43"/>
        <v>COSTO AL 41639</v>
      </c>
      <c r="E49" s="34" t="str">
        <f t="shared" ref="E49:E80" si="58">+INDEX($AB$13:$AI$13,0,E$16)</f>
        <v>COSTO AL 42004</v>
      </c>
      <c r="F49" s="34" t="str">
        <f t="shared" si="11"/>
        <v>COSTO AL 42369</v>
      </c>
      <c r="G49" s="34" t="str">
        <f t="shared" si="12"/>
        <v>COSTO AL 42735</v>
      </c>
      <c r="H49" s="34" t="str">
        <f t="shared" si="13"/>
        <v>DEPRECIACION 41639</v>
      </c>
      <c r="I49" s="34" t="str">
        <f t="shared" si="14"/>
        <v>DEPRECIACION 42004</v>
      </c>
      <c r="J49" s="34" t="str">
        <f t="shared" si="15"/>
        <v>DEPRECIACION 42369</v>
      </c>
      <c r="K49" s="34" t="str">
        <f t="shared" si="16"/>
        <v>DEPRECIACION 42735</v>
      </c>
      <c r="L49" s="34" t="str">
        <f t="shared" si="17"/>
        <v>VALOR NETO 41639</v>
      </c>
      <c r="M49" s="34" t="str">
        <f t="shared" si="18"/>
        <v>VALOR NETO 42004</v>
      </c>
      <c r="N49" s="34" t="str">
        <f t="shared" si="19"/>
        <v>VALOR NETO 42369</v>
      </c>
      <c r="O49" s="34" t="str">
        <f t="shared" si="20"/>
        <v>VALOR NETO 42735</v>
      </c>
      <c r="P49" s="34" t="str">
        <f t="shared" si="21"/>
        <v>CENTRO NACIONAL DE DESPACHOEQUIPO DE COMUNICACIÓN</v>
      </c>
      <c r="Q49" s="34" t="str">
        <f t="shared" si="49"/>
        <v>CENTRO NACIONAL DE DESPACHO</v>
      </c>
      <c r="R49" s="1" t="s">
        <v>20</v>
      </c>
      <c r="S49" s="37">
        <v>443827.52999999991</v>
      </c>
      <c r="T49" s="37">
        <v>0</v>
      </c>
      <c r="U49" s="37">
        <v>0</v>
      </c>
      <c r="V49" s="37">
        <v>0</v>
      </c>
      <c r="W49" s="37">
        <v>0</v>
      </c>
      <c r="X49" s="33">
        <f t="shared" si="50"/>
        <v>443827.52999999991</v>
      </c>
      <c r="Y49" s="33">
        <v>443827.52999999991</v>
      </c>
      <c r="Z49" s="33">
        <f t="shared" si="54"/>
        <v>0</v>
      </c>
      <c r="AB49" s="64">
        <v>443827.52999999991</v>
      </c>
      <c r="AC49" s="64">
        <v>0</v>
      </c>
      <c r="AD49" s="64">
        <v>0</v>
      </c>
      <c r="AE49" s="64">
        <v>0</v>
      </c>
      <c r="AF49" s="64">
        <v>0</v>
      </c>
      <c r="AG49" s="58">
        <f t="shared" si="51"/>
        <v>443827.52999999991</v>
      </c>
      <c r="AH49" s="64">
        <v>443827.52999999991</v>
      </c>
      <c r="AI49" s="58">
        <f t="shared" si="55"/>
        <v>0</v>
      </c>
      <c r="AK49" s="64">
        <v>443827.52999999991</v>
      </c>
      <c r="AL49" s="64">
        <v>0</v>
      </c>
      <c r="AM49" s="64">
        <v>0</v>
      </c>
      <c r="AN49" s="64">
        <v>0</v>
      </c>
      <c r="AO49" s="64">
        <v>0</v>
      </c>
      <c r="AP49" s="58">
        <f t="shared" si="52"/>
        <v>443827.52999999991</v>
      </c>
      <c r="AQ49" s="64">
        <v>443827.52999999991</v>
      </c>
      <c r="AR49" s="58">
        <f t="shared" si="56"/>
        <v>0</v>
      </c>
      <c r="AT49" s="80">
        <v>443827.52999999991</v>
      </c>
      <c r="AU49" s="65">
        <v>260777.8</v>
      </c>
      <c r="AV49" s="65">
        <v>0</v>
      </c>
      <c r="AW49" s="65">
        <v>0</v>
      </c>
      <c r="AX49" s="65">
        <v>0</v>
      </c>
      <c r="AY49" s="58">
        <f t="shared" si="53"/>
        <v>704605.32999999984</v>
      </c>
      <c r="AZ49" s="64">
        <v>511471</v>
      </c>
      <c r="BA49" s="58">
        <f t="shared" si="57"/>
        <v>193134.32999999984</v>
      </c>
    </row>
    <row r="50" spans="2:53" ht="15" outlineLevel="1" x14ac:dyDescent="0.25">
      <c r="B50" s="1">
        <v>11132100</v>
      </c>
      <c r="C50" s="34" t="str">
        <f t="shared" si="43"/>
        <v>COSTO AL 41274</v>
      </c>
      <c r="D50" s="34" t="str">
        <f t="shared" si="43"/>
        <v>COSTO AL 41639</v>
      </c>
      <c r="E50" s="34" t="str">
        <f t="shared" si="58"/>
        <v>COSTO AL 42004</v>
      </c>
      <c r="F50" s="34" t="str">
        <f t="shared" si="11"/>
        <v>COSTO AL 42369</v>
      </c>
      <c r="G50" s="34" t="str">
        <f t="shared" si="12"/>
        <v>COSTO AL 42735</v>
      </c>
      <c r="H50" s="34" t="str">
        <f t="shared" si="13"/>
        <v>DEPRECIACION 41639</v>
      </c>
      <c r="I50" s="34" t="str">
        <f t="shared" si="14"/>
        <v>DEPRECIACION 42004</v>
      </c>
      <c r="J50" s="34" t="str">
        <f t="shared" si="15"/>
        <v>DEPRECIACION 42369</v>
      </c>
      <c r="K50" s="34" t="str">
        <f t="shared" si="16"/>
        <v>DEPRECIACION 42735</v>
      </c>
      <c r="L50" s="34" t="str">
        <f t="shared" si="17"/>
        <v>VALOR NETO 41639</v>
      </c>
      <c r="M50" s="34" t="str">
        <f t="shared" si="18"/>
        <v>VALOR NETO 42004</v>
      </c>
      <c r="N50" s="34" t="str">
        <f t="shared" si="19"/>
        <v>VALOR NETO 42369</v>
      </c>
      <c r="O50" s="34" t="str">
        <f t="shared" si="20"/>
        <v>VALOR NETO 42735</v>
      </c>
      <c r="P50" s="34" t="str">
        <f t="shared" si="21"/>
        <v>CENTRO NACIONAL DE DESPACHOEQUIPO DE INFORMÁTICA</v>
      </c>
      <c r="Q50" s="34" t="str">
        <f t="shared" si="49"/>
        <v>CENTRO NACIONAL DE DESPACHO</v>
      </c>
      <c r="R50" s="1" t="s">
        <v>29</v>
      </c>
      <c r="S50" s="37">
        <v>6190253.5799999991</v>
      </c>
      <c r="T50" s="37">
        <v>441685.48</v>
      </c>
      <c r="U50" s="37">
        <v>6507.86</v>
      </c>
      <c r="V50" s="37">
        <v>0</v>
      </c>
      <c r="W50" s="37">
        <v>0</v>
      </c>
      <c r="X50" s="33">
        <f t="shared" si="50"/>
        <v>6625431.1999999983</v>
      </c>
      <c r="Y50" s="33">
        <v>6292729.9399999985</v>
      </c>
      <c r="Z50" s="33">
        <f t="shared" si="54"/>
        <v>332701.25999999978</v>
      </c>
      <c r="AB50" s="64">
        <v>6625431.1999999983</v>
      </c>
      <c r="AC50" s="64">
        <v>272424.27</v>
      </c>
      <c r="AD50" s="64">
        <v>3805.35</v>
      </c>
      <c r="AE50" s="64">
        <v>0</v>
      </c>
      <c r="AF50" s="64">
        <v>0</v>
      </c>
      <c r="AG50" s="58">
        <f t="shared" si="51"/>
        <v>6894050.1199999992</v>
      </c>
      <c r="AH50" s="64">
        <v>6564170.4299999988</v>
      </c>
      <c r="AI50" s="58">
        <f t="shared" si="55"/>
        <v>329879.69000000041</v>
      </c>
      <c r="AK50" s="64">
        <v>6894050.1199999992</v>
      </c>
      <c r="AL50" s="64">
        <v>0</v>
      </c>
      <c r="AM50" s="64">
        <v>2043.27</v>
      </c>
      <c r="AN50" s="64">
        <v>0</v>
      </c>
      <c r="AO50" s="64">
        <v>0</v>
      </c>
      <c r="AP50" s="58">
        <f t="shared" si="52"/>
        <v>6892006.8499999996</v>
      </c>
      <c r="AQ50" s="64">
        <v>6771016.2999999989</v>
      </c>
      <c r="AR50" s="58">
        <f t="shared" si="56"/>
        <v>120990.55000000075</v>
      </c>
      <c r="AT50" s="80">
        <v>6892007</v>
      </c>
      <c r="AU50" s="65">
        <v>33877</v>
      </c>
      <c r="AV50" s="65">
        <v>1196652</v>
      </c>
      <c r="AW50" s="65">
        <v>0</v>
      </c>
      <c r="AX50" s="65">
        <v>0</v>
      </c>
      <c r="AY50" s="58">
        <f t="shared" si="53"/>
        <v>5729232</v>
      </c>
      <c r="AZ50" s="64">
        <v>5721729</v>
      </c>
      <c r="BA50" s="58">
        <f t="shared" si="57"/>
        <v>7503</v>
      </c>
    </row>
    <row r="51" spans="2:53" ht="15" outlineLevel="1" x14ac:dyDescent="0.25">
      <c r="B51" s="1">
        <v>11132300</v>
      </c>
      <c r="C51" s="34" t="str">
        <f t="shared" si="43"/>
        <v>COSTO AL 41274</v>
      </c>
      <c r="D51" s="34" t="str">
        <f t="shared" si="43"/>
        <v>COSTO AL 41639</v>
      </c>
      <c r="E51" s="34" t="str">
        <f t="shared" si="58"/>
        <v>COSTO AL 42004</v>
      </c>
      <c r="F51" s="34" t="str">
        <f t="shared" si="11"/>
        <v>COSTO AL 42369</v>
      </c>
      <c r="G51" s="34" t="str">
        <f t="shared" si="12"/>
        <v>COSTO AL 42735</v>
      </c>
      <c r="H51" s="34" t="str">
        <f t="shared" si="13"/>
        <v>DEPRECIACION 41639</v>
      </c>
      <c r="I51" s="34" t="str">
        <f t="shared" si="14"/>
        <v>DEPRECIACION 42004</v>
      </c>
      <c r="J51" s="34" t="str">
        <f t="shared" si="15"/>
        <v>DEPRECIACION 42369</v>
      </c>
      <c r="K51" s="34" t="str">
        <f t="shared" si="16"/>
        <v>DEPRECIACION 42735</v>
      </c>
      <c r="L51" s="34" t="str">
        <f t="shared" si="17"/>
        <v>VALOR NETO 41639</v>
      </c>
      <c r="M51" s="34" t="str">
        <f t="shared" si="18"/>
        <v>VALOR NETO 42004</v>
      </c>
      <c r="N51" s="34" t="str">
        <f t="shared" si="19"/>
        <v>VALOR NETO 42369</v>
      </c>
      <c r="O51" s="34" t="str">
        <f t="shared" si="20"/>
        <v>VALOR NETO 42735</v>
      </c>
      <c r="P51" s="34" t="str">
        <f t="shared" si="21"/>
        <v>CENTRO NACIONAL DE DESPACHOEQUIPO Y MOBILIARIO DE OFICINA</v>
      </c>
      <c r="Q51" s="34" t="str">
        <f t="shared" si="49"/>
        <v>CENTRO NACIONAL DE DESPACHO</v>
      </c>
      <c r="R51" s="1" t="s">
        <v>30</v>
      </c>
      <c r="S51" s="37">
        <v>239761.48</v>
      </c>
      <c r="T51" s="37">
        <v>2135.16</v>
      </c>
      <c r="U51" s="37">
        <v>5865.29</v>
      </c>
      <c r="V51" s="37">
        <v>0</v>
      </c>
      <c r="W51" s="37">
        <v>0</v>
      </c>
      <c r="X51" s="33">
        <f t="shared" si="50"/>
        <v>236031.35</v>
      </c>
      <c r="Y51" s="33">
        <v>165975.26999999996</v>
      </c>
      <c r="Z51" s="33">
        <f t="shared" si="54"/>
        <v>70056.080000000045</v>
      </c>
      <c r="AB51" s="64">
        <v>236031.35</v>
      </c>
      <c r="AC51" s="64">
        <v>51154.06</v>
      </c>
      <c r="AD51" s="64">
        <v>18016.48</v>
      </c>
      <c r="AE51" s="64">
        <v>0</v>
      </c>
      <c r="AF51" s="64">
        <v>0</v>
      </c>
      <c r="AG51" s="58">
        <f t="shared" si="51"/>
        <v>269168.93000000005</v>
      </c>
      <c r="AH51" s="64">
        <v>166386.59999999995</v>
      </c>
      <c r="AI51" s="58">
        <f t="shared" si="55"/>
        <v>102782.3300000001</v>
      </c>
      <c r="AK51" s="64">
        <v>269168.93000000005</v>
      </c>
      <c r="AL51" s="64">
        <v>0</v>
      </c>
      <c r="AM51" s="64">
        <v>0</v>
      </c>
      <c r="AN51" s="64">
        <v>0</v>
      </c>
      <c r="AO51" s="64">
        <v>0</v>
      </c>
      <c r="AP51" s="58">
        <f t="shared" si="52"/>
        <v>269168.93000000005</v>
      </c>
      <c r="AQ51" s="64">
        <v>185087.13999999996</v>
      </c>
      <c r="AR51" s="58">
        <f t="shared" si="56"/>
        <v>84081.790000000095</v>
      </c>
      <c r="AT51" s="80">
        <v>269168.93000000005</v>
      </c>
      <c r="AU51" s="65">
        <v>19131</v>
      </c>
      <c r="AV51" s="65">
        <v>175</v>
      </c>
      <c r="AW51" s="65">
        <v>0</v>
      </c>
      <c r="AX51" s="65">
        <v>0</v>
      </c>
      <c r="AY51" s="58">
        <f t="shared" si="53"/>
        <v>288124.93000000005</v>
      </c>
      <c r="AZ51" s="64">
        <v>205018</v>
      </c>
      <c r="BA51" s="58">
        <f t="shared" si="57"/>
        <v>83106.930000000051</v>
      </c>
    </row>
    <row r="52" spans="2:53" ht="15" outlineLevel="1" x14ac:dyDescent="0.25">
      <c r="B52" s="1">
        <v>11132400</v>
      </c>
      <c r="C52" s="34" t="str">
        <f t="shared" si="43"/>
        <v>COSTO AL 41274</v>
      </c>
      <c r="D52" s="34" t="str">
        <f t="shared" si="43"/>
        <v>COSTO AL 41639</v>
      </c>
      <c r="E52" s="34" t="str">
        <f t="shared" si="58"/>
        <v>COSTO AL 42004</v>
      </c>
      <c r="F52" s="34" t="str">
        <f t="shared" si="11"/>
        <v>COSTO AL 42369</v>
      </c>
      <c r="G52" s="34" t="str">
        <f t="shared" si="12"/>
        <v>COSTO AL 42735</v>
      </c>
      <c r="H52" s="34" t="str">
        <f t="shared" si="13"/>
        <v>DEPRECIACION 41639</v>
      </c>
      <c r="I52" s="34" t="str">
        <f t="shared" si="14"/>
        <v>DEPRECIACION 42004</v>
      </c>
      <c r="J52" s="34" t="str">
        <f t="shared" si="15"/>
        <v>DEPRECIACION 42369</v>
      </c>
      <c r="K52" s="34" t="str">
        <f t="shared" si="16"/>
        <v>DEPRECIACION 42735</v>
      </c>
      <c r="L52" s="34" t="str">
        <f t="shared" si="17"/>
        <v>VALOR NETO 41639</v>
      </c>
      <c r="M52" s="34" t="str">
        <f t="shared" si="18"/>
        <v>VALOR NETO 42004</v>
      </c>
      <c r="N52" s="34" t="str">
        <f t="shared" si="19"/>
        <v>VALOR NETO 42369</v>
      </c>
      <c r="O52" s="34" t="str">
        <f t="shared" si="20"/>
        <v>VALOR NETO 42735</v>
      </c>
      <c r="P52" s="34" t="str">
        <f t="shared" si="21"/>
        <v>CENTRO NACIONAL DE DESPACHOEQUIPO DE TRANSPORTE</v>
      </c>
      <c r="Q52" s="34" t="str">
        <f t="shared" si="49"/>
        <v>CENTRO NACIONAL DE DESPACHO</v>
      </c>
      <c r="R52" s="1" t="s">
        <v>31</v>
      </c>
      <c r="S52" s="40">
        <v>114299.1</v>
      </c>
      <c r="T52" s="37">
        <v>0</v>
      </c>
      <c r="U52" s="37">
        <v>0</v>
      </c>
      <c r="V52" s="37">
        <v>0</v>
      </c>
      <c r="W52" s="37">
        <v>0</v>
      </c>
      <c r="X52" s="33">
        <f t="shared" si="50"/>
        <v>114299.1</v>
      </c>
      <c r="Y52" s="33">
        <v>94521.739999999991</v>
      </c>
      <c r="Z52" s="33">
        <f t="shared" si="54"/>
        <v>19777.360000000015</v>
      </c>
      <c r="AB52" s="66">
        <v>114299.1</v>
      </c>
      <c r="AC52" s="64">
        <v>0</v>
      </c>
      <c r="AD52" s="64">
        <v>23541</v>
      </c>
      <c r="AE52" s="64">
        <v>0</v>
      </c>
      <c r="AF52" s="64">
        <v>0</v>
      </c>
      <c r="AG52" s="58">
        <f t="shared" si="51"/>
        <v>90758.1</v>
      </c>
      <c r="AH52" s="64">
        <v>81299.359999999986</v>
      </c>
      <c r="AI52" s="58">
        <f t="shared" si="55"/>
        <v>9458.7400000000198</v>
      </c>
      <c r="AK52" s="66">
        <v>90758.1</v>
      </c>
      <c r="AL52" s="64">
        <v>0</v>
      </c>
      <c r="AM52" s="64">
        <v>24000</v>
      </c>
      <c r="AN52" s="64">
        <v>0</v>
      </c>
      <c r="AO52" s="64">
        <v>0</v>
      </c>
      <c r="AP52" s="58">
        <f>+AK52+AL52-AM52+AN52+AO52</f>
        <v>66758.100000000006</v>
      </c>
      <c r="AQ52" s="64">
        <v>66758.099999999991</v>
      </c>
      <c r="AR52" s="58">
        <f t="shared" si="56"/>
        <v>0</v>
      </c>
      <c r="AT52" s="81">
        <v>66758</v>
      </c>
      <c r="AU52" s="65">
        <v>31565</v>
      </c>
      <c r="AV52" s="65">
        <v>0</v>
      </c>
      <c r="AW52" s="65">
        <v>31565</v>
      </c>
      <c r="AX52" s="65">
        <v>0</v>
      </c>
      <c r="AY52" s="58">
        <f>+AT52+AU52-AV52+AW52+AX52</f>
        <v>129888</v>
      </c>
      <c r="AZ52" s="64">
        <v>72545</v>
      </c>
      <c r="BA52" s="58">
        <f t="shared" si="57"/>
        <v>57343</v>
      </c>
    </row>
    <row r="53" spans="2:53" ht="13.5" thickBot="1" x14ac:dyDescent="0.25">
      <c r="C53" s="34" t="str">
        <f t="shared" si="43"/>
        <v>COSTO AL 41274</v>
      </c>
      <c r="D53" s="34" t="str">
        <f t="shared" si="43"/>
        <v>COSTO AL 41639</v>
      </c>
      <c r="E53" s="34" t="str">
        <f t="shared" si="58"/>
        <v>COSTO AL 42004</v>
      </c>
      <c r="F53" s="34" t="str">
        <f t="shared" si="11"/>
        <v>COSTO AL 42369</v>
      </c>
      <c r="G53" s="34" t="str">
        <f t="shared" si="12"/>
        <v>COSTO AL 42735</v>
      </c>
      <c r="H53" s="34" t="str">
        <f t="shared" si="13"/>
        <v>DEPRECIACION 41639</v>
      </c>
      <c r="I53" s="34" t="str">
        <f t="shared" si="14"/>
        <v>DEPRECIACION 42004</v>
      </c>
      <c r="J53" s="34" t="str">
        <f t="shared" si="15"/>
        <v>DEPRECIACION 42369</v>
      </c>
      <c r="K53" s="34" t="str">
        <f t="shared" si="16"/>
        <v>DEPRECIACION 42735</v>
      </c>
      <c r="L53" s="34" t="str">
        <f t="shared" si="17"/>
        <v>VALOR NETO 41639</v>
      </c>
      <c r="M53" s="34" t="str">
        <f t="shared" si="18"/>
        <v>VALOR NETO 42004</v>
      </c>
      <c r="N53" s="34" t="str">
        <f t="shared" si="19"/>
        <v>VALOR NETO 42369</v>
      </c>
      <c r="O53" s="34" t="str">
        <f t="shared" si="20"/>
        <v>VALOR NETO 42735</v>
      </c>
      <c r="P53" s="34" t="str">
        <f t="shared" si="21"/>
        <v>CENTRO NACIONAL DE DESPACHOSUB TOTAL</v>
      </c>
      <c r="Q53" s="34" t="str">
        <f t="shared" si="49"/>
        <v>CENTRO NACIONAL DE DESPACHO</v>
      </c>
      <c r="R53" s="38" t="s">
        <v>25</v>
      </c>
      <c r="S53" s="39">
        <f>SUM(S46:S52)</f>
        <v>8763193.7799999993</v>
      </c>
      <c r="T53" s="39">
        <f t="shared" ref="T53:Z53" si="59">SUM(T46:T52)</f>
        <v>724356.84</v>
      </c>
      <c r="U53" s="39">
        <f t="shared" si="59"/>
        <v>19187.240000000002</v>
      </c>
      <c r="V53" s="39">
        <f t="shared" si="59"/>
        <v>0</v>
      </c>
      <c r="W53" s="39">
        <f t="shared" si="59"/>
        <v>0</v>
      </c>
      <c r="X53" s="52">
        <f t="shared" si="59"/>
        <v>9468363.3799999971</v>
      </c>
      <c r="Y53" s="52">
        <f>SUM(Y46:Y52)</f>
        <v>8274036.4299999978</v>
      </c>
      <c r="Z53" s="52">
        <f t="shared" si="59"/>
        <v>1194326.95</v>
      </c>
      <c r="AB53" s="59">
        <f t="shared" ref="AB53:AI53" si="60">SUM(AB46:AB52)</f>
        <v>9468363.3799999971</v>
      </c>
      <c r="AC53" s="59">
        <f t="shared" si="60"/>
        <v>413771.31</v>
      </c>
      <c r="AD53" s="59">
        <f t="shared" si="60"/>
        <v>45362.83</v>
      </c>
      <c r="AE53" s="59">
        <f t="shared" si="60"/>
        <v>0</v>
      </c>
      <c r="AF53" s="59">
        <f t="shared" si="60"/>
        <v>0</v>
      </c>
      <c r="AG53" s="70">
        <f t="shared" si="60"/>
        <v>9836771.8599999975</v>
      </c>
      <c r="AH53" s="70">
        <f t="shared" si="60"/>
        <v>8621859.7399999984</v>
      </c>
      <c r="AI53" s="70">
        <f t="shared" si="60"/>
        <v>1214912.1200000006</v>
      </c>
      <c r="AK53" s="70">
        <f>SUM(AK46:AK52)</f>
        <v>9836771.8599999975</v>
      </c>
      <c r="AL53" s="70">
        <f t="shared" ref="AL53:AR53" si="61">SUM(AL46:AL52)</f>
        <v>0</v>
      </c>
      <c r="AM53" s="70">
        <f t="shared" si="61"/>
        <v>26043.27</v>
      </c>
      <c r="AN53" s="70">
        <f t="shared" si="61"/>
        <v>0</v>
      </c>
      <c r="AO53" s="70">
        <f t="shared" si="61"/>
        <v>0</v>
      </c>
      <c r="AP53" s="70">
        <f t="shared" si="61"/>
        <v>9810728.589999998</v>
      </c>
      <c r="AQ53" s="70">
        <f>SUM(AQ46:AQ52)</f>
        <v>8916047.5199999977</v>
      </c>
      <c r="AR53" s="70">
        <f t="shared" si="61"/>
        <v>894681.070000001</v>
      </c>
      <c r="AT53" s="21">
        <f>SUM(AT46:AT52)</f>
        <v>9810728.6399999987</v>
      </c>
      <c r="AU53" s="21">
        <f t="shared" ref="AU53:BA53" si="62">SUM(AU46:AU52)</f>
        <v>434622.8</v>
      </c>
      <c r="AV53" s="21">
        <f t="shared" si="62"/>
        <v>1197325</v>
      </c>
      <c r="AW53" s="21">
        <f t="shared" si="62"/>
        <v>31565</v>
      </c>
      <c r="AX53" s="21">
        <f t="shared" si="62"/>
        <v>0</v>
      </c>
      <c r="AY53" s="21">
        <f t="shared" si="62"/>
        <v>9079591.4399999995</v>
      </c>
      <c r="AZ53" s="21">
        <f>SUM(AZ46:AZ52)</f>
        <v>8050576.5</v>
      </c>
      <c r="BA53" s="21">
        <f t="shared" si="62"/>
        <v>1029014.9399999997</v>
      </c>
    </row>
    <row r="54" spans="2:53" ht="15.75" thickTop="1" x14ac:dyDescent="0.25">
      <c r="C54" s="34" t="str">
        <f t="shared" si="43"/>
        <v>COSTO AL 41274</v>
      </c>
      <c r="D54" s="34" t="str">
        <f t="shared" si="43"/>
        <v>COSTO AL 41639</v>
      </c>
      <c r="E54" s="34" t="str">
        <f t="shared" si="58"/>
        <v>COSTO AL 42004</v>
      </c>
      <c r="F54" s="34" t="str">
        <f t="shared" si="11"/>
        <v>COSTO AL 42369</v>
      </c>
      <c r="G54" s="34" t="str">
        <f t="shared" si="12"/>
        <v>COSTO AL 42735</v>
      </c>
      <c r="H54" s="34" t="str">
        <f t="shared" si="13"/>
        <v>DEPRECIACION 41639</v>
      </c>
      <c r="I54" s="34" t="str">
        <f t="shared" si="14"/>
        <v>DEPRECIACION 42004</v>
      </c>
      <c r="J54" s="34" t="str">
        <f t="shared" si="15"/>
        <v>DEPRECIACION 42369</v>
      </c>
      <c r="K54" s="34" t="str">
        <f t="shared" si="16"/>
        <v>DEPRECIACION 42735</v>
      </c>
      <c r="L54" s="34" t="str">
        <f t="shared" si="17"/>
        <v>VALOR NETO 41639</v>
      </c>
      <c r="M54" s="34" t="str">
        <f t="shared" si="18"/>
        <v>VALOR NETO 42004</v>
      </c>
      <c r="N54" s="34" t="str">
        <f t="shared" si="19"/>
        <v>VALOR NETO 42369</v>
      </c>
      <c r="O54" s="34" t="str">
        <f t="shared" si="20"/>
        <v>VALOR NETO 42735</v>
      </c>
      <c r="P54" s="34" t="str">
        <f t="shared" si="21"/>
        <v>HIDROMETEOROLOGIA</v>
      </c>
      <c r="Q54" s="34"/>
      <c r="R54" s="54" t="s">
        <v>32</v>
      </c>
      <c r="T54" s="34"/>
      <c r="U54" s="34"/>
      <c r="V54" s="34"/>
      <c r="W54" s="34"/>
      <c r="X54" s="33"/>
      <c r="Y54" s="33"/>
      <c r="Z54" s="33"/>
      <c r="AB54" s="57"/>
      <c r="AC54" s="57"/>
      <c r="AD54" s="57"/>
      <c r="AE54" s="57"/>
      <c r="AF54" s="57"/>
      <c r="AG54" s="58"/>
      <c r="AH54" s="58"/>
      <c r="AI54" s="58"/>
      <c r="AK54" s="58"/>
      <c r="AL54" s="58"/>
      <c r="AM54" s="58"/>
      <c r="AN54" s="58"/>
      <c r="AO54" s="58"/>
      <c r="AP54" s="58"/>
      <c r="AQ54" s="58"/>
      <c r="AR54" s="58"/>
      <c r="AT54" s="20"/>
      <c r="AU54" s="19"/>
      <c r="AV54" s="19"/>
      <c r="AW54" s="19"/>
      <c r="AX54" s="19"/>
      <c r="AY54" s="19"/>
      <c r="AZ54" s="19"/>
      <c r="BA54" s="58"/>
    </row>
    <row r="55" spans="2:53" ht="15" outlineLevel="1" x14ac:dyDescent="0.25">
      <c r="B55" s="1">
        <v>11140900</v>
      </c>
      <c r="C55" s="34" t="str">
        <f t="shared" si="43"/>
        <v>COSTO AL 41274</v>
      </c>
      <c r="D55" s="34" t="str">
        <f t="shared" si="43"/>
        <v>COSTO AL 41639</v>
      </c>
      <c r="E55" s="34" t="str">
        <f t="shared" si="58"/>
        <v>COSTO AL 42004</v>
      </c>
      <c r="F55" s="34" t="str">
        <f t="shared" si="11"/>
        <v>COSTO AL 42369</v>
      </c>
      <c r="G55" s="34" t="str">
        <f t="shared" si="12"/>
        <v>COSTO AL 42735</v>
      </c>
      <c r="H55" s="34" t="str">
        <f t="shared" si="13"/>
        <v>DEPRECIACION 41639</v>
      </c>
      <c r="I55" s="34" t="str">
        <f t="shared" si="14"/>
        <v>DEPRECIACION 42004</v>
      </c>
      <c r="J55" s="34" t="str">
        <f t="shared" si="15"/>
        <v>DEPRECIACION 42369</v>
      </c>
      <c r="K55" s="34" t="str">
        <f t="shared" si="16"/>
        <v>DEPRECIACION 42735</v>
      </c>
      <c r="L55" s="34" t="str">
        <f t="shared" si="17"/>
        <v>VALOR NETO 41639</v>
      </c>
      <c r="M55" s="34" t="str">
        <f t="shared" si="18"/>
        <v>VALOR NETO 42004</v>
      </c>
      <c r="N55" s="34" t="str">
        <f t="shared" si="19"/>
        <v>VALOR NETO 42369</v>
      </c>
      <c r="O55" s="34" t="str">
        <f t="shared" si="20"/>
        <v>VALOR NETO 42735</v>
      </c>
      <c r="P55" s="34" t="str">
        <f t="shared" si="21"/>
        <v>HIDROMETEOROLOGIAEQUIPO ELÉCTRICO MISCELÁNEO</v>
      </c>
      <c r="Q55" s="34" t="str">
        <f>+$R$54</f>
        <v>HIDROMETEOROLOGIA</v>
      </c>
      <c r="R55" s="1" t="s">
        <v>15</v>
      </c>
      <c r="S55" s="37">
        <v>69711.63</v>
      </c>
      <c r="T55" s="37">
        <v>0</v>
      </c>
      <c r="U55" s="37">
        <v>0</v>
      </c>
      <c r="V55" s="37">
        <v>0</v>
      </c>
      <c r="W55" s="37">
        <v>0</v>
      </c>
      <c r="X55" s="33">
        <f t="shared" ref="X55:X62" si="63">+S55+T55-U55+V55+W55</f>
        <v>69711.63</v>
      </c>
      <c r="Y55" s="36">
        <v>27798.36</v>
      </c>
      <c r="Z55" s="33">
        <f>+X55-Y55</f>
        <v>41913.270000000004</v>
      </c>
      <c r="AB55" s="64">
        <v>69711.63</v>
      </c>
      <c r="AC55" s="64">
        <v>0</v>
      </c>
      <c r="AD55" s="64">
        <v>0</v>
      </c>
      <c r="AE55" s="64">
        <v>0</v>
      </c>
      <c r="AF55" s="64">
        <v>0</v>
      </c>
      <c r="AG55" s="58">
        <f t="shared" ref="AG55:AG62" si="64">+AB55+AC55-AD55+AE55+AF55</f>
        <v>69711.63</v>
      </c>
      <c r="AH55" s="64">
        <v>33929.24</v>
      </c>
      <c r="AI55" s="58">
        <f>+AG55-AH55</f>
        <v>35782.390000000007</v>
      </c>
      <c r="AK55" s="64">
        <v>69711.63</v>
      </c>
      <c r="AL55" s="64">
        <v>2539.11</v>
      </c>
      <c r="AM55" s="64">
        <v>0</v>
      </c>
      <c r="AN55" s="64">
        <v>0</v>
      </c>
      <c r="AO55" s="64">
        <v>0</v>
      </c>
      <c r="AP55" s="58">
        <f t="shared" ref="AP55:AP62" si="65">+AK55+AL55-AM55+AN55+AO55</f>
        <v>72250.740000000005</v>
      </c>
      <c r="AQ55" s="64">
        <v>40192.54</v>
      </c>
      <c r="AR55" s="58">
        <f>+AP55-AQ55</f>
        <v>32058.200000000004</v>
      </c>
      <c r="AT55" s="80">
        <v>72251</v>
      </c>
      <c r="AU55" s="65">
        <v>0</v>
      </c>
      <c r="AV55" s="65">
        <v>0</v>
      </c>
      <c r="AW55" s="65">
        <v>0</v>
      </c>
      <c r="AX55" s="65">
        <v>0</v>
      </c>
      <c r="AY55" s="58">
        <v>72251</v>
      </c>
      <c r="AZ55" s="64">
        <v>46546</v>
      </c>
      <c r="BA55" s="58">
        <v>25705</v>
      </c>
    </row>
    <row r="56" spans="2:53" ht="15" outlineLevel="1" x14ac:dyDescent="0.25">
      <c r="B56" s="1">
        <v>11141800</v>
      </c>
      <c r="C56" s="34" t="str">
        <f t="shared" si="43"/>
        <v>COSTO AL 41274</v>
      </c>
      <c r="D56" s="34" t="str">
        <f t="shared" si="43"/>
        <v>COSTO AL 41639</v>
      </c>
      <c r="E56" s="34" t="str">
        <f t="shared" si="58"/>
        <v>COSTO AL 42004</v>
      </c>
      <c r="F56" s="34" t="str">
        <f t="shared" si="11"/>
        <v>COSTO AL 42369</v>
      </c>
      <c r="G56" s="34" t="str">
        <f t="shared" si="12"/>
        <v>COSTO AL 42735</v>
      </c>
      <c r="H56" s="34" t="str">
        <f t="shared" si="13"/>
        <v>DEPRECIACION 41639</v>
      </c>
      <c r="I56" s="34" t="str">
        <f t="shared" si="14"/>
        <v>DEPRECIACION 42004</v>
      </c>
      <c r="J56" s="34" t="str">
        <f t="shared" si="15"/>
        <v>DEPRECIACION 42369</v>
      </c>
      <c r="K56" s="34" t="str">
        <f t="shared" si="16"/>
        <v>DEPRECIACION 42735</v>
      </c>
      <c r="L56" s="34" t="str">
        <f t="shared" si="17"/>
        <v>VALOR NETO 41639</v>
      </c>
      <c r="M56" s="34" t="str">
        <f t="shared" si="18"/>
        <v>VALOR NETO 42004</v>
      </c>
      <c r="N56" s="34" t="str">
        <f t="shared" si="19"/>
        <v>VALOR NETO 42369</v>
      </c>
      <c r="O56" s="34" t="str">
        <f t="shared" si="20"/>
        <v>VALOR NETO 42735</v>
      </c>
      <c r="P56" s="34" t="str">
        <f t="shared" si="21"/>
        <v>HIDROMETEOROLOGIAEQUIPO DE COMUNICACIÓN</v>
      </c>
      <c r="Q56" s="34" t="str">
        <f t="shared" ref="Q56:Q63" si="66">+$R$54</f>
        <v>HIDROMETEOROLOGIA</v>
      </c>
      <c r="R56" s="1" t="s">
        <v>20</v>
      </c>
      <c r="S56" s="37">
        <v>181033.55000000002</v>
      </c>
      <c r="T56" s="37">
        <v>0</v>
      </c>
      <c r="U56" s="37">
        <v>0</v>
      </c>
      <c r="V56" s="37">
        <v>0</v>
      </c>
      <c r="W56" s="37">
        <v>0</v>
      </c>
      <c r="X56" s="33">
        <f t="shared" si="63"/>
        <v>181033.55000000002</v>
      </c>
      <c r="Y56" s="36">
        <v>65631.7</v>
      </c>
      <c r="Z56" s="33">
        <f t="shared" ref="Z56:Z62" si="67">+X56-Y56</f>
        <v>115401.85000000002</v>
      </c>
      <c r="AB56" s="64">
        <v>181033.55000000002</v>
      </c>
      <c r="AC56" s="64">
        <v>0</v>
      </c>
      <c r="AD56" s="64">
        <v>0</v>
      </c>
      <c r="AE56" s="64">
        <v>0</v>
      </c>
      <c r="AF56" s="64">
        <v>0</v>
      </c>
      <c r="AG56" s="58">
        <f t="shared" si="64"/>
        <v>181033.55000000002</v>
      </c>
      <c r="AH56" s="64">
        <v>83669.95</v>
      </c>
      <c r="AI56" s="58">
        <f t="shared" ref="AI56:AI62" si="68">+AG56-AH56</f>
        <v>97363.60000000002</v>
      </c>
      <c r="AK56" s="64">
        <v>181033.55000000002</v>
      </c>
      <c r="AL56" s="64">
        <v>0</v>
      </c>
      <c r="AM56" s="64">
        <v>0</v>
      </c>
      <c r="AN56" s="64">
        <v>0</v>
      </c>
      <c r="AO56" s="64">
        <v>0</v>
      </c>
      <c r="AP56" s="58">
        <f t="shared" si="65"/>
        <v>181033.55000000002</v>
      </c>
      <c r="AQ56" s="64">
        <v>101708.2</v>
      </c>
      <c r="AR56" s="58">
        <f t="shared" ref="AR56:AR62" si="69">+AP56-AQ56</f>
        <v>79325.35000000002</v>
      </c>
      <c r="AT56" s="80">
        <v>181034</v>
      </c>
      <c r="AU56" s="65">
        <v>0</v>
      </c>
      <c r="AV56" s="65">
        <v>0</v>
      </c>
      <c r="AW56" s="65">
        <v>0</v>
      </c>
      <c r="AX56" s="65">
        <v>0</v>
      </c>
      <c r="AY56" s="58">
        <v>181034</v>
      </c>
      <c r="AZ56" s="64">
        <v>119746</v>
      </c>
      <c r="BA56" s="58">
        <v>61286.5</v>
      </c>
    </row>
    <row r="57" spans="2:53" ht="15" outlineLevel="1" x14ac:dyDescent="0.25">
      <c r="B57" s="1">
        <v>11142100</v>
      </c>
      <c r="C57" s="34" t="str">
        <f t="shared" ref="C57:D76" si="70">+INDEX($S$13:$Z$13,0,C$16)</f>
        <v>COSTO AL 41274</v>
      </c>
      <c r="D57" s="34" t="str">
        <f t="shared" si="70"/>
        <v>COSTO AL 41639</v>
      </c>
      <c r="E57" s="34" t="str">
        <f t="shared" si="58"/>
        <v>COSTO AL 42004</v>
      </c>
      <c r="F57" s="34" t="str">
        <f t="shared" si="11"/>
        <v>COSTO AL 42369</v>
      </c>
      <c r="G57" s="34" t="str">
        <f t="shared" si="12"/>
        <v>COSTO AL 42735</v>
      </c>
      <c r="H57" s="34" t="str">
        <f t="shared" si="13"/>
        <v>DEPRECIACION 41639</v>
      </c>
      <c r="I57" s="34" t="str">
        <f t="shared" si="14"/>
        <v>DEPRECIACION 42004</v>
      </c>
      <c r="J57" s="34" t="str">
        <f t="shared" si="15"/>
        <v>DEPRECIACION 42369</v>
      </c>
      <c r="K57" s="34" t="str">
        <f t="shared" si="16"/>
        <v>DEPRECIACION 42735</v>
      </c>
      <c r="L57" s="34" t="str">
        <f t="shared" si="17"/>
        <v>VALOR NETO 41639</v>
      </c>
      <c r="M57" s="34" t="str">
        <f t="shared" si="18"/>
        <v>VALOR NETO 42004</v>
      </c>
      <c r="N57" s="34" t="str">
        <f t="shared" si="19"/>
        <v>VALOR NETO 42369</v>
      </c>
      <c r="O57" s="34" t="str">
        <f t="shared" si="20"/>
        <v>VALOR NETO 42735</v>
      </c>
      <c r="P57" s="34" t="str">
        <f t="shared" si="21"/>
        <v>HIDROMETEOROLOGIAEQUIPO DE INFORMÁTICA</v>
      </c>
      <c r="Q57" s="34" t="str">
        <f t="shared" si="66"/>
        <v>HIDROMETEOROLOGIA</v>
      </c>
      <c r="R57" s="1" t="s">
        <v>29</v>
      </c>
      <c r="S57" s="37">
        <v>974163.54</v>
      </c>
      <c r="T57" s="37">
        <v>42251.259999999995</v>
      </c>
      <c r="U57" s="37">
        <v>0</v>
      </c>
      <c r="V57" s="37">
        <v>0</v>
      </c>
      <c r="W57" s="37">
        <v>0</v>
      </c>
      <c r="X57" s="33">
        <f t="shared" si="63"/>
        <v>1016414.8</v>
      </c>
      <c r="Y57" s="36">
        <v>947395.87999999989</v>
      </c>
      <c r="Z57" s="33">
        <f t="shared" si="67"/>
        <v>69018.920000000158</v>
      </c>
      <c r="AB57" s="64">
        <v>1016414.8</v>
      </c>
      <c r="AC57" s="64">
        <v>2024.44</v>
      </c>
      <c r="AD57" s="64">
        <v>0</v>
      </c>
      <c r="AE57" s="64">
        <v>0</v>
      </c>
      <c r="AF57" s="64">
        <v>0</v>
      </c>
      <c r="AG57" s="58">
        <f t="shared" si="64"/>
        <v>1018439.24</v>
      </c>
      <c r="AH57" s="64">
        <v>993617.50999999989</v>
      </c>
      <c r="AI57" s="58">
        <f t="shared" si="68"/>
        <v>24821.730000000098</v>
      </c>
      <c r="AK57" s="64">
        <v>1018439.24</v>
      </c>
      <c r="AL57" s="64">
        <v>0</v>
      </c>
      <c r="AM57" s="64">
        <v>0</v>
      </c>
      <c r="AN57" s="64">
        <v>0</v>
      </c>
      <c r="AO57" s="64">
        <v>0</v>
      </c>
      <c r="AP57" s="58">
        <f t="shared" si="65"/>
        <v>1018439.24</v>
      </c>
      <c r="AQ57" s="64">
        <v>1008376.0599999999</v>
      </c>
      <c r="AR57" s="58">
        <f t="shared" si="69"/>
        <v>10063.180000000051</v>
      </c>
      <c r="AT57" s="80">
        <v>1018439</v>
      </c>
      <c r="AU57" s="65">
        <v>0</v>
      </c>
      <c r="AV57" s="65">
        <v>0</v>
      </c>
      <c r="AW57" s="65">
        <v>0</v>
      </c>
      <c r="AX57" s="65">
        <v>0</v>
      </c>
      <c r="AY57" s="58">
        <v>1018439</v>
      </c>
      <c r="AZ57" s="64">
        <v>1017821</v>
      </c>
      <c r="BA57" s="58">
        <v>618.5</v>
      </c>
    </row>
    <row r="58" spans="2:53" ht="15" outlineLevel="1" x14ac:dyDescent="0.25">
      <c r="B58" s="1">
        <v>11142300</v>
      </c>
      <c r="C58" s="34" t="str">
        <f t="shared" si="70"/>
        <v>COSTO AL 41274</v>
      </c>
      <c r="D58" s="34" t="str">
        <f t="shared" si="70"/>
        <v>COSTO AL 41639</v>
      </c>
      <c r="E58" s="34" t="str">
        <f t="shared" si="58"/>
        <v>COSTO AL 42004</v>
      </c>
      <c r="F58" s="34" t="str">
        <f t="shared" si="11"/>
        <v>COSTO AL 42369</v>
      </c>
      <c r="G58" s="34" t="str">
        <f t="shared" si="12"/>
        <v>COSTO AL 42735</v>
      </c>
      <c r="H58" s="34" t="str">
        <f t="shared" si="13"/>
        <v>DEPRECIACION 41639</v>
      </c>
      <c r="I58" s="34" t="str">
        <f t="shared" si="14"/>
        <v>DEPRECIACION 42004</v>
      </c>
      <c r="J58" s="34" t="str">
        <f t="shared" si="15"/>
        <v>DEPRECIACION 42369</v>
      </c>
      <c r="K58" s="34" t="str">
        <f t="shared" si="16"/>
        <v>DEPRECIACION 42735</v>
      </c>
      <c r="L58" s="34" t="str">
        <f t="shared" si="17"/>
        <v>VALOR NETO 41639</v>
      </c>
      <c r="M58" s="34" t="str">
        <f t="shared" si="18"/>
        <v>VALOR NETO 42004</v>
      </c>
      <c r="N58" s="34" t="str">
        <f t="shared" si="19"/>
        <v>VALOR NETO 42369</v>
      </c>
      <c r="O58" s="34" t="str">
        <f t="shared" si="20"/>
        <v>VALOR NETO 42735</v>
      </c>
      <c r="P58" s="34" t="str">
        <f t="shared" si="21"/>
        <v>HIDROMETEOROLOGIAMOBILIARIO Y EQUIPO DE OFICINA</v>
      </c>
      <c r="Q58" s="34" t="str">
        <f t="shared" si="66"/>
        <v>HIDROMETEOROLOGIA</v>
      </c>
      <c r="R58" s="1" t="s">
        <v>23</v>
      </c>
      <c r="S58" s="37">
        <v>251418.83</v>
      </c>
      <c r="T58" s="37">
        <v>4221.29</v>
      </c>
      <c r="U58" s="37">
        <v>0</v>
      </c>
      <c r="V58" s="37">
        <v>0</v>
      </c>
      <c r="W58" s="37">
        <v>0</v>
      </c>
      <c r="X58" s="33">
        <f t="shared" si="63"/>
        <v>255640.12</v>
      </c>
      <c r="Y58" s="36">
        <v>248113.68</v>
      </c>
      <c r="Z58" s="33">
        <f t="shared" si="67"/>
        <v>7526.4400000000023</v>
      </c>
      <c r="AB58" s="64">
        <v>255640.12</v>
      </c>
      <c r="AC58" s="64">
        <v>1977.31</v>
      </c>
      <c r="AD58" s="64">
        <v>117278.74</v>
      </c>
      <c r="AE58" s="64">
        <v>0</v>
      </c>
      <c r="AF58" s="64">
        <v>0</v>
      </c>
      <c r="AG58" s="58">
        <f t="shared" si="64"/>
        <v>140338.69</v>
      </c>
      <c r="AH58" s="64">
        <v>132187.26</v>
      </c>
      <c r="AI58" s="58">
        <f t="shared" si="68"/>
        <v>8151.429999999993</v>
      </c>
      <c r="AK58" s="64">
        <v>140338.69</v>
      </c>
      <c r="AL58" s="64">
        <v>0</v>
      </c>
      <c r="AM58" s="64">
        <v>0</v>
      </c>
      <c r="AN58" s="64">
        <v>0</v>
      </c>
      <c r="AO58" s="64">
        <v>0</v>
      </c>
      <c r="AP58" s="58">
        <f t="shared" si="65"/>
        <v>140338.69</v>
      </c>
      <c r="AQ58" s="64">
        <v>133426.58000000002</v>
      </c>
      <c r="AR58" s="58">
        <f t="shared" si="69"/>
        <v>6912.109999999986</v>
      </c>
      <c r="AT58" s="80">
        <v>140339</v>
      </c>
      <c r="AU58" s="65">
        <v>0</v>
      </c>
      <c r="AV58" s="65">
        <v>0</v>
      </c>
      <c r="AW58" s="65">
        <v>0</v>
      </c>
      <c r="AX58" s="65">
        <v>0</v>
      </c>
      <c r="AY58" s="58">
        <v>140339</v>
      </c>
      <c r="AZ58" s="64">
        <v>134521</v>
      </c>
      <c r="BA58" s="58">
        <v>5818</v>
      </c>
    </row>
    <row r="59" spans="2:53" ht="15" outlineLevel="1" x14ac:dyDescent="0.25">
      <c r="B59" s="1">
        <v>11142400</v>
      </c>
      <c r="C59" s="34" t="str">
        <f t="shared" si="70"/>
        <v>COSTO AL 41274</v>
      </c>
      <c r="D59" s="34" t="str">
        <f t="shared" si="70"/>
        <v>COSTO AL 41639</v>
      </c>
      <c r="E59" s="34" t="str">
        <f t="shared" si="58"/>
        <v>COSTO AL 42004</v>
      </c>
      <c r="F59" s="34" t="str">
        <f t="shared" si="11"/>
        <v>COSTO AL 42369</v>
      </c>
      <c r="G59" s="34" t="str">
        <f t="shared" si="12"/>
        <v>COSTO AL 42735</v>
      </c>
      <c r="H59" s="34" t="str">
        <f t="shared" si="13"/>
        <v>DEPRECIACION 41639</v>
      </c>
      <c r="I59" s="34" t="str">
        <f t="shared" si="14"/>
        <v>DEPRECIACION 42004</v>
      </c>
      <c r="J59" s="34" t="str">
        <f t="shared" si="15"/>
        <v>DEPRECIACION 42369</v>
      </c>
      <c r="K59" s="34" t="str">
        <f t="shared" si="16"/>
        <v>DEPRECIACION 42735</v>
      </c>
      <c r="L59" s="34" t="str">
        <f t="shared" si="17"/>
        <v>VALOR NETO 41639</v>
      </c>
      <c r="M59" s="34" t="str">
        <f t="shared" si="18"/>
        <v>VALOR NETO 42004</v>
      </c>
      <c r="N59" s="34" t="str">
        <f t="shared" si="19"/>
        <v>VALOR NETO 42369</v>
      </c>
      <c r="O59" s="34" t="str">
        <f t="shared" si="20"/>
        <v>VALOR NETO 42735</v>
      </c>
      <c r="P59" s="34" t="str">
        <f t="shared" si="21"/>
        <v>HIDROMETEOROLOGIAEQUIPO DE TRANSPORTE</v>
      </c>
      <c r="Q59" s="34" t="str">
        <f t="shared" si="66"/>
        <v>HIDROMETEOROLOGIA</v>
      </c>
      <c r="R59" s="1" t="s">
        <v>31</v>
      </c>
      <c r="S59" s="37">
        <v>348694.15</v>
      </c>
      <c r="T59" s="37">
        <v>0</v>
      </c>
      <c r="U59" s="37">
        <v>0</v>
      </c>
      <c r="V59" s="37">
        <v>0</v>
      </c>
      <c r="W59" s="37">
        <v>0</v>
      </c>
      <c r="X59" s="33">
        <f t="shared" si="63"/>
        <v>348694.15</v>
      </c>
      <c r="Y59" s="36">
        <v>316993.61000000004</v>
      </c>
      <c r="Z59" s="33">
        <f t="shared" si="67"/>
        <v>31700.539999999979</v>
      </c>
      <c r="AB59" s="64">
        <v>348694.15</v>
      </c>
      <c r="AC59" s="64">
        <v>0</v>
      </c>
      <c r="AD59" s="64">
        <v>61854.18</v>
      </c>
      <c r="AE59" s="64">
        <v>0</v>
      </c>
      <c r="AF59" s="64">
        <v>0</v>
      </c>
      <c r="AG59" s="58">
        <f t="shared" si="64"/>
        <v>286839.97000000003</v>
      </c>
      <c r="AH59" s="64">
        <v>263785.03000000003</v>
      </c>
      <c r="AI59" s="58">
        <f t="shared" si="68"/>
        <v>23054.940000000002</v>
      </c>
      <c r="AK59" s="64">
        <v>286839.97000000003</v>
      </c>
      <c r="AL59" s="64">
        <v>0</v>
      </c>
      <c r="AM59" s="64">
        <v>0</v>
      </c>
      <c r="AN59" s="64">
        <v>0</v>
      </c>
      <c r="AO59" s="64">
        <v>0</v>
      </c>
      <c r="AP59" s="58">
        <f t="shared" si="65"/>
        <v>286839.97000000003</v>
      </c>
      <c r="AQ59" s="64">
        <v>272430.63</v>
      </c>
      <c r="AR59" s="58">
        <f t="shared" si="69"/>
        <v>14409.340000000026</v>
      </c>
      <c r="AT59" s="80">
        <v>286840</v>
      </c>
      <c r="AU59" s="65">
        <v>0</v>
      </c>
      <c r="AV59" s="65">
        <v>0</v>
      </c>
      <c r="AW59" s="65">
        <v>0</v>
      </c>
      <c r="AX59" s="65">
        <v>0</v>
      </c>
      <c r="AY59" s="58">
        <v>286840</v>
      </c>
      <c r="AZ59" s="64">
        <v>281076</v>
      </c>
      <c r="BA59" s="58">
        <v>5764</v>
      </c>
    </row>
    <row r="60" spans="2:53" ht="15" outlineLevel="1" x14ac:dyDescent="0.25">
      <c r="B60" s="1">
        <v>11143200</v>
      </c>
      <c r="C60" s="34" t="str">
        <f t="shared" si="70"/>
        <v>COSTO AL 41274</v>
      </c>
      <c r="D60" s="34" t="str">
        <f t="shared" si="70"/>
        <v>COSTO AL 41639</v>
      </c>
      <c r="E60" s="34" t="str">
        <f t="shared" si="58"/>
        <v>COSTO AL 42004</v>
      </c>
      <c r="F60" s="34" t="str">
        <f t="shared" si="11"/>
        <v>COSTO AL 42369</v>
      </c>
      <c r="G60" s="34" t="str">
        <f t="shared" si="12"/>
        <v>COSTO AL 42735</v>
      </c>
      <c r="H60" s="34" t="str">
        <f t="shared" si="13"/>
        <v>DEPRECIACION 41639</v>
      </c>
      <c r="I60" s="34" t="str">
        <f t="shared" si="14"/>
        <v>DEPRECIACION 42004</v>
      </c>
      <c r="J60" s="34" t="str">
        <f t="shared" si="15"/>
        <v>DEPRECIACION 42369</v>
      </c>
      <c r="K60" s="34" t="str">
        <f t="shared" si="16"/>
        <v>DEPRECIACION 42735</v>
      </c>
      <c r="L60" s="34" t="str">
        <f t="shared" si="17"/>
        <v>VALOR NETO 41639</v>
      </c>
      <c r="M60" s="34" t="str">
        <f t="shared" si="18"/>
        <v>VALOR NETO 42004</v>
      </c>
      <c r="N60" s="34" t="str">
        <f t="shared" si="19"/>
        <v>VALOR NETO 42369</v>
      </c>
      <c r="O60" s="34" t="str">
        <f t="shared" si="20"/>
        <v>VALOR NETO 42735</v>
      </c>
      <c r="P60" s="34" t="str">
        <f t="shared" si="21"/>
        <v>HIDROMETEOROLOGIAESTACIONES HIDROLÓGICAS</v>
      </c>
      <c r="Q60" s="34" t="str">
        <f t="shared" si="66"/>
        <v>HIDROMETEOROLOGIA</v>
      </c>
      <c r="R60" s="1" t="s">
        <v>33</v>
      </c>
      <c r="S60" s="37">
        <v>1646639.9</v>
      </c>
      <c r="T60" s="37">
        <v>81112.37</v>
      </c>
      <c r="U60" s="37">
        <v>95523.78</v>
      </c>
      <c r="V60" s="37">
        <v>0</v>
      </c>
      <c r="W60" s="37">
        <v>0</v>
      </c>
      <c r="X60" s="33">
        <f t="shared" si="63"/>
        <v>1632228.49</v>
      </c>
      <c r="Y60" s="36">
        <v>1274930.6499999999</v>
      </c>
      <c r="Z60" s="33">
        <f t="shared" si="67"/>
        <v>357297.84000000008</v>
      </c>
      <c r="AB60" s="64">
        <v>1632228.49</v>
      </c>
      <c r="AC60" s="64">
        <v>45085.68</v>
      </c>
      <c r="AD60" s="64">
        <v>0</v>
      </c>
      <c r="AE60" s="64">
        <v>0</v>
      </c>
      <c r="AF60" s="64">
        <v>0</v>
      </c>
      <c r="AG60" s="58">
        <f t="shared" si="64"/>
        <v>1677314.17</v>
      </c>
      <c r="AH60" s="64">
        <v>1297718.5299999998</v>
      </c>
      <c r="AI60" s="58">
        <f t="shared" si="68"/>
        <v>379595.64000000013</v>
      </c>
      <c r="AK60" s="64">
        <v>1677314.17</v>
      </c>
      <c r="AL60" s="64">
        <v>0</v>
      </c>
      <c r="AM60" s="64">
        <v>0</v>
      </c>
      <c r="AN60" s="64">
        <v>0</v>
      </c>
      <c r="AO60" s="64">
        <v>0</v>
      </c>
      <c r="AP60" s="58">
        <f t="shared" si="65"/>
        <v>1677314.17</v>
      </c>
      <c r="AQ60" s="64">
        <v>1311572.2499999998</v>
      </c>
      <c r="AR60" s="58">
        <f t="shared" si="69"/>
        <v>365741.92000000016</v>
      </c>
      <c r="AT60" s="80">
        <v>1677314</v>
      </c>
      <c r="AU60" s="65">
        <v>0</v>
      </c>
      <c r="AV60" s="65">
        <v>0</v>
      </c>
      <c r="AW60" s="65">
        <v>0</v>
      </c>
      <c r="AX60" s="65">
        <v>0</v>
      </c>
      <c r="AY60" s="58">
        <v>1677314</v>
      </c>
      <c r="AZ60" s="64">
        <v>1325426</v>
      </c>
      <c r="BA60" s="58">
        <v>351888</v>
      </c>
    </row>
    <row r="61" spans="2:53" ht="15" outlineLevel="1" x14ac:dyDescent="0.25">
      <c r="B61" s="1">
        <v>11143400</v>
      </c>
      <c r="C61" s="34" t="str">
        <f t="shared" si="70"/>
        <v>COSTO AL 41274</v>
      </c>
      <c r="D61" s="34" t="str">
        <f t="shared" si="70"/>
        <v>COSTO AL 41639</v>
      </c>
      <c r="E61" s="34" t="str">
        <f t="shared" si="58"/>
        <v>COSTO AL 42004</v>
      </c>
      <c r="F61" s="34" t="str">
        <f t="shared" si="11"/>
        <v>COSTO AL 42369</v>
      </c>
      <c r="G61" s="34" t="str">
        <f t="shared" si="12"/>
        <v>COSTO AL 42735</v>
      </c>
      <c r="H61" s="34" t="str">
        <f t="shared" si="13"/>
        <v>DEPRECIACION 41639</v>
      </c>
      <c r="I61" s="34" t="str">
        <f t="shared" si="14"/>
        <v>DEPRECIACION 42004</v>
      </c>
      <c r="J61" s="34" t="str">
        <f t="shared" si="15"/>
        <v>DEPRECIACION 42369</v>
      </c>
      <c r="K61" s="34" t="str">
        <f t="shared" si="16"/>
        <v>DEPRECIACION 42735</v>
      </c>
      <c r="L61" s="34" t="str">
        <f t="shared" si="17"/>
        <v>VALOR NETO 41639</v>
      </c>
      <c r="M61" s="34" t="str">
        <f t="shared" si="18"/>
        <v>VALOR NETO 42004</v>
      </c>
      <c r="N61" s="34" t="str">
        <f t="shared" si="19"/>
        <v>VALOR NETO 42369</v>
      </c>
      <c r="O61" s="34" t="str">
        <f t="shared" si="20"/>
        <v>VALOR NETO 42735</v>
      </c>
      <c r="P61" s="34" t="str">
        <f t="shared" si="21"/>
        <v>HIDROMETEOROLOGIAESTACIONES METEOROLÓGICAS</v>
      </c>
      <c r="Q61" s="34" t="str">
        <f t="shared" si="66"/>
        <v>HIDROMETEOROLOGIA</v>
      </c>
      <c r="R61" s="1" t="s">
        <v>34</v>
      </c>
      <c r="S61" s="37">
        <v>1718170.6800000002</v>
      </c>
      <c r="T61" s="37">
        <v>739453.59000000008</v>
      </c>
      <c r="U61" s="37">
        <v>0</v>
      </c>
      <c r="V61" s="37">
        <v>0</v>
      </c>
      <c r="W61" s="37">
        <v>0</v>
      </c>
      <c r="X61" s="33">
        <f t="shared" si="63"/>
        <v>2457624.2700000005</v>
      </c>
      <c r="Y61" s="36">
        <v>518739.11</v>
      </c>
      <c r="Z61" s="33">
        <f t="shared" si="67"/>
        <v>1938885.1600000006</v>
      </c>
      <c r="AB61" s="64">
        <v>2457624.2700000005</v>
      </c>
      <c r="AC61" s="64">
        <v>14099.39</v>
      </c>
      <c r="AD61" s="64">
        <v>0</v>
      </c>
      <c r="AE61" s="64">
        <v>0</v>
      </c>
      <c r="AF61" s="64">
        <v>0</v>
      </c>
      <c r="AG61" s="58">
        <f t="shared" si="64"/>
        <v>2471723.6600000006</v>
      </c>
      <c r="AH61" s="64">
        <v>586060.98</v>
      </c>
      <c r="AI61" s="58">
        <f t="shared" si="68"/>
        <v>1885662.6800000006</v>
      </c>
      <c r="AK61" s="64">
        <v>2471723.6600000006</v>
      </c>
      <c r="AL61" s="64">
        <v>0</v>
      </c>
      <c r="AM61" s="64">
        <v>0</v>
      </c>
      <c r="AN61" s="64">
        <v>0</v>
      </c>
      <c r="AO61" s="64">
        <v>0</v>
      </c>
      <c r="AP61" s="58">
        <f t="shared" si="65"/>
        <v>2471723.6600000006</v>
      </c>
      <c r="AQ61" s="64">
        <v>653239.4</v>
      </c>
      <c r="AR61" s="58">
        <f t="shared" si="69"/>
        <v>1818484.2600000007</v>
      </c>
      <c r="AT61" s="80">
        <v>2471724</v>
      </c>
      <c r="AU61" s="65">
        <v>0</v>
      </c>
      <c r="AV61" s="65">
        <v>0</v>
      </c>
      <c r="AW61" s="65">
        <v>0</v>
      </c>
      <c r="AX61" s="65">
        <v>0</v>
      </c>
      <c r="AY61" s="58">
        <v>2471724</v>
      </c>
      <c r="AZ61" s="64">
        <v>720418</v>
      </c>
      <c r="BA61" s="58">
        <v>1751306</v>
      </c>
    </row>
    <row r="62" spans="2:53" ht="15" outlineLevel="1" x14ac:dyDescent="0.25">
      <c r="B62" s="1">
        <v>11143600</v>
      </c>
      <c r="C62" s="34" t="str">
        <f t="shared" si="70"/>
        <v>COSTO AL 41274</v>
      </c>
      <c r="D62" s="34" t="str">
        <f t="shared" si="70"/>
        <v>COSTO AL 41639</v>
      </c>
      <c r="E62" s="34" t="str">
        <f t="shared" si="58"/>
        <v>COSTO AL 42004</v>
      </c>
      <c r="F62" s="34" t="str">
        <f t="shared" si="11"/>
        <v>COSTO AL 42369</v>
      </c>
      <c r="G62" s="34" t="str">
        <f t="shared" si="12"/>
        <v>COSTO AL 42735</v>
      </c>
      <c r="H62" s="34" t="str">
        <f t="shared" si="13"/>
        <v>DEPRECIACION 41639</v>
      </c>
      <c r="I62" s="34" t="str">
        <f t="shared" si="14"/>
        <v>DEPRECIACION 42004</v>
      </c>
      <c r="J62" s="34" t="str">
        <f t="shared" si="15"/>
        <v>DEPRECIACION 42369</v>
      </c>
      <c r="K62" s="34" t="str">
        <f t="shared" si="16"/>
        <v>DEPRECIACION 42735</v>
      </c>
      <c r="L62" s="34" t="str">
        <f t="shared" si="17"/>
        <v>VALOR NETO 41639</v>
      </c>
      <c r="M62" s="34" t="str">
        <f t="shared" si="18"/>
        <v>VALOR NETO 42004</v>
      </c>
      <c r="N62" s="34" t="str">
        <f t="shared" si="19"/>
        <v>VALOR NETO 42369</v>
      </c>
      <c r="O62" s="34" t="str">
        <f t="shared" si="20"/>
        <v>VALOR NETO 42735</v>
      </c>
      <c r="P62" s="34" t="str">
        <f t="shared" si="21"/>
        <v>HIDROMETEOROLOGIAEQUIPO DE HIDROMETEOROLOGÍA</v>
      </c>
      <c r="Q62" s="34" t="str">
        <f t="shared" si="66"/>
        <v>HIDROMETEOROLOGIA</v>
      </c>
      <c r="R62" s="1" t="s">
        <v>35</v>
      </c>
      <c r="S62" s="40">
        <v>1715355.17</v>
      </c>
      <c r="T62" s="37">
        <v>233889.13</v>
      </c>
      <c r="U62" s="37">
        <v>0</v>
      </c>
      <c r="V62" s="37">
        <v>0</v>
      </c>
      <c r="W62" s="37">
        <v>0</v>
      </c>
      <c r="X62" s="33">
        <f t="shared" si="63"/>
        <v>1949244.2999999998</v>
      </c>
      <c r="Y62" s="36">
        <v>600834.73</v>
      </c>
      <c r="Z62" s="33">
        <f t="shared" si="67"/>
        <v>1348409.5699999998</v>
      </c>
      <c r="AB62" s="66">
        <v>1949244.2999999998</v>
      </c>
      <c r="AC62" s="64">
        <v>83051.100000000006</v>
      </c>
      <c r="AD62" s="64">
        <v>0</v>
      </c>
      <c r="AE62" s="64">
        <v>0</v>
      </c>
      <c r="AF62" s="64">
        <v>0</v>
      </c>
      <c r="AG62" s="58">
        <f t="shared" si="64"/>
        <v>2032295.4</v>
      </c>
      <c r="AH62" s="64">
        <v>647929.11</v>
      </c>
      <c r="AI62" s="58">
        <f t="shared" si="68"/>
        <v>1384366.29</v>
      </c>
      <c r="AK62" s="66">
        <v>2032295.4</v>
      </c>
      <c r="AL62" s="64">
        <v>140169.9</v>
      </c>
      <c r="AM62" s="64">
        <v>0</v>
      </c>
      <c r="AN62" s="64">
        <v>0</v>
      </c>
      <c r="AO62" s="64">
        <v>0</v>
      </c>
      <c r="AP62" s="58">
        <f t="shared" si="65"/>
        <v>2172465.2999999998</v>
      </c>
      <c r="AQ62" s="64">
        <v>698541.12</v>
      </c>
      <c r="AR62" s="58">
        <f t="shared" si="69"/>
        <v>1473924.1799999997</v>
      </c>
      <c r="AT62" s="81">
        <v>2172465</v>
      </c>
      <c r="AU62" s="65">
        <v>0</v>
      </c>
      <c r="AV62" s="65">
        <v>0</v>
      </c>
      <c r="AW62" s="65">
        <v>0</v>
      </c>
      <c r="AX62" s="65">
        <v>0</v>
      </c>
      <c r="AY62" s="58">
        <v>2172465</v>
      </c>
      <c r="AZ62" s="64">
        <v>749487</v>
      </c>
      <c r="BA62" s="58">
        <v>1422978</v>
      </c>
    </row>
    <row r="63" spans="2:53" ht="13.5" thickBot="1" x14ac:dyDescent="0.25">
      <c r="C63" s="34" t="str">
        <f t="shared" si="70"/>
        <v>COSTO AL 41274</v>
      </c>
      <c r="D63" s="34" t="str">
        <f t="shared" si="70"/>
        <v>COSTO AL 41639</v>
      </c>
      <c r="E63" s="34" t="str">
        <f t="shared" si="58"/>
        <v>COSTO AL 42004</v>
      </c>
      <c r="F63" s="34" t="str">
        <f t="shared" si="11"/>
        <v>COSTO AL 42369</v>
      </c>
      <c r="G63" s="34" t="str">
        <f t="shared" si="12"/>
        <v>COSTO AL 42735</v>
      </c>
      <c r="H63" s="34" t="str">
        <f t="shared" si="13"/>
        <v>DEPRECIACION 41639</v>
      </c>
      <c r="I63" s="34" t="str">
        <f t="shared" si="14"/>
        <v>DEPRECIACION 42004</v>
      </c>
      <c r="J63" s="34" t="str">
        <f t="shared" si="15"/>
        <v>DEPRECIACION 42369</v>
      </c>
      <c r="K63" s="34" t="str">
        <f t="shared" si="16"/>
        <v>DEPRECIACION 42735</v>
      </c>
      <c r="L63" s="34" t="str">
        <f t="shared" si="17"/>
        <v>VALOR NETO 41639</v>
      </c>
      <c r="M63" s="34" t="str">
        <f t="shared" si="18"/>
        <v>VALOR NETO 42004</v>
      </c>
      <c r="N63" s="34" t="str">
        <f t="shared" si="19"/>
        <v>VALOR NETO 42369</v>
      </c>
      <c r="O63" s="34" t="str">
        <f t="shared" si="20"/>
        <v>VALOR NETO 42735</v>
      </c>
      <c r="P63" s="34" t="str">
        <f t="shared" si="21"/>
        <v>HIDROMETEOROLOGIASUB TOTAL</v>
      </c>
      <c r="Q63" s="34" t="str">
        <f t="shared" si="66"/>
        <v>HIDROMETEOROLOGIA</v>
      </c>
      <c r="R63" s="38" t="s">
        <v>25</v>
      </c>
      <c r="S63" s="39">
        <f>SUM(S55:S62)</f>
        <v>6905187.4500000002</v>
      </c>
      <c r="T63" s="39">
        <f t="shared" ref="T63:Z63" si="71">SUM(T55:T62)</f>
        <v>1100927.6400000001</v>
      </c>
      <c r="U63" s="39">
        <f t="shared" si="71"/>
        <v>95523.78</v>
      </c>
      <c r="V63" s="39">
        <f t="shared" si="71"/>
        <v>0</v>
      </c>
      <c r="W63" s="39">
        <f t="shared" si="71"/>
        <v>0</v>
      </c>
      <c r="X63" s="52">
        <f t="shared" si="71"/>
        <v>7910591.3100000005</v>
      </c>
      <c r="Y63" s="52">
        <f t="shared" si="71"/>
        <v>4000437.7199999997</v>
      </c>
      <c r="Z63" s="52">
        <f t="shared" si="71"/>
        <v>3910153.5900000008</v>
      </c>
      <c r="AB63" s="59">
        <f>SUM(AB55:AB62)</f>
        <v>7910591.3100000005</v>
      </c>
      <c r="AC63" s="59">
        <f t="shared" ref="AC63:AI63" si="72">SUM(AC55:AC62)</f>
        <v>146237.92000000001</v>
      </c>
      <c r="AD63" s="59">
        <f t="shared" si="72"/>
        <v>179132.92</v>
      </c>
      <c r="AE63" s="59">
        <f t="shared" si="72"/>
        <v>0</v>
      </c>
      <c r="AF63" s="59">
        <f t="shared" si="72"/>
        <v>0</v>
      </c>
      <c r="AG63" s="70">
        <f t="shared" si="72"/>
        <v>7877696.3100000005</v>
      </c>
      <c r="AH63" s="70">
        <f t="shared" si="72"/>
        <v>4038897.6099999994</v>
      </c>
      <c r="AI63" s="70">
        <f t="shared" si="72"/>
        <v>3838798.7000000011</v>
      </c>
      <c r="AK63" s="70">
        <f>SUM(AK55:AK62)</f>
        <v>7877696.3100000005</v>
      </c>
      <c r="AL63" s="70">
        <f t="shared" ref="AL63:AR63" si="73">SUM(AL55:AL62)</f>
        <v>142709.00999999998</v>
      </c>
      <c r="AM63" s="70">
        <f t="shared" si="73"/>
        <v>0</v>
      </c>
      <c r="AN63" s="70">
        <f t="shared" si="73"/>
        <v>0</v>
      </c>
      <c r="AO63" s="70">
        <f t="shared" si="73"/>
        <v>0</v>
      </c>
      <c r="AP63" s="70">
        <f t="shared" si="73"/>
        <v>8020405.3200000003</v>
      </c>
      <c r="AQ63" s="70">
        <f t="shared" si="73"/>
        <v>4219486.7799999993</v>
      </c>
      <c r="AR63" s="70">
        <f t="shared" si="73"/>
        <v>3800918.5400000005</v>
      </c>
      <c r="AT63" s="21">
        <f>SUM(AT55:AT62)</f>
        <v>8020406</v>
      </c>
      <c r="AU63" s="21">
        <f t="shared" ref="AU63:BA63" si="74">SUM(AU55:AU62)</f>
        <v>0</v>
      </c>
      <c r="AV63" s="21">
        <f t="shared" si="74"/>
        <v>0</v>
      </c>
      <c r="AW63" s="21">
        <f t="shared" si="74"/>
        <v>0</v>
      </c>
      <c r="AX63" s="21">
        <f t="shared" si="74"/>
        <v>0</v>
      </c>
      <c r="AY63" s="21">
        <f t="shared" si="74"/>
        <v>8020406</v>
      </c>
      <c r="AZ63" s="21">
        <f t="shared" si="74"/>
        <v>4395041</v>
      </c>
      <c r="BA63" s="21">
        <f t="shared" si="74"/>
        <v>3625364</v>
      </c>
    </row>
    <row r="64" spans="2:53" ht="15.75" thickTop="1" x14ac:dyDescent="0.25">
      <c r="C64" s="34" t="str">
        <f t="shared" si="70"/>
        <v>COSTO AL 41274</v>
      </c>
      <c r="D64" s="34" t="str">
        <f t="shared" si="70"/>
        <v>COSTO AL 41639</v>
      </c>
      <c r="E64" s="34" t="str">
        <f t="shared" si="58"/>
        <v>COSTO AL 42004</v>
      </c>
      <c r="F64" s="34" t="str">
        <f t="shared" si="11"/>
        <v>COSTO AL 42369</v>
      </c>
      <c r="G64" s="34" t="str">
        <f t="shared" si="12"/>
        <v>COSTO AL 42735</v>
      </c>
      <c r="H64" s="34" t="str">
        <f t="shared" si="13"/>
        <v>DEPRECIACION 41639</v>
      </c>
      <c r="I64" s="34" t="str">
        <f t="shared" si="14"/>
        <v>DEPRECIACION 42004</v>
      </c>
      <c r="J64" s="34" t="str">
        <f t="shared" si="15"/>
        <v>DEPRECIACION 42369</v>
      </c>
      <c r="K64" s="34" t="str">
        <f t="shared" si="16"/>
        <v>DEPRECIACION 42735</v>
      </c>
      <c r="L64" s="34" t="str">
        <f t="shared" si="17"/>
        <v>VALOR NETO 41639</v>
      </c>
      <c r="M64" s="34" t="str">
        <f t="shared" si="18"/>
        <v>VALOR NETO 42004</v>
      </c>
      <c r="N64" s="34" t="str">
        <f t="shared" si="19"/>
        <v>VALOR NETO 42369</v>
      </c>
      <c r="O64" s="34" t="str">
        <f t="shared" si="20"/>
        <v>VALOR NETO 42735</v>
      </c>
      <c r="P64" s="34" t="str">
        <f t="shared" si="21"/>
        <v>GERENCIAL APOYO</v>
      </c>
      <c r="Q64" s="34"/>
      <c r="R64" s="54" t="s">
        <v>36</v>
      </c>
      <c r="T64" s="34"/>
      <c r="U64" s="34"/>
      <c r="V64" s="34"/>
      <c r="W64" s="34"/>
      <c r="X64" s="33"/>
      <c r="Y64" s="33"/>
      <c r="Z64" s="33"/>
      <c r="AB64" s="57"/>
      <c r="AC64" s="57"/>
      <c r="AD64" s="57"/>
      <c r="AE64" s="57"/>
      <c r="AF64" s="57"/>
      <c r="AG64" s="58"/>
      <c r="AH64" s="58"/>
      <c r="AI64" s="58"/>
      <c r="AK64" s="58"/>
      <c r="AL64" s="58"/>
      <c r="AM64" s="58"/>
      <c r="AN64" s="58"/>
      <c r="AO64" s="58"/>
      <c r="AP64" s="58"/>
      <c r="AQ64" s="58"/>
      <c r="AR64" s="58"/>
      <c r="AT64" s="20"/>
      <c r="AU64" s="19"/>
      <c r="AV64" s="19"/>
      <c r="AW64" s="19"/>
      <c r="AX64" s="19"/>
      <c r="AY64" s="58"/>
      <c r="AZ64" s="58"/>
      <c r="BA64" s="58"/>
    </row>
    <row r="65" spans="2:53" x14ac:dyDescent="0.2">
      <c r="C65" s="34" t="str">
        <f t="shared" si="70"/>
        <v>COSTO AL 41274</v>
      </c>
      <c r="D65" s="34" t="str">
        <f t="shared" si="70"/>
        <v>COSTO AL 41639</v>
      </c>
      <c r="E65" s="34" t="str">
        <f t="shared" si="58"/>
        <v>COSTO AL 42004</v>
      </c>
      <c r="F65" s="34" t="str">
        <f t="shared" si="11"/>
        <v>COSTO AL 42369</v>
      </c>
      <c r="G65" s="34" t="str">
        <f t="shared" si="12"/>
        <v>COSTO AL 42735</v>
      </c>
      <c r="H65" s="34" t="str">
        <f t="shared" si="13"/>
        <v>DEPRECIACION 41639</v>
      </c>
      <c r="I65" s="34" t="str">
        <f t="shared" si="14"/>
        <v>DEPRECIACION 42004</v>
      </c>
      <c r="J65" s="34" t="str">
        <f t="shared" si="15"/>
        <v>DEPRECIACION 42369</v>
      </c>
      <c r="K65" s="34" t="str">
        <f t="shared" si="16"/>
        <v>DEPRECIACION 42735</v>
      </c>
      <c r="L65" s="34" t="str">
        <f t="shared" si="17"/>
        <v>VALOR NETO 41639</v>
      </c>
      <c r="M65" s="34" t="str">
        <f t="shared" si="18"/>
        <v>VALOR NETO 42004</v>
      </c>
      <c r="N65" s="34" t="str">
        <f t="shared" si="19"/>
        <v>VALOR NETO 42369</v>
      </c>
      <c r="O65" s="34" t="str">
        <f t="shared" si="20"/>
        <v>VALOR NETO 42735</v>
      </c>
      <c r="P65" s="34" t="str">
        <f t="shared" si="21"/>
        <v/>
      </c>
      <c r="T65" s="34"/>
      <c r="U65" s="34"/>
      <c r="V65" s="34"/>
      <c r="W65" s="34"/>
      <c r="X65" s="33"/>
      <c r="Y65" s="33"/>
      <c r="Z65" s="33"/>
      <c r="AB65" s="57"/>
      <c r="AC65" s="57"/>
      <c r="AD65" s="57"/>
      <c r="AE65" s="57"/>
      <c r="AF65" s="57"/>
      <c r="AG65" s="58"/>
      <c r="AH65" s="58"/>
      <c r="AI65" s="58"/>
      <c r="AK65" s="58"/>
      <c r="AL65" s="58"/>
      <c r="AM65" s="58"/>
      <c r="AN65" s="58"/>
      <c r="AO65" s="58"/>
      <c r="AP65" s="58"/>
      <c r="AQ65" s="58"/>
      <c r="AR65" s="58"/>
      <c r="AT65" s="19"/>
      <c r="AU65" s="19"/>
      <c r="AV65" s="19"/>
      <c r="AW65" s="19"/>
      <c r="AX65" s="19"/>
      <c r="AY65" s="58"/>
      <c r="AZ65" s="58"/>
      <c r="BA65" s="58"/>
    </row>
    <row r="66" spans="2:53" ht="15" outlineLevel="1" x14ac:dyDescent="0.25">
      <c r="B66" s="1">
        <v>11150100</v>
      </c>
      <c r="C66" s="34" t="str">
        <f t="shared" si="70"/>
        <v>COSTO AL 41274</v>
      </c>
      <c r="D66" s="34" t="str">
        <f t="shared" si="70"/>
        <v>COSTO AL 41639</v>
      </c>
      <c r="E66" s="34" t="str">
        <f t="shared" si="58"/>
        <v>COSTO AL 42004</v>
      </c>
      <c r="F66" s="34" t="str">
        <f t="shared" si="11"/>
        <v>COSTO AL 42369</v>
      </c>
      <c r="G66" s="34" t="str">
        <f t="shared" si="12"/>
        <v>COSTO AL 42735</v>
      </c>
      <c r="H66" s="34" t="str">
        <f t="shared" si="13"/>
        <v>DEPRECIACION 41639</v>
      </c>
      <c r="I66" s="34" t="str">
        <f t="shared" si="14"/>
        <v>DEPRECIACION 42004</v>
      </c>
      <c r="J66" s="34" t="str">
        <f t="shared" si="15"/>
        <v>DEPRECIACION 42369</v>
      </c>
      <c r="K66" s="34" t="str">
        <f t="shared" si="16"/>
        <v>DEPRECIACION 42735</v>
      </c>
      <c r="L66" s="34" t="str">
        <f t="shared" si="17"/>
        <v>VALOR NETO 41639</v>
      </c>
      <c r="M66" s="34" t="str">
        <f t="shared" si="18"/>
        <v>VALOR NETO 42004</v>
      </c>
      <c r="N66" s="34" t="str">
        <f t="shared" si="19"/>
        <v>VALOR NETO 42369</v>
      </c>
      <c r="O66" s="34" t="str">
        <f t="shared" si="20"/>
        <v>VALOR NETO 42735</v>
      </c>
      <c r="P66" s="34" t="str">
        <f t="shared" si="21"/>
        <v>GERENCIAL APOYOTERRENOS</v>
      </c>
      <c r="Q66" s="34" t="str">
        <f>+$R$64</f>
        <v>GERENCIAL APOYO</v>
      </c>
      <c r="R66" s="1" t="s">
        <v>10</v>
      </c>
      <c r="S66" s="37">
        <v>362474.58999999985</v>
      </c>
      <c r="T66" s="37">
        <v>0</v>
      </c>
      <c r="U66" s="37">
        <v>0</v>
      </c>
      <c r="V66" s="37">
        <v>0</v>
      </c>
      <c r="W66" s="37">
        <v>0</v>
      </c>
      <c r="X66" s="33">
        <f>+S66+T66-U66+V66+W66</f>
        <v>362474.58999999985</v>
      </c>
      <c r="Y66" s="33">
        <v>0</v>
      </c>
      <c r="Z66" s="33">
        <f>+X66-Y66</f>
        <v>362474.58999999985</v>
      </c>
      <c r="AB66" s="64">
        <v>362474.58999999985</v>
      </c>
      <c r="AC66" s="64">
        <v>0</v>
      </c>
      <c r="AD66" s="64">
        <v>90000</v>
      </c>
      <c r="AE66" s="64">
        <v>0</v>
      </c>
      <c r="AF66" s="64">
        <v>0</v>
      </c>
      <c r="AG66" s="58">
        <f>+AB66+AC66-AD66+AE66+AF66</f>
        <v>272474.58999999985</v>
      </c>
      <c r="AH66" s="64">
        <v>0</v>
      </c>
      <c r="AI66" s="58">
        <f>+AG66-AH66</f>
        <v>272474.58999999985</v>
      </c>
      <c r="AK66" s="64">
        <v>272474.58999999985</v>
      </c>
      <c r="AL66" s="64">
        <v>0</v>
      </c>
      <c r="AM66" s="64">
        <v>0</v>
      </c>
      <c r="AN66" s="64">
        <v>0</v>
      </c>
      <c r="AO66" s="64">
        <v>0</v>
      </c>
      <c r="AP66" s="58">
        <f>+AK66+AL66-AM66+AN66+AO66</f>
        <v>272474.58999999985</v>
      </c>
      <c r="AQ66" s="64">
        <v>0</v>
      </c>
      <c r="AR66" s="58">
        <f>+AP66-AQ66</f>
        <v>272474.58999999985</v>
      </c>
      <c r="AT66" s="80">
        <v>272475</v>
      </c>
      <c r="AU66" s="65">
        <v>0</v>
      </c>
      <c r="AV66" s="65">
        <v>0</v>
      </c>
      <c r="AW66" s="65">
        <v>0</v>
      </c>
      <c r="AX66" s="65">
        <v>0</v>
      </c>
      <c r="AY66" s="58">
        <v>272475</v>
      </c>
      <c r="AZ66" s="64">
        <v>0</v>
      </c>
      <c r="BA66" s="58">
        <v>272475</v>
      </c>
    </row>
    <row r="67" spans="2:53" ht="15" outlineLevel="1" x14ac:dyDescent="0.25">
      <c r="B67" s="1">
        <v>11150200</v>
      </c>
      <c r="C67" s="34" t="str">
        <f t="shared" si="70"/>
        <v>COSTO AL 41274</v>
      </c>
      <c r="D67" s="34" t="str">
        <f t="shared" si="70"/>
        <v>COSTO AL 41639</v>
      </c>
      <c r="E67" s="34" t="str">
        <f t="shared" si="58"/>
        <v>COSTO AL 42004</v>
      </c>
      <c r="F67" s="34" t="str">
        <f t="shared" si="11"/>
        <v>COSTO AL 42369</v>
      </c>
      <c r="G67" s="34" t="str">
        <f t="shared" si="12"/>
        <v>COSTO AL 42735</v>
      </c>
      <c r="H67" s="34" t="str">
        <f t="shared" si="13"/>
        <v>DEPRECIACION 41639</v>
      </c>
      <c r="I67" s="34" t="str">
        <f t="shared" si="14"/>
        <v>DEPRECIACION 42004</v>
      </c>
      <c r="J67" s="34" t="str">
        <f t="shared" si="15"/>
        <v>DEPRECIACION 42369</v>
      </c>
      <c r="K67" s="34" t="str">
        <f t="shared" si="16"/>
        <v>DEPRECIACION 42735</v>
      </c>
      <c r="L67" s="34" t="str">
        <f t="shared" si="17"/>
        <v>VALOR NETO 41639</v>
      </c>
      <c r="M67" s="34" t="str">
        <f t="shared" si="18"/>
        <v>VALOR NETO 42004</v>
      </c>
      <c r="N67" s="34" t="str">
        <f t="shared" si="19"/>
        <v>VALOR NETO 42369</v>
      </c>
      <c r="O67" s="34" t="str">
        <f t="shared" si="20"/>
        <v>VALOR NETO 42735</v>
      </c>
      <c r="P67" s="34" t="str">
        <f t="shared" si="21"/>
        <v>GERENCIAL APOYOEDIFICIOS Y MEJORAS</v>
      </c>
      <c r="Q67" s="34" t="str">
        <f t="shared" ref="Q67:Q76" si="75">+$R$64</f>
        <v>GERENCIAL APOYO</v>
      </c>
      <c r="R67" s="1" t="s">
        <v>11</v>
      </c>
      <c r="S67" s="37">
        <v>981996.1799999997</v>
      </c>
      <c r="T67" s="37">
        <v>0</v>
      </c>
      <c r="U67" s="37">
        <v>0</v>
      </c>
      <c r="V67" s="37">
        <v>0</v>
      </c>
      <c r="W67" s="37">
        <v>0</v>
      </c>
      <c r="X67" s="33">
        <f>+S67+T67-U67+V67+W67</f>
        <v>981996.1799999997</v>
      </c>
      <c r="Y67" s="33">
        <v>244165.46000000008</v>
      </c>
      <c r="Z67" s="33">
        <f t="shared" ref="Z67:Z75" si="76">+X67-Y67</f>
        <v>737830.71999999962</v>
      </c>
      <c r="AB67" s="64">
        <v>981996.1799999997</v>
      </c>
      <c r="AC67" s="64">
        <v>0</v>
      </c>
      <c r="AD67" s="64">
        <v>0</v>
      </c>
      <c r="AE67" s="64">
        <v>0</v>
      </c>
      <c r="AF67" s="64">
        <v>0</v>
      </c>
      <c r="AG67" s="58">
        <f>+AB67+AC67-AD67+AE67+AF67</f>
        <v>981996.1799999997</v>
      </c>
      <c r="AH67" s="64">
        <v>272222.35000000009</v>
      </c>
      <c r="AI67" s="58">
        <f t="shared" ref="AI67:AI75" si="77">+AG67-AH67</f>
        <v>709773.82999999961</v>
      </c>
      <c r="AK67" s="64">
        <v>981996.1799999997</v>
      </c>
      <c r="AL67" s="64">
        <v>0</v>
      </c>
      <c r="AM67" s="64">
        <v>0</v>
      </c>
      <c r="AN67" s="64">
        <v>0</v>
      </c>
      <c r="AO67" s="64">
        <v>0</v>
      </c>
      <c r="AP67" s="58">
        <f>+AK67+AL67-AM67+AN67+AO67</f>
        <v>981996.1799999997</v>
      </c>
      <c r="AQ67" s="64">
        <v>300279.24000000011</v>
      </c>
      <c r="AR67" s="58">
        <f t="shared" ref="AR67:AR75" si="78">+AP67-AQ67</f>
        <v>681716.93999999959</v>
      </c>
      <c r="AT67" s="80">
        <v>981996</v>
      </c>
      <c r="AU67" s="65">
        <v>0</v>
      </c>
      <c r="AV67" s="65">
        <v>0</v>
      </c>
      <c r="AW67" s="65">
        <v>0</v>
      </c>
      <c r="AX67" s="65">
        <v>0</v>
      </c>
      <c r="AY67" s="58">
        <v>981996</v>
      </c>
      <c r="AZ67" s="64">
        <v>328336</v>
      </c>
      <c r="BA67" s="58">
        <v>653660</v>
      </c>
    </row>
    <row r="68" spans="2:53" ht="15" outlineLevel="1" x14ac:dyDescent="0.25">
      <c r="B68" s="1">
        <v>11150900</v>
      </c>
      <c r="C68" s="34" t="str">
        <f t="shared" si="70"/>
        <v>COSTO AL 41274</v>
      </c>
      <c r="D68" s="34" t="str">
        <f t="shared" si="70"/>
        <v>COSTO AL 41639</v>
      </c>
      <c r="E68" s="34" t="str">
        <f t="shared" si="58"/>
        <v>COSTO AL 42004</v>
      </c>
      <c r="F68" s="34" t="str">
        <f t="shared" si="11"/>
        <v>COSTO AL 42369</v>
      </c>
      <c r="G68" s="34" t="str">
        <f t="shared" si="12"/>
        <v>COSTO AL 42735</v>
      </c>
      <c r="H68" s="34" t="str">
        <f t="shared" si="13"/>
        <v>DEPRECIACION 41639</v>
      </c>
      <c r="I68" s="34" t="str">
        <f t="shared" si="14"/>
        <v>DEPRECIACION 42004</v>
      </c>
      <c r="J68" s="34" t="str">
        <f t="shared" si="15"/>
        <v>DEPRECIACION 42369</v>
      </c>
      <c r="K68" s="34" t="str">
        <f t="shared" si="16"/>
        <v>DEPRECIACION 42735</v>
      </c>
      <c r="L68" s="34" t="str">
        <f t="shared" si="17"/>
        <v>VALOR NETO 41639</v>
      </c>
      <c r="M68" s="34" t="str">
        <f t="shared" si="18"/>
        <v>VALOR NETO 42004</v>
      </c>
      <c r="N68" s="34" t="str">
        <f t="shared" si="19"/>
        <v>VALOR NETO 42369</v>
      </c>
      <c r="O68" s="34" t="str">
        <f t="shared" si="20"/>
        <v>VALOR NETO 42735</v>
      </c>
      <c r="P68" s="34" t="str">
        <f t="shared" si="21"/>
        <v>GERENCIAL APOYOEQUIPO ELÉCTRICO MISCELÁNEO</v>
      </c>
      <c r="Q68" s="34" t="str">
        <f t="shared" si="75"/>
        <v>GERENCIAL APOYO</v>
      </c>
      <c r="R68" s="1" t="s">
        <v>15</v>
      </c>
      <c r="S68" s="37">
        <v>540822.46000000008</v>
      </c>
      <c r="T68" s="37">
        <v>8766.43</v>
      </c>
      <c r="U68" s="37">
        <v>77.099999999999994</v>
      </c>
      <c r="V68" s="37">
        <v>0</v>
      </c>
      <c r="W68" s="37">
        <v>0</v>
      </c>
      <c r="X68" s="33">
        <f t="shared" ref="X68:X75" si="79">+S68+T68-U68+V68+W68</f>
        <v>549511.79000000015</v>
      </c>
      <c r="Y68" s="33">
        <v>261273.33</v>
      </c>
      <c r="Z68" s="33">
        <f t="shared" si="76"/>
        <v>288238.4600000002</v>
      </c>
      <c r="AB68" s="64">
        <v>549511.79000000015</v>
      </c>
      <c r="AC68" s="64">
        <v>3788.8</v>
      </c>
      <c r="AD68" s="64">
        <v>79.58</v>
      </c>
      <c r="AE68" s="64">
        <v>0</v>
      </c>
      <c r="AF68" s="64">
        <v>0</v>
      </c>
      <c r="AG68" s="58">
        <f t="shared" ref="AG68:AG75" si="80">+AB68+AC68-AD68+AE68+AF68</f>
        <v>553221.01000000024</v>
      </c>
      <c r="AH68" s="64">
        <v>311207.02999999997</v>
      </c>
      <c r="AI68" s="58">
        <f t="shared" si="77"/>
        <v>242013.98000000027</v>
      </c>
      <c r="AK68" s="64">
        <v>553221.01000000024</v>
      </c>
      <c r="AL68" s="64">
        <v>2539.11</v>
      </c>
      <c r="AM68" s="64">
        <v>434.02</v>
      </c>
      <c r="AN68" s="64">
        <v>0</v>
      </c>
      <c r="AO68" s="64">
        <v>0</v>
      </c>
      <c r="AP68" s="58">
        <f t="shared" ref="AP68:AP75" si="81">+AK68+AL68-AM68+AN68+AO68</f>
        <v>555326.10000000021</v>
      </c>
      <c r="AQ68" s="64">
        <v>360092.67999999993</v>
      </c>
      <c r="AR68" s="58">
        <f t="shared" si="78"/>
        <v>195233.42000000027</v>
      </c>
      <c r="AT68" s="80">
        <v>552787</v>
      </c>
      <c r="AU68" s="65">
        <v>2672</v>
      </c>
      <c r="AV68" s="65">
        <v>1312</v>
      </c>
      <c r="AW68" s="65">
        <v>0</v>
      </c>
      <c r="AX68" s="65">
        <v>0</v>
      </c>
      <c r="AY68" s="58">
        <v>554148</v>
      </c>
      <c r="AZ68" s="64">
        <v>407932</v>
      </c>
      <c r="BA68" s="58">
        <v>146216</v>
      </c>
    </row>
    <row r="69" spans="2:53" ht="15" outlineLevel="1" x14ac:dyDescent="0.25">
      <c r="B69" s="1">
        <v>11151600</v>
      </c>
      <c r="C69" s="34" t="str">
        <f t="shared" si="70"/>
        <v>COSTO AL 41274</v>
      </c>
      <c r="D69" s="34" t="str">
        <f t="shared" si="70"/>
        <v>COSTO AL 41639</v>
      </c>
      <c r="E69" s="34" t="str">
        <f t="shared" si="58"/>
        <v>COSTO AL 42004</v>
      </c>
      <c r="F69" s="34" t="str">
        <f t="shared" si="11"/>
        <v>COSTO AL 42369</v>
      </c>
      <c r="G69" s="34" t="str">
        <f t="shared" si="12"/>
        <v>COSTO AL 42735</v>
      </c>
      <c r="H69" s="34" t="str">
        <f t="shared" si="13"/>
        <v>DEPRECIACION 41639</v>
      </c>
      <c r="I69" s="34" t="str">
        <f t="shared" si="14"/>
        <v>DEPRECIACION 42004</v>
      </c>
      <c r="J69" s="34" t="str">
        <f t="shared" si="15"/>
        <v>DEPRECIACION 42369</v>
      </c>
      <c r="K69" s="34" t="str">
        <f t="shared" si="16"/>
        <v>DEPRECIACION 42735</v>
      </c>
      <c r="L69" s="34" t="str">
        <f t="shared" si="17"/>
        <v>VALOR NETO 41639</v>
      </c>
      <c r="M69" s="34" t="str">
        <f t="shared" si="18"/>
        <v>VALOR NETO 42004</v>
      </c>
      <c r="N69" s="34" t="str">
        <f t="shared" si="19"/>
        <v>VALOR NETO 42369</v>
      </c>
      <c r="O69" s="34" t="str">
        <f t="shared" si="20"/>
        <v>VALOR NETO 42735</v>
      </c>
      <c r="P69" s="34" t="str">
        <f t="shared" si="21"/>
        <v>GERENCIAL APOYOEQUIPO DE LABORATORIO</v>
      </c>
      <c r="Q69" s="34" t="str">
        <f t="shared" si="75"/>
        <v>GERENCIAL APOYO</v>
      </c>
      <c r="R69" s="1" t="s">
        <v>37</v>
      </c>
      <c r="S69" s="37">
        <v>1286786.21</v>
      </c>
      <c r="T69" s="37">
        <v>0</v>
      </c>
      <c r="U69" s="37">
        <v>0</v>
      </c>
      <c r="V69" s="37">
        <v>0</v>
      </c>
      <c r="W69" s="37">
        <v>0</v>
      </c>
      <c r="X69" s="33">
        <f t="shared" si="79"/>
        <v>1286786.21</v>
      </c>
      <c r="Y69" s="33">
        <v>1282590.9800000002</v>
      </c>
      <c r="Z69" s="33">
        <f t="shared" si="76"/>
        <v>4195.2299999997485</v>
      </c>
      <c r="AB69" s="64">
        <v>1286786.21</v>
      </c>
      <c r="AC69" s="64">
        <v>0</v>
      </c>
      <c r="AD69" s="64">
        <v>0</v>
      </c>
      <c r="AE69" s="64">
        <v>0</v>
      </c>
      <c r="AF69" s="64">
        <v>0</v>
      </c>
      <c r="AG69" s="58">
        <f t="shared" si="80"/>
        <v>1286786.21</v>
      </c>
      <c r="AH69" s="64">
        <v>1284043.8800000001</v>
      </c>
      <c r="AI69" s="58">
        <f t="shared" si="77"/>
        <v>2742.3299999998417</v>
      </c>
      <c r="AK69" s="64">
        <v>1286786.21</v>
      </c>
      <c r="AL69" s="64">
        <v>0</v>
      </c>
      <c r="AM69" s="64">
        <v>0</v>
      </c>
      <c r="AN69" s="64">
        <v>0</v>
      </c>
      <c r="AO69" s="64">
        <v>0</v>
      </c>
      <c r="AP69" s="58">
        <f t="shared" si="81"/>
        <v>1286786.21</v>
      </c>
      <c r="AQ69" s="64">
        <v>1284791.76</v>
      </c>
      <c r="AR69" s="58">
        <f t="shared" si="78"/>
        <v>1994.4499999999534</v>
      </c>
      <c r="AT69" s="80">
        <v>1286786</v>
      </c>
      <c r="AU69" s="65">
        <v>0</v>
      </c>
      <c r="AV69" s="65">
        <v>0</v>
      </c>
      <c r="AW69" s="65">
        <v>0</v>
      </c>
      <c r="AX69" s="65">
        <v>0</v>
      </c>
      <c r="AY69" s="58">
        <v>1286786</v>
      </c>
      <c r="AZ69" s="64">
        <v>1285540</v>
      </c>
      <c r="BA69" s="58">
        <v>1247</v>
      </c>
    </row>
    <row r="70" spans="2:53" ht="15" outlineLevel="1" x14ac:dyDescent="0.25">
      <c r="B70" s="1">
        <v>11151700</v>
      </c>
      <c r="C70" s="34" t="str">
        <f t="shared" si="70"/>
        <v>COSTO AL 41274</v>
      </c>
      <c r="D70" s="34" t="str">
        <f t="shared" si="70"/>
        <v>COSTO AL 41639</v>
      </c>
      <c r="E70" s="34" t="str">
        <f t="shared" si="58"/>
        <v>COSTO AL 42004</v>
      </c>
      <c r="F70" s="34" t="str">
        <f t="shared" si="11"/>
        <v>COSTO AL 42369</v>
      </c>
      <c r="G70" s="34" t="str">
        <f t="shared" si="12"/>
        <v>COSTO AL 42735</v>
      </c>
      <c r="H70" s="34" t="str">
        <f t="shared" si="13"/>
        <v>DEPRECIACION 41639</v>
      </c>
      <c r="I70" s="34" t="str">
        <f t="shared" si="14"/>
        <v>DEPRECIACION 42004</v>
      </c>
      <c r="J70" s="34" t="str">
        <f t="shared" si="15"/>
        <v>DEPRECIACION 42369</v>
      </c>
      <c r="K70" s="34" t="str">
        <f t="shared" si="16"/>
        <v>DEPRECIACION 42735</v>
      </c>
      <c r="L70" s="34" t="str">
        <f t="shared" si="17"/>
        <v>VALOR NETO 41639</v>
      </c>
      <c r="M70" s="34" t="str">
        <f t="shared" si="18"/>
        <v>VALOR NETO 42004</v>
      </c>
      <c r="N70" s="34" t="str">
        <f t="shared" si="19"/>
        <v>VALOR NETO 42369</v>
      </c>
      <c r="O70" s="34" t="str">
        <f t="shared" si="20"/>
        <v>VALOR NETO 42735</v>
      </c>
      <c r="P70" s="34" t="str">
        <f t="shared" si="21"/>
        <v>GERENCIAL APOYOEQUIPO MECANICO</v>
      </c>
      <c r="Q70" s="34" t="str">
        <f t="shared" si="75"/>
        <v>GERENCIAL APOYO</v>
      </c>
      <c r="R70" s="1" t="s">
        <v>19</v>
      </c>
      <c r="S70" s="37">
        <v>35847.149999999994</v>
      </c>
      <c r="T70" s="37">
        <v>0</v>
      </c>
      <c r="U70" s="37">
        <v>0</v>
      </c>
      <c r="V70" s="37">
        <v>0</v>
      </c>
      <c r="W70" s="37">
        <v>0</v>
      </c>
      <c r="X70" s="33">
        <f t="shared" si="79"/>
        <v>35847.149999999994</v>
      </c>
      <c r="Y70" s="33">
        <v>14292.07</v>
      </c>
      <c r="Z70" s="33">
        <f t="shared" si="76"/>
        <v>21555.079999999994</v>
      </c>
      <c r="AB70" s="64">
        <v>35847.149999999994</v>
      </c>
      <c r="AC70" s="64">
        <v>0</v>
      </c>
      <c r="AD70" s="64">
        <v>0</v>
      </c>
      <c r="AE70" s="64">
        <v>0</v>
      </c>
      <c r="AF70" s="64">
        <v>0</v>
      </c>
      <c r="AG70" s="58">
        <f t="shared" si="80"/>
        <v>35847.149999999994</v>
      </c>
      <c r="AH70" s="64">
        <v>17876.66</v>
      </c>
      <c r="AI70" s="58">
        <f t="shared" si="77"/>
        <v>17970.489999999994</v>
      </c>
      <c r="AK70" s="64">
        <v>35847.149999999994</v>
      </c>
      <c r="AL70" s="64">
        <v>0</v>
      </c>
      <c r="AM70" s="64">
        <v>0</v>
      </c>
      <c r="AN70" s="64">
        <v>0</v>
      </c>
      <c r="AO70" s="64">
        <v>0</v>
      </c>
      <c r="AP70" s="58">
        <f t="shared" si="81"/>
        <v>35847.149999999994</v>
      </c>
      <c r="AQ70" s="64">
        <v>21414.16</v>
      </c>
      <c r="AR70" s="58">
        <f t="shared" si="78"/>
        <v>14432.989999999994</v>
      </c>
      <c r="AT70" s="80">
        <v>35847</v>
      </c>
      <c r="AU70" s="65">
        <v>280969</v>
      </c>
      <c r="AV70" s="65">
        <v>0</v>
      </c>
      <c r="AW70" s="65">
        <v>0</v>
      </c>
      <c r="AX70" s="65">
        <v>0</v>
      </c>
      <c r="AY70" s="58">
        <v>316816</v>
      </c>
      <c r="AZ70" s="64">
        <v>50471</v>
      </c>
      <c r="BA70" s="58">
        <v>266345</v>
      </c>
    </row>
    <row r="71" spans="2:53" ht="15" outlineLevel="1" x14ac:dyDescent="0.25">
      <c r="B71" s="1">
        <v>11151800</v>
      </c>
      <c r="C71" s="34" t="str">
        <f t="shared" si="70"/>
        <v>COSTO AL 41274</v>
      </c>
      <c r="D71" s="34" t="str">
        <f t="shared" si="70"/>
        <v>COSTO AL 41639</v>
      </c>
      <c r="E71" s="34" t="str">
        <f t="shared" si="58"/>
        <v>COSTO AL 42004</v>
      </c>
      <c r="F71" s="34" t="str">
        <f t="shared" si="11"/>
        <v>COSTO AL 42369</v>
      </c>
      <c r="G71" s="34" t="str">
        <f t="shared" si="12"/>
        <v>COSTO AL 42735</v>
      </c>
      <c r="H71" s="34" t="str">
        <f t="shared" si="13"/>
        <v>DEPRECIACION 41639</v>
      </c>
      <c r="I71" s="34" t="str">
        <f t="shared" si="14"/>
        <v>DEPRECIACION 42004</v>
      </c>
      <c r="J71" s="34" t="str">
        <f t="shared" si="15"/>
        <v>DEPRECIACION 42369</v>
      </c>
      <c r="K71" s="34" t="str">
        <f t="shared" si="16"/>
        <v>DEPRECIACION 42735</v>
      </c>
      <c r="L71" s="34" t="str">
        <f t="shared" si="17"/>
        <v>VALOR NETO 41639</v>
      </c>
      <c r="M71" s="34" t="str">
        <f t="shared" si="18"/>
        <v>VALOR NETO 42004</v>
      </c>
      <c r="N71" s="34" t="str">
        <f t="shared" si="19"/>
        <v>VALOR NETO 42369</v>
      </c>
      <c r="O71" s="34" t="str">
        <f t="shared" si="20"/>
        <v>VALOR NETO 42735</v>
      </c>
      <c r="P71" s="34" t="str">
        <f t="shared" si="21"/>
        <v>GERENCIAL APOYOEQUIPO DE COMUNICACIÓN</v>
      </c>
      <c r="Q71" s="34" t="str">
        <f t="shared" si="75"/>
        <v>GERENCIAL APOYO</v>
      </c>
      <c r="R71" s="1" t="s">
        <v>20</v>
      </c>
      <c r="S71" s="37">
        <v>13366831.17</v>
      </c>
      <c r="T71" s="37">
        <v>8935.7799999999988</v>
      </c>
      <c r="U71" s="37">
        <v>0</v>
      </c>
      <c r="V71" s="37">
        <v>0</v>
      </c>
      <c r="W71" s="37">
        <v>0</v>
      </c>
      <c r="X71" s="33">
        <f t="shared" si="79"/>
        <v>13375766.949999999</v>
      </c>
      <c r="Y71" s="33">
        <v>10788148.950000001</v>
      </c>
      <c r="Z71" s="33">
        <f t="shared" si="76"/>
        <v>2587617.9999999981</v>
      </c>
      <c r="AB71" s="64">
        <v>13375766.949999999</v>
      </c>
      <c r="AC71" s="64">
        <v>660.19</v>
      </c>
      <c r="AD71" s="64">
        <v>0</v>
      </c>
      <c r="AE71" s="64">
        <v>0</v>
      </c>
      <c r="AF71" s="64">
        <v>0</v>
      </c>
      <c r="AG71" s="58">
        <f t="shared" si="80"/>
        <v>13376427.139999999</v>
      </c>
      <c r="AH71" s="64">
        <v>11233458.700000001</v>
      </c>
      <c r="AI71" s="58">
        <f t="shared" si="77"/>
        <v>2142968.4399999976</v>
      </c>
      <c r="AK71" s="64">
        <v>13376427.139999999</v>
      </c>
      <c r="AL71" s="64">
        <f>852565.54+9772.31+9772.31</f>
        <v>872110.16000000015</v>
      </c>
      <c r="AM71" s="64">
        <v>0</v>
      </c>
      <c r="AN71" s="64">
        <v>0</v>
      </c>
      <c r="AO71" s="64">
        <v>0</v>
      </c>
      <c r="AP71" s="58">
        <f t="shared" si="81"/>
        <v>14248537.299999999</v>
      </c>
      <c r="AQ71" s="64">
        <v>11749659.24</v>
      </c>
      <c r="AR71" s="58">
        <f t="shared" si="78"/>
        <v>2498878.0599999987</v>
      </c>
      <c r="AT71" s="80">
        <v>14238765</v>
      </c>
      <c r="AU71" s="65">
        <v>2520541</v>
      </c>
      <c r="AV71" s="65">
        <v>0</v>
      </c>
      <c r="AW71" s="65">
        <v>0</v>
      </c>
      <c r="AX71" s="65">
        <v>0</v>
      </c>
      <c r="AY71" s="58">
        <v>16759306</v>
      </c>
      <c r="AZ71" s="64">
        <v>12498975</v>
      </c>
      <c r="BA71" s="58">
        <v>4260331</v>
      </c>
    </row>
    <row r="72" spans="2:53" ht="15" outlineLevel="1" x14ac:dyDescent="0.25">
      <c r="B72" s="1">
        <v>11152100</v>
      </c>
      <c r="C72" s="34" t="str">
        <f t="shared" si="70"/>
        <v>COSTO AL 41274</v>
      </c>
      <c r="D72" s="34" t="str">
        <f t="shared" si="70"/>
        <v>COSTO AL 41639</v>
      </c>
      <c r="E72" s="34" t="str">
        <f t="shared" si="58"/>
        <v>COSTO AL 42004</v>
      </c>
      <c r="F72" s="34" t="str">
        <f t="shared" si="11"/>
        <v>COSTO AL 42369</v>
      </c>
      <c r="G72" s="34" t="str">
        <f t="shared" si="12"/>
        <v>COSTO AL 42735</v>
      </c>
      <c r="H72" s="34" t="str">
        <f t="shared" si="13"/>
        <v>DEPRECIACION 41639</v>
      </c>
      <c r="I72" s="34" t="str">
        <f t="shared" si="14"/>
        <v>DEPRECIACION 42004</v>
      </c>
      <c r="J72" s="34" t="str">
        <f t="shared" si="15"/>
        <v>DEPRECIACION 42369</v>
      </c>
      <c r="K72" s="34" t="str">
        <f t="shared" si="16"/>
        <v>DEPRECIACION 42735</v>
      </c>
      <c r="L72" s="34" t="str">
        <f t="shared" si="17"/>
        <v>VALOR NETO 41639</v>
      </c>
      <c r="M72" s="34" t="str">
        <f t="shared" si="18"/>
        <v>VALOR NETO 42004</v>
      </c>
      <c r="N72" s="34" t="str">
        <f t="shared" si="19"/>
        <v>VALOR NETO 42369</v>
      </c>
      <c r="O72" s="34" t="str">
        <f t="shared" si="20"/>
        <v>VALOR NETO 42735</v>
      </c>
      <c r="P72" s="34" t="str">
        <f t="shared" si="21"/>
        <v>GERENCIAL APOYOEQUIPO DE INFORMATICA</v>
      </c>
      <c r="Q72" s="34" t="str">
        <f t="shared" si="75"/>
        <v>GERENCIAL APOYO</v>
      </c>
      <c r="R72" s="1" t="s">
        <v>38</v>
      </c>
      <c r="S72" s="37">
        <f>10324658.91-0.1</f>
        <v>10324658.810000001</v>
      </c>
      <c r="T72" s="37">
        <f>1953422.73-1-525</f>
        <v>1952896.73</v>
      </c>
      <c r="U72" s="37">
        <v>227.41</v>
      </c>
      <c r="V72" s="37">
        <v>0</v>
      </c>
      <c r="W72" s="37">
        <v>0</v>
      </c>
      <c r="X72" s="33">
        <f t="shared" si="79"/>
        <v>12277328.130000001</v>
      </c>
      <c r="Y72" s="33">
        <v>9749588.0500000007</v>
      </c>
      <c r="Z72" s="33">
        <f t="shared" si="76"/>
        <v>2527740.08</v>
      </c>
      <c r="AB72" s="64">
        <v>12277328.130000001</v>
      </c>
      <c r="AC72" s="64">
        <v>1972278.75</v>
      </c>
      <c r="AD72" s="64">
        <v>7814.53</v>
      </c>
      <c r="AE72" s="64">
        <v>0</v>
      </c>
      <c r="AF72" s="71">
        <v>0</v>
      </c>
      <c r="AG72" s="58">
        <f t="shared" si="80"/>
        <v>14241792.350000001</v>
      </c>
      <c r="AH72" s="64">
        <v>11422781.340000002</v>
      </c>
      <c r="AI72" s="58">
        <f t="shared" si="77"/>
        <v>2819011.01</v>
      </c>
      <c r="AK72" s="64">
        <v>14241792.350000001</v>
      </c>
      <c r="AL72" s="64">
        <f>261173.44+497531.27+471595.33-11375.1</f>
        <v>1218924.94</v>
      </c>
      <c r="AM72" s="64">
        <v>617659.74</v>
      </c>
      <c r="AN72" s="64">
        <v>0</v>
      </c>
      <c r="AO72" s="64">
        <v>0</v>
      </c>
      <c r="AP72" s="58">
        <f t="shared" si="81"/>
        <v>14843057.550000001</v>
      </c>
      <c r="AQ72" s="64">
        <v>12374476.550000001</v>
      </c>
      <c r="AR72" s="58">
        <f t="shared" si="78"/>
        <v>2468581</v>
      </c>
      <c r="AT72" s="80">
        <v>14382837</v>
      </c>
      <c r="AU72" s="65">
        <v>1482411</v>
      </c>
      <c r="AV72" s="65">
        <v>13513</v>
      </c>
      <c r="AW72" s="65">
        <v>0</v>
      </c>
      <c r="AX72" s="65">
        <v>0</v>
      </c>
      <c r="AY72" s="58">
        <v>15851735</v>
      </c>
      <c r="AZ72" s="64">
        <v>13863779</v>
      </c>
      <c r="BA72" s="58">
        <v>1987956</v>
      </c>
    </row>
    <row r="73" spans="2:53" ht="15" outlineLevel="1" x14ac:dyDescent="0.25">
      <c r="B73" s="1">
        <v>11152300</v>
      </c>
      <c r="C73" s="34" t="str">
        <f t="shared" si="70"/>
        <v>COSTO AL 41274</v>
      </c>
      <c r="D73" s="34" t="str">
        <f t="shared" si="70"/>
        <v>COSTO AL 41639</v>
      </c>
      <c r="E73" s="34" t="str">
        <f t="shared" si="58"/>
        <v>COSTO AL 42004</v>
      </c>
      <c r="F73" s="34" t="str">
        <f t="shared" si="11"/>
        <v>COSTO AL 42369</v>
      </c>
      <c r="G73" s="34" t="str">
        <f t="shared" si="12"/>
        <v>COSTO AL 42735</v>
      </c>
      <c r="H73" s="34" t="str">
        <f t="shared" si="13"/>
        <v>DEPRECIACION 41639</v>
      </c>
      <c r="I73" s="34" t="str">
        <f t="shared" si="14"/>
        <v>DEPRECIACION 42004</v>
      </c>
      <c r="J73" s="34" t="str">
        <f t="shared" si="15"/>
        <v>DEPRECIACION 42369</v>
      </c>
      <c r="K73" s="34" t="str">
        <f t="shared" si="16"/>
        <v>DEPRECIACION 42735</v>
      </c>
      <c r="L73" s="34" t="str">
        <f t="shared" si="17"/>
        <v>VALOR NETO 41639</v>
      </c>
      <c r="M73" s="34" t="str">
        <f t="shared" si="18"/>
        <v>VALOR NETO 42004</v>
      </c>
      <c r="N73" s="34" t="str">
        <f t="shared" si="19"/>
        <v>VALOR NETO 42369</v>
      </c>
      <c r="O73" s="34" t="str">
        <f t="shared" si="20"/>
        <v>VALOR NETO 42735</v>
      </c>
      <c r="P73" s="34" t="str">
        <f t="shared" si="21"/>
        <v>GERENCIAL APOYOEQUIPO Y MOBILIARIO DE OFICINA</v>
      </c>
      <c r="Q73" s="34" t="str">
        <f t="shared" si="75"/>
        <v>GERENCIAL APOYO</v>
      </c>
      <c r="R73" s="1" t="s">
        <v>30</v>
      </c>
      <c r="S73" s="37">
        <v>2750548.4300000006</v>
      </c>
      <c r="T73" s="37">
        <f>106477.23-57.43</f>
        <v>106419.8</v>
      </c>
      <c r="U73" s="37">
        <v>8861.6500000000015</v>
      </c>
      <c r="V73" s="37">
        <v>0</v>
      </c>
      <c r="W73" s="37">
        <v>0</v>
      </c>
      <c r="X73" s="33">
        <f t="shared" si="79"/>
        <v>2848106.5800000005</v>
      </c>
      <c r="Y73" s="33">
        <v>2391038.3199999998</v>
      </c>
      <c r="Z73" s="33">
        <f t="shared" si="76"/>
        <v>457068.26000000071</v>
      </c>
      <c r="AB73" s="64">
        <v>2848106.5800000005</v>
      </c>
      <c r="AC73" s="64">
        <v>79151.86</v>
      </c>
      <c r="AD73" s="64">
        <v>1064.0899999999999</v>
      </c>
      <c r="AE73" s="64">
        <v>0</v>
      </c>
      <c r="AF73" s="64">
        <v>0</v>
      </c>
      <c r="AG73" s="58">
        <f t="shared" si="80"/>
        <v>2926194.3500000006</v>
      </c>
      <c r="AH73" s="64">
        <v>2480792.88</v>
      </c>
      <c r="AI73" s="58">
        <f t="shared" si="77"/>
        <v>445401.47000000067</v>
      </c>
      <c r="AK73" s="64">
        <v>2926194.3500000006</v>
      </c>
      <c r="AL73" s="64">
        <f>1036.67+18232.14+17653.64</f>
        <v>36922.449999999997</v>
      </c>
      <c r="AM73" s="64">
        <v>68.25</v>
      </c>
      <c r="AN73" s="64">
        <v>0</v>
      </c>
      <c r="AO73" s="64">
        <v>0</v>
      </c>
      <c r="AP73" s="58">
        <f t="shared" si="81"/>
        <v>2963048.5500000007</v>
      </c>
      <c r="AQ73" s="64">
        <v>2571268.2999999998</v>
      </c>
      <c r="AR73" s="58">
        <f t="shared" si="78"/>
        <v>391780.25000000093</v>
      </c>
      <c r="AT73" s="80">
        <v>2945395</v>
      </c>
      <c r="AU73" s="65">
        <v>56046</v>
      </c>
      <c r="AV73" s="65">
        <v>6795</v>
      </c>
      <c r="AW73" s="65">
        <v>0</v>
      </c>
      <c r="AX73" s="65">
        <v>0</v>
      </c>
      <c r="AY73" s="58">
        <v>2994646</v>
      </c>
      <c r="AZ73" s="64">
        <v>2657833</v>
      </c>
      <c r="BA73" s="58">
        <v>336813</v>
      </c>
    </row>
    <row r="74" spans="2:53" ht="15" outlineLevel="1" x14ac:dyDescent="0.25">
      <c r="B74" s="1">
        <v>11152400</v>
      </c>
      <c r="C74" s="34" t="str">
        <f t="shared" si="70"/>
        <v>COSTO AL 41274</v>
      </c>
      <c r="D74" s="34" t="str">
        <f t="shared" si="70"/>
        <v>COSTO AL 41639</v>
      </c>
      <c r="E74" s="34" t="str">
        <f t="shared" si="58"/>
        <v>COSTO AL 42004</v>
      </c>
      <c r="F74" s="34" t="str">
        <f t="shared" si="11"/>
        <v>COSTO AL 42369</v>
      </c>
      <c r="G74" s="34" t="str">
        <f t="shared" si="12"/>
        <v>COSTO AL 42735</v>
      </c>
      <c r="H74" s="34" t="str">
        <f t="shared" si="13"/>
        <v>DEPRECIACION 41639</v>
      </c>
      <c r="I74" s="34" t="str">
        <f t="shared" si="14"/>
        <v>DEPRECIACION 42004</v>
      </c>
      <c r="J74" s="34" t="str">
        <f t="shared" si="15"/>
        <v>DEPRECIACION 42369</v>
      </c>
      <c r="K74" s="34" t="str">
        <f t="shared" si="16"/>
        <v>DEPRECIACION 42735</v>
      </c>
      <c r="L74" s="34" t="str">
        <f t="shared" si="17"/>
        <v>VALOR NETO 41639</v>
      </c>
      <c r="M74" s="34" t="str">
        <f t="shared" si="18"/>
        <v>VALOR NETO 42004</v>
      </c>
      <c r="N74" s="34" t="str">
        <f t="shared" si="19"/>
        <v>VALOR NETO 42369</v>
      </c>
      <c r="O74" s="34" t="str">
        <f t="shared" si="20"/>
        <v>VALOR NETO 42735</v>
      </c>
      <c r="P74" s="34" t="str">
        <f t="shared" si="21"/>
        <v>GERENCIAL APOYOEQUIPO DE TRANSPORTE</v>
      </c>
      <c r="Q74" s="34" t="str">
        <f t="shared" si="75"/>
        <v>GERENCIAL APOYO</v>
      </c>
      <c r="R74" s="1" t="s">
        <v>31</v>
      </c>
      <c r="S74" s="40">
        <v>5494828.5899999989</v>
      </c>
      <c r="T74" s="37">
        <v>68804.929999999993</v>
      </c>
      <c r="U74" s="37">
        <v>1444767.03</v>
      </c>
      <c r="V74" s="37">
        <v>0</v>
      </c>
      <c r="W74" s="37">
        <v>0</v>
      </c>
      <c r="X74" s="33">
        <f t="shared" si="79"/>
        <v>4118866.4899999984</v>
      </c>
      <c r="Y74" s="33">
        <v>3346359.5699999994</v>
      </c>
      <c r="Z74" s="33">
        <f t="shared" si="76"/>
        <v>772506.91999999899</v>
      </c>
      <c r="AB74" s="66">
        <v>4118866.4899999984</v>
      </c>
      <c r="AC74" s="64">
        <v>683077.73</v>
      </c>
      <c r="AD74" s="64">
        <v>500048.14</v>
      </c>
      <c r="AE74" s="64">
        <v>0</v>
      </c>
      <c r="AF74" s="64">
        <v>0</v>
      </c>
      <c r="AG74" s="58">
        <f t="shared" si="80"/>
        <v>4301896.0799999991</v>
      </c>
      <c r="AH74" s="64">
        <v>3336217.1599999992</v>
      </c>
      <c r="AI74" s="58">
        <f t="shared" si="77"/>
        <v>965678.91999999993</v>
      </c>
      <c r="AK74" s="66">
        <v>4301896.0799999991</v>
      </c>
      <c r="AL74" s="64">
        <v>0</v>
      </c>
      <c r="AM74" s="64">
        <v>64000</v>
      </c>
      <c r="AN74" s="64">
        <v>0</v>
      </c>
      <c r="AO74" s="64">
        <v>0</v>
      </c>
      <c r="AP74" s="58">
        <f t="shared" si="81"/>
        <v>4237896.0799999991</v>
      </c>
      <c r="AQ74" s="64">
        <v>3643531.5499999993</v>
      </c>
      <c r="AR74" s="58">
        <f t="shared" si="78"/>
        <v>594364.5299999998</v>
      </c>
      <c r="AT74" s="81">
        <v>4153394</v>
      </c>
      <c r="AU74" s="65">
        <v>735228</v>
      </c>
      <c r="AV74" s="65">
        <v>87930</v>
      </c>
      <c r="AW74" s="65">
        <v>-31565</v>
      </c>
      <c r="AX74" s="65">
        <v>28409</v>
      </c>
      <c r="AY74" s="58">
        <v>4797535</v>
      </c>
      <c r="AZ74" s="64">
        <v>3861637</v>
      </c>
      <c r="BA74" s="58">
        <v>935898</v>
      </c>
    </row>
    <row r="75" spans="2:53" ht="15" outlineLevel="1" x14ac:dyDescent="0.25">
      <c r="B75" s="1">
        <v>11152500</v>
      </c>
      <c r="C75" s="34" t="str">
        <f t="shared" si="70"/>
        <v>COSTO AL 41274</v>
      </c>
      <c r="D75" s="34" t="str">
        <f t="shared" si="70"/>
        <v>COSTO AL 41639</v>
      </c>
      <c r="E75" s="34" t="str">
        <f t="shared" si="58"/>
        <v>COSTO AL 42004</v>
      </c>
      <c r="F75" s="34" t="str">
        <f t="shared" si="11"/>
        <v>COSTO AL 42369</v>
      </c>
      <c r="G75" s="34" t="str">
        <f t="shared" si="12"/>
        <v>COSTO AL 42735</v>
      </c>
      <c r="H75" s="34" t="str">
        <f t="shared" si="13"/>
        <v>DEPRECIACION 41639</v>
      </c>
      <c r="I75" s="34" t="str">
        <f t="shared" si="14"/>
        <v>DEPRECIACION 42004</v>
      </c>
      <c r="J75" s="34" t="str">
        <f t="shared" si="15"/>
        <v>DEPRECIACION 42369</v>
      </c>
      <c r="K75" s="34" t="str">
        <f t="shared" si="16"/>
        <v>DEPRECIACION 42735</v>
      </c>
      <c r="L75" s="34" t="str">
        <f t="shared" si="17"/>
        <v>VALOR NETO 41639</v>
      </c>
      <c r="M75" s="34" t="str">
        <f t="shared" si="18"/>
        <v>VALOR NETO 42004</v>
      </c>
      <c r="N75" s="34" t="str">
        <f t="shared" si="19"/>
        <v>VALOR NETO 42369</v>
      </c>
      <c r="O75" s="34" t="str">
        <f t="shared" si="20"/>
        <v>VALOR NETO 42735</v>
      </c>
      <c r="P75" s="34" t="str">
        <f t="shared" si="21"/>
        <v>GERENCIAL APOYOHERRAMIENTAS ESPECIALIZADAS</v>
      </c>
      <c r="Q75" s="34" t="str">
        <f t="shared" si="75"/>
        <v>GERENCIAL APOYO</v>
      </c>
      <c r="R75" s="1" t="s">
        <v>24</v>
      </c>
      <c r="S75" s="40">
        <v>1632704.22</v>
      </c>
      <c r="T75" s="37">
        <v>173.61</v>
      </c>
      <c r="U75" s="37">
        <v>1287.1400000000001</v>
      </c>
      <c r="V75" s="37">
        <v>0</v>
      </c>
      <c r="W75" s="37">
        <v>0</v>
      </c>
      <c r="X75" s="33">
        <f t="shared" si="79"/>
        <v>1631590.6900000002</v>
      </c>
      <c r="Y75" s="33">
        <v>1610947.44</v>
      </c>
      <c r="Z75" s="33">
        <f t="shared" si="76"/>
        <v>20643.250000000233</v>
      </c>
      <c r="AB75" s="66">
        <v>1631590.6900000002</v>
      </c>
      <c r="AC75" s="64">
        <v>492.2</v>
      </c>
      <c r="AD75" s="64">
        <v>0</v>
      </c>
      <c r="AE75" s="64">
        <v>0</v>
      </c>
      <c r="AF75" s="64">
        <v>0</v>
      </c>
      <c r="AG75" s="58">
        <f t="shared" si="80"/>
        <v>1632082.8900000001</v>
      </c>
      <c r="AH75" s="64">
        <v>1616631.72</v>
      </c>
      <c r="AI75" s="58">
        <f t="shared" si="77"/>
        <v>15451.170000000158</v>
      </c>
      <c r="AK75" s="66">
        <v>1632082.8900000001</v>
      </c>
      <c r="AL75" s="64">
        <v>0</v>
      </c>
      <c r="AM75" s="64">
        <v>0</v>
      </c>
      <c r="AN75" s="64">
        <v>0</v>
      </c>
      <c r="AO75" s="64">
        <v>0</v>
      </c>
      <c r="AP75" s="58">
        <f t="shared" si="81"/>
        <v>1632082.8900000001</v>
      </c>
      <c r="AQ75" s="64">
        <v>1622328.3200000001</v>
      </c>
      <c r="AR75" s="58">
        <f t="shared" si="78"/>
        <v>9754.5700000000652</v>
      </c>
      <c r="AT75" s="81">
        <v>1632083</v>
      </c>
      <c r="AU75" s="65">
        <v>196827</v>
      </c>
      <c r="AV75" s="65">
        <v>0</v>
      </c>
      <c r="AW75" s="65">
        <v>0</v>
      </c>
      <c r="AX75" s="65">
        <v>0</v>
      </c>
      <c r="AY75" s="58">
        <v>1828909</v>
      </c>
      <c r="AZ75" s="64">
        <v>1634507</v>
      </c>
      <c r="BA75" s="58">
        <v>194402</v>
      </c>
    </row>
    <row r="76" spans="2:53" ht="13.5" thickBot="1" x14ac:dyDescent="0.25">
      <c r="C76" s="34" t="str">
        <f t="shared" si="70"/>
        <v>COSTO AL 41274</v>
      </c>
      <c r="D76" s="34" t="str">
        <f t="shared" si="70"/>
        <v>COSTO AL 41639</v>
      </c>
      <c r="E76" s="34" t="str">
        <f t="shared" si="58"/>
        <v>COSTO AL 42004</v>
      </c>
      <c r="F76" s="34" t="str">
        <f t="shared" si="11"/>
        <v>COSTO AL 42369</v>
      </c>
      <c r="G76" s="34" t="str">
        <f t="shared" si="12"/>
        <v>COSTO AL 42735</v>
      </c>
      <c r="H76" s="34" t="str">
        <f t="shared" si="13"/>
        <v>DEPRECIACION 41639</v>
      </c>
      <c r="I76" s="34" t="str">
        <f t="shared" si="14"/>
        <v>DEPRECIACION 42004</v>
      </c>
      <c r="J76" s="34" t="str">
        <f t="shared" si="15"/>
        <v>DEPRECIACION 42369</v>
      </c>
      <c r="K76" s="34" t="str">
        <f t="shared" si="16"/>
        <v>DEPRECIACION 42735</v>
      </c>
      <c r="L76" s="34" t="str">
        <f t="shared" si="17"/>
        <v>VALOR NETO 41639</v>
      </c>
      <c r="M76" s="34" t="str">
        <f t="shared" si="18"/>
        <v>VALOR NETO 42004</v>
      </c>
      <c r="N76" s="34" t="str">
        <f t="shared" si="19"/>
        <v>VALOR NETO 42369</v>
      </c>
      <c r="O76" s="34" t="str">
        <f t="shared" si="20"/>
        <v>VALOR NETO 42735</v>
      </c>
      <c r="P76" s="34" t="str">
        <f t="shared" si="21"/>
        <v>GERENCIAL APOYOSUB TOTAL</v>
      </c>
      <c r="Q76" s="34" t="str">
        <f t="shared" si="75"/>
        <v>GERENCIAL APOYO</v>
      </c>
      <c r="R76" s="38" t="s">
        <v>25</v>
      </c>
      <c r="S76" s="39">
        <f>SUM(S66:S75)</f>
        <v>36777497.809999995</v>
      </c>
      <c r="T76" s="39">
        <f t="shared" ref="T76:Z76" si="82">SUM(T66:T75)</f>
        <v>2145997.2799999998</v>
      </c>
      <c r="U76" s="39">
        <f t="shared" si="82"/>
        <v>1455220.3299999998</v>
      </c>
      <c r="V76" s="39">
        <f t="shared" si="82"/>
        <v>0</v>
      </c>
      <c r="W76" s="39">
        <f t="shared" si="82"/>
        <v>0</v>
      </c>
      <c r="X76" s="39">
        <f t="shared" si="82"/>
        <v>37468274.759999998</v>
      </c>
      <c r="Y76" s="52">
        <f t="shared" si="82"/>
        <v>29688404.170000006</v>
      </c>
      <c r="Z76" s="39">
        <f t="shared" si="82"/>
        <v>7779870.589999998</v>
      </c>
      <c r="AB76" s="59">
        <f>SUM(AB66:AB75)</f>
        <v>37468274.759999998</v>
      </c>
      <c r="AC76" s="59">
        <f t="shared" ref="AC76:AI76" si="83">SUM(AC66:AC75)</f>
        <v>2739449.5300000003</v>
      </c>
      <c r="AD76" s="59">
        <f t="shared" si="83"/>
        <v>599006.34</v>
      </c>
      <c r="AE76" s="59">
        <f t="shared" si="83"/>
        <v>0</v>
      </c>
      <c r="AF76" s="59">
        <f t="shared" si="83"/>
        <v>0</v>
      </c>
      <c r="AG76" s="59">
        <f t="shared" si="83"/>
        <v>39608717.949999996</v>
      </c>
      <c r="AH76" s="70">
        <f t="shared" si="83"/>
        <v>31975231.719999999</v>
      </c>
      <c r="AI76" s="59">
        <f t="shared" si="83"/>
        <v>7633486.2299999977</v>
      </c>
      <c r="AK76" s="70">
        <f t="shared" ref="AK76:AR76" si="84">SUM(AK66:AK75)</f>
        <v>39608717.949999996</v>
      </c>
      <c r="AL76" s="70">
        <f t="shared" si="84"/>
        <v>2130496.66</v>
      </c>
      <c r="AM76" s="70">
        <f t="shared" si="84"/>
        <v>682162.01</v>
      </c>
      <c r="AN76" s="70">
        <f t="shared" si="84"/>
        <v>0</v>
      </c>
      <c r="AO76" s="70">
        <f t="shared" si="84"/>
        <v>0</v>
      </c>
      <c r="AP76" s="70">
        <f t="shared" si="84"/>
        <v>41057052.599999994</v>
      </c>
      <c r="AQ76" s="70">
        <f t="shared" si="84"/>
        <v>33927841.800000004</v>
      </c>
      <c r="AR76" s="70">
        <f t="shared" si="84"/>
        <v>7129210.7999999989</v>
      </c>
      <c r="AT76" s="21">
        <f t="shared" ref="AT76:BA76" si="85">SUM(AT66:AT75)</f>
        <v>40482365</v>
      </c>
      <c r="AU76" s="21">
        <f t="shared" si="85"/>
        <v>5274694</v>
      </c>
      <c r="AV76" s="21">
        <f t="shared" si="85"/>
        <v>109550</v>
      </c>
      <c r="AW76" s="21">
        <f t="shared" si="85"/>
        <v>-31565</v>
      </c>
      <c r="AX76" s="21">
        <f t="shared" si="85"/>
        <v>28409</v>
      </c>
      <c r="AY76" s="21">
        <f t="shared" si="85"/>
        <v>45644352</v>
      </c>
      <c r="AZ76" s="21">
        <f t="shared" si="85"/>
        <v>36589010</v>
      </c>
      <c r="BA76" s="21">
        <f t="shared" si="85"/>
        <v>9055343</v>
      </c>
    </row>
    <row r="77" spans="2:53" ht="15.75" thickTop="1" x14ac:dyDescent="0.25">
      <c r="C77" s="34" t="str">
        <f t="shared" ref="C77:D89" si="86">+INDEX($S$13:$Z$13,0,C$16)</f>
        <v>COSTO AL 41274</v>
      </c>
      <c r="D77" s="34" t="str">
        <f t="shared" si="86"/>
        <v>COSTO AL 41639</v>
      </c>
      <c r="E77" s="34" t="str">
        <f t="shared" si="58"/>
        <v>COSTO AL 42004</v>
      </c>
      <c r="F77" s="34" t="str">
        <f t="shared" si="11"/>
        <v>COSTO AL 42369</v>
      </c>
      <c r="G77" s="34" t="str">
        <f t="shared" si="12"/>
        <v>COSTO AL 42735</v>
      </c>
      <c r="H77" s="34" t="str">
        <f t="shared" si="13"/>
        <v>DEPRECIACION 41639</v>
      </c>
      <c r="I77" s="34" t="str">
        <f t="shared" si="14"/>
        <v>DEPRECIACION 42004</v>
      </c>
      <c r="J77" s="34" t="str">
        <f t="shared" si="15"/>
        <v>DEPRECIACION 42369</v>
      </c>
      <c r="K77" s="34" t="str">
        <f t="shared" si="16"/>
        <v>DEPRECIACION 42735</v>
      </c>
      <c r="L77" s="34" t="str">
        <f t="shared" si="17"/>
        <v>VALOR NETO 41639</v>
      </c>
      <c r="M77" s="34" t="str">
        <f t="shared" si="18"/>
        <v>VALOR NETO 42004</v>
      </c>
      <c r="N77" s="34" t="str">
        <f t="shared" si="19"/>
        <v>VALOR NETO 42369</v>
      </c>
      <c r="O77" s="34" t="str">
        <f t="shared" si="20"/>
        <v>VALOR NETO 42735</v>
      </c>
      <c r="P77" s="34" t="str">
        <f t="shared" si="21"/>
        <v>GERENCIAL APOYO NO PRODUCTIVO</v>
      </c>
      <c r="Q77" s="34"/>
      <c r="R77" s="54" t="s">
        <v>39</v>
      </c>
      <c r="T77" s="34"/>
      <c r="U77" s="34"/>
      <c r="V77" s="34"/>
      <c r="W77" s="34"/>
      <c r="X77" s="33"/>
      <c r="Y77" s="33"/>
      <c r="Z77" s="33"/>
      <c r="AB77" s="57"/>
      <c r="AC77" s="57"/>
      <c r="AD77" s="57"/>
      <c r="AE77" s="57"/>
      <c r="AF77" s="57"/>
      <c r="AG77" s="58"/>
      <c r="AH77" s="58"/>
      <c r="AI77" s="58"/>
      <c r="AK77" s="58"/>
      <c r="AL77" s="58"/>
      <c r="AM77" s="58"/>
      <c r="AN77" s="58"/>
      <c r="AO77" s="58"/>
      <c r="AP77" s="58"/>
      <c r="AQ77" s="58"/>
      <c r="AR77" s="58"/>
      <c r="AT77" s="20"/>
      <c r="AU77" s="19"/>
      <c r="AV77" s="19"/>
      <c r="AW77" s="19"/>
      <c r="AX77" s="19"/>
      <c r="AY77" s="19"/>
      <c r="AZ77" s="19"/>
      <c r="BA77" s="58"/>
    </row>
    <row r="78" spans="2:53" ht="15" x14ac:dyDescent="0.25">
      <c r="C78" s="34" t="str">
        <f t="shared" si="86"/>
        <v>COSTO AL 41274</v>
      </c>
      <c r="D78" s="34" t="str">
        <f t="shared" si="86"/>
        <v>COSTO AL 41639</v>
      </c>
      <c r="E78" s="34" t="str">
        <f t="shared" si="58"/>
        <v>COSTO AL 42004</v>
      </c>
      <c r="F78" s="34" t="str">
        <f t="shared" si="11"/>
        <v>COSTO AL 42369</v>
      </c>
      <c r="G78" s="34" t="str">
        <f t="shared" si="12"/>
        <v>COSTO AL 42735</v>
      </c>
      <c r="H78" s="34" t="str">
        <f t="shared" si="13"/>
        <v>DEPRECIACION 41639</v>
      </c>
      <c r="I78" s="34" t="str">
        <f t="shared" si="14"/>
        <v>DEPRECIACION 42004</v>
      </c>
      <c r="J78" s="34" t="str">
        <f t="shared" si="15"/>
        <v>DEPRECIACION 42369</v>
      </c>
      <c r="K78" s="34" t="str">
        <f t="shared" si="16"/>
        <v>DEPRECIACION 42735</v>
      </c>
      <c r="L78" s="34" t="str">
        <f t="shared" si="17"/>
        <v>VALOR NETO 41639</v>
      </c>
      <c r="M78" s="34" t="str">
        <f t="shared" si="18"/>
        <v>VALOR NETO 42004</v>
      </c>
      <c r="N78" s="34" t="str">
        <f t="shared" si="19"/>
        <v>VALOR NETO 42369</v>
      </c>
      <c r="O78" s="34" t="str">
        <f t="shared" si="20"/>
        <v>VALOR NETO 42735</v>
      </c>
      <c r="P78" s="34" t="str">
        <f t="shared" si="21"/>
        <v/>
      </c>
      <c r="Q78" s="34"/>
      <c r="T78" s="34"/>
      <c r="U78" s="34"/>
      <c r="V78" s="34"/>
      <c r="W78" s="34"/>
      <c r="X78" s="33"/>
      <c r="Y78" s="33"/>
      <c r="Z78" s="33"/>
      <c r="AB78" s="57"/>
      <c r="AC78" s="57"/>
      <c r="AD78" s="57"/>
      <c r="AE78" s="57"/>
      <c r="AF78" s="57"/>
      <c r="AG78" s="58"/>
      <c r="AH78" s="58"/>
      <c r="AI78" s="58"/>
      <c r="AK78" s="58"/>
      <c r="AL78" s="58"/>
      <c r="AM78" s="58"/>
      <c r="AN78" s="58"/>
      <c r="AO78" s="58"/>
      <c r="AP78" s="58"/>
      <c r="AQ78" s="58"/>
      <c r="AR78" s="58"/>
      <c r="AT78" s="20"/>
      <c r="AU78" s="20"/>
      <c r="AV78" s="20"/>
      <c r="AW78" s="20"/>
      <c r="AX78" s="20"/>
      <c r="AY78" s="58"/>
      <c r="AZ78" s="58"/>
      <c r="BA78" s="58"/>
    </row>
    <row r="79" spans="2:53" ht="15" outlineLevel="1" x14ac:dyDescent="0.25">
      <c r="B79" s="1">
        <v>11160200</v>
      </c>
      <c r="C79" s="34" t="str">
        <f t="shared" si="86"/>
        <v>COSTO AL 41274</v>
      </c>
      <c r="D79" s="34" t="str">
        <f t="shared" si="86"/>
        <v>COSTO AL 41639</v>
      </c>
      <c r="E79" s="34" t="str">
        <f t="shared" si="58"/>
        <v>COSTO AL 42004</v>
      </c>
      <c r="F79" s="34" t="str">
        <f t="shared" si="11"/>
        <v>COSTO AL 42369</v>
      </c>
      <c r="G79" s="34" t="str">
        <f t="shared" si="12"/>
        <v>COSTO AL 42735</v>
      </c>
      <c r="H79" s="34" t="str">
        <f t="shared" si="13"/>
        <v>DEPRECIACION 41639</v>
      </c>
      <c r="I79" s="34" t="str">
        <f t="shared" si="14"/>
        <v>DEPRECIACION 42004</v>
      </c>
      <c r="J79" s="34" t="str">
        <f t="shared" si="15"/>
        <v>DEPRECIACION 42369</v>
      </c>
      <c r="K79" s="34" t="str">
        <f t="shared" si="16"/>
        <v>DEPRECIACION 42735</v>
      </c>
      <c r="L79" s="34" t="str">
        <f t="shared" si="17"/>
        <v>VALOR NETO 41639</v>
      </c>
      <c r="M79" s="34" t="str">
        <f t="shared" si="18"/>
        <v>VALOR NETO 42004</v>
      </c>
      <c r="N79" s="34" t="str">
        <f t="shared" si="19"/>
        <v>VALOR NETO 42369</v>
      </c>
      <c r="O79" s="34" t="str">
        <f t="shared" si="20"/>
        <v>VALOR NETO 42735</v>
      </c>
      <c r="P79" s="34" t="str">
        <f t="shared" si="21"/>
        <v>GERENCIAL APOYO NO PRODUCTIVOEDIFICIOS Y MEJORAS</v>
      </c>
      <c r="Q79" s="34" t="str">
        <f>+$R$77</f>
        <v>GERENCIAL APOYO NO PRODUCTIVO</v>
      </c>
      <c r="R79" s="1" t="s">
        <v>11</v>
      </c>
      <c r="S79" s="41">
        <v>6366084.5300000003</v>
      </c>
      <c r="T79" s="41">
        <v>0</v>
      </c>
      <c r="U79" s="41">
        <v>0</v>
      </c>
      <c r="V79" s="41">
        <v>0</v>
      </c>
      <c r="W79" s="41">
        <v>0</v>
      </c>
      <c r="X79" s="42">
        <f>+S79+T79-U79+V79+W79</f>
        <v>6366084.5300000003</v>
      </c>
      <c r="Y79" s="42">
        <v>4999262.4099999992</v>
      </c>
      <c r="Z79" s="43">
        <f>+X79-Y79</f>
        <v>1366822.120000001</v>
      </c>
      <c r="AB79" s="67">
        <v>6366084.5300000003</v>
      </c>
      <c r="AC79" s="67">
        <v>0</v>
      </c>
      <c r="AD79" s="67">
        <v>0</v>
      </c>
      <c r="AE79" s="67">
        <v>0</v>
      </c>
      <c r="AF79" s="67">
        <v>0</v>
      </c>
      <c r="AG79" s="61">
        <f>+AB79+AC79-AD79+AE79+AF79</f>
        <v>6366084.5300000003</v>
      </c>
      <c r="AH79" s="67">
        <v>5181150.1199999992</v>
      </c>
      <c r="AI79" s="60">
        <f>+AG79-AH79</f>
        <v>1184934.4100000011</v>
      </c>
      <c r="AK79" s="67">
        <v>6366084.5300000003</v>
      </c>
      <c r="AL79" s="67">
        <v>0</v>
      </c>
      <c r="AM79" s="67">
        <v>0</v>
      </c>
      <c r="AN79" s="67">
        <v>0</v>
      </c>
      <c r="AO79" s="67">
        <v>0</v>
      </c>
      <c r="AP79" s="61">
        <f>+AK79+AL79-AM79+AN79+AO79</f>
        <v>6366084.5300000003</v>
      </c>
      <c r="AQ79" s="67">
        <v>5363037.8299999991</v>
      </c>
      <c r="AR79" s="61">
        <f>+AP79-AQ79</f>
        <v>1003046.7000000011</v>
      </c>
      <c r="AT79" s="82">
        <v>6366084.5300000003</v>
      </c>
      <c r="AU79" s="68">
        <v>0</v>
      </c>
      <c r="AV79" s="68">
        <v>0</v>
      </c>
      <c r="AW79" s="68">
        <v>0</v>
      </c>
      <c r="AX79" s="68">
        <v>0</v>
      </c>
      <c r="AY79" s="61">
        <f>+AT79+AU79-AV79+AW79+AX79</f>
        <v>6366084.5300000003</v>
      </c>
      <c r="AZ79" s="67">
        <v>5544926</v>
      </c>
      <c r="BA79" s="61">
        <f>+AY79-AZ79</f>
        <v>821158.53000000026</v>
      </c>
    </row>
    <row r="80" spans="2:53" ht="13.5" thickBot="1" x14ac:dyDescent="0.25">
      <c r="C80" s="34" t="str">
        <f t="shared" si="86"/>
        <v>COSTO AL 41274</v>
      </c>
      <c r="D80" s="34" t="str">
        <f t="shared" si="86"/>
        <v>COSTO AL 41639</v>
      </c>
      <c r="E80" s="34" t="str">
        <f t="shared" si="58"/>
        <v>COSTO AL 42004</v>
      </c>
      <c r="F80" s="34" t="str">
        <f t="shared" si="11"/>
        <v>COSTO AL 42369</v>
      </c>
      <c r="G80" s="34" t="str">
        <f t="shared" si="12"/>
        <v>COSTO AL 42735</v>
      </c>
      <c r="H80" s="34" t="str">
        <f t="shared" si="13"/>
        <v>DEPRECIACION 41639</v>
      </c>
      <c r="I80" s="34" t="str">
        <f t="shared" si="14"/>
        <v>DEPRECIACION 42004</v>
      </c>
      <c r="J80" s="34" t="str">
        <f t="shared" si="15"/>
        <v>DEPRECIACION 42369</v>
      </c>
      <c r="K80" s="34" t="str">
        <f t="shared" si="16"/>
        <v>DEPRECIACION 42735</v>
      </c>
      <c r="L80" s="34" t="str">
        <f t="shared" si="17"/>
        <v>VALOR NETO 41639</v>
      </c>
      <c r="M80" s="34" t="str">
        <f t="shared" si="18"/>
        <v>VALOR NETO 42004</v>
      </c>
      <c r="N80" s="34" t="str">
        <f t="shared" si="19"/>
        <v>VALOR NETO 42369</v>
      </c>
      <c r="O80" s="34" t="str">
        <f t="shared" si="20"/>
        <v>VALOR NETO 42735</v>
      </c>
      <c r="P80" s="34" t="str">
        <f t="shared" si="21"/>
        <v>GERENCIAL APOYO NO PRODUCTIVOSUB TOTAL</v>
      </c>
      <c r="Q80" s="34" t="str">
        <f>+$R$77</f>
        <v>GERENCIAL APOYO NO PRODUCTIVO</v>
      </c>
      <c r="R80" s="38" t="s">
        <v>25</v>
      </c>
      <c r="S80" s="44">
        <f>SUM(S79)</f>
        <v>6366084.5300000003</v>
      </c>
      <c r="T80" s="44">
        <f t="shared" ref="T80:Z80" si="87">SUM(T79)</f>
        <v>0</v>
      </c>
      <c r="U80" s="44">
        <f t="shared" si="87"/>
        <v>0</v>
      </c>
      <c r="V80" s="44">
        <f t="shared" si="87"/>
        <v>0</v>
      </c>
      <c r="W80" s="44">
        <f t="shared" si="87"/>
        <v>0</v>
      </c>
      <c r="X80" s="52">
        <f t="shared" si="87"/>
        <v>6366084.5300000003</v>
      </c>
      <c r="Y80" s="52">
        <f t="shared" si="87"/>
        <v>4999262.4099999992</v>
      </c>
      <c r="Z80" s="52">
        <f t="shared" si="87"/>
        <v>1366822.120000001</v>
      </c>
      <c r="AB80" s="62">
        <f>SUM(AB79)</f>
        <v>6366084.5300000003</v>
      </c>
      <c r="AC80" s="62">
        <f t="shared" ref="AC80:AI80" si="88">SUM(AC79)</f>
        <v>0</v>
      </c>
      <c r="AD80" s="62">
        <f t="shared" si="88"/>
        <v>0</v>
      </c>
      <c r="AE80" s="62">
        <f t="shared" si="88"/>
        <v>0</v>
      </c>
      <c r="AF80" s="62">
        <f t="shared" si="88"/>
        <v>0</v>
      </c>
      <c r="AG80" s="70">
        <f t="shared" si="88"/>
        <v>6366084.5300000003</v>
      </c>
      <c r="AH80" s="70">
        <f t="shared" si="88"/>
        <v>5181150.1199999992</v>
      </c>
      <c r="AI80" s="70">
        <f t="shared" si="88"/>
        <v>1184934.4100000011</v>
      </c>
      <c r="AK80" s="70">
        <f>SUM(AK79:AK79)</f>
        <v>6366084.5300000003</v>
      </c>
      <c r="AL80" s="70">
        <f>SUM(AL79)</f>
        <v>0</v>
      </c>
      <c r="AM80" s="70">
        <f>SUM(AM79)</f>
        <v>0</v>
      </c>
      <c r="AN80" s="70">
        <f>SUM(AN79)</f>
        <v>0</v>
      </c>
      <c r="AO80" s="70">
        <f>SUM(AO79)</f>
        <v>0</v>
      </c>
      <c r="AP80" s="70">
        <f>SUM(AP79)</f>
        <v>6366084.5300000003</v>
      </c>
      <c r="AQ80" s="70">
        <f>+AQ79</f>
        <v>5363037.8299999991</v>
      </c>
      <c r="AR80" s="70">
        <f>+AR79</f>
        <v>1003046.7000000011</v>
      </c>
      <c r="AT80" s="21">
        <f>SUM(AT79:AT79)</f>
        <v>6366084.5300000003</v>
      </c>
      <c r="AU80" s="21">
        <f>SUM(AU79)</f>
        <v>0</v>
      </c>
      <c r="AV80" s="21">
        <f>SUM(AV79)</f>
        <v>0</v>
      </c>
      <c r="AW80" s="21">
        <f>SUM(AW79)</f>
        <v>0</v>
      </c>
      <c r="AX80" s="21">
        <f>SUM(AX79)</f>
        <v>0</v>
      </c>
      <c r="AY80" s="21">
        <f>SUM(AY79)</f>
        <v>6366084.5300000003</v>
      </c>
      <c r="AZ80" s="21">
        <f>+AZ79</f>
        <v>5544926</v>
      </c>
      <c r="BA80" s="21">
        <f>+BA79</f>
        <v>821158.53000000026</v>
      </c>
    </row>
    <row r="81" spans="2:53" ht="15.75" thickTop="1" x14ac:dyDescent="0.25">
      <c r="C81" s="34" t="str">
        <f t="shared" si="86"/>
        <v>COSTO AL 41274</v>
      </c>
      <c r="D81" s="34" t="str">
        <f t="shared" si="86"/>
        <v>COSTO AL 41639</v>
      </c>
      <c r="E81" s="34" t="str">
        <f t="shared" ref="E81:E89" si="89">+INDEX($AB$13:$AI$13,0,E$16)</f>
        <v>COSTO AL 42004</v>
      </c>
      <c r="F81" s="34" t="str">
        <f t="shared" si="11"/>
        <v>COSTO AL 42369</v>
      </c>
      <c r="G81" s="34" t="str">
        <f t="shared" si="12"/>
        <v>COSTO AL 42735</v>
      </c>
      <c r="H81" s="34" t="str">
        <f t="shared" si="13"/>
        <v>DEPRECIACION 41639</v>
      </c>
      <c r="I81" s="34" t="str">
        <f t="shared" si="14"/>
        <v>DEPRECIACION 42004</v>
      </c>
      <c r="J81" s="34" t="str">
        <f t="shared" si="15"/>
        <v>DEPRECIACION 42369</v>
      </c>
      <c r="K81" s="34" t="str">
        <f t="shared" si="16"/>
        <v>DEPRECIACION 42735</v>
      </c>
      <c r="L81" s="34" t="str">
        <f t="shared" si="17"/>
        <v>VALOR NETO 41639</v>
      </c>
      <c r="M81" s="34" t="str">
        <f t="shared" si="18"/>
        <v>VALOR NETO 42004</v>
      </c>
      <c r="N81" s="34" t="str">
        <f t="shared" si="19"/>
        <v>VALOR NETO 42369</v>
      </c>
      <c r="O81" s="34" t="str">
        <f t="shared" si="20"/>
        <v>VALOR NETO 42735</v>
      </c>
      <c r="P81" s="34" t="str">
        <f t="shared" si="21"/>
        <v/>
      </c>
      <c r="Q81" s="34"/>
      <c r="R81" s="38"/>
      <c r="T81" s="34"/>
      <c r="U81" s="34"/>
      <c r="V81" s="34"/>
      <c r="W81" s="34"/>
      <c r="X81" s="34"/>
      <c r="Y81" s="43"/>
      <c r="Z81" s="34"/>
      <c r="AB81" s="57"/>
      <c r="AC81" s="57"/>
      <c r="AD81" s="57"/>
      <c r="AE81" s="57"/>
      <c r="AF81" s="57"/>
      <c r="AG81" s="57"/>
      <c r="AH81" s="60"/>
      <c r="AI81" s="57"/>
      <c r="AK81" s="58"/>
      <c r="AL81" s="58"/>
      <c r="AM81" s="58"/>
      <c r="AN81" s="58"/>
      <c r="AO81" s="58"/>
      <c r="AP81" s="58"/>
      <c r="AQ81" s="58"/>
      <c r="AR81" s="58"/>
      <c r="AT81" s="20"/>
      <c r="AU81" s="20"/>
      <c r="AV81" s="20"/>
      <c r="AW81" s="20"/>
      <c r="AX81" s="20"/>
      <c r="AY81" s="58"/>
      <c r="AZ81" s="58"/>
      <c r="BA81" s="58"/>
    </row>
    <row r="82" spans="2:53" ht="13.5" thickBot="1" x14ac:dyDescent="0.25">
      <c r="C82" s="34" t="str">
        <f t="shared" si="86"/>
        <v>COSTO AL 41274</v>
      </c>
      <c r="D82" s="34" t="str">
        <f t="shared" si="86"/>
        <v>COSTO AL 41639</v>
      </c>
      <c r="E82" s="34" t="str">
        <f t="shared" si="89"/>
        <v>COSTO AL 42004</v>
      </c>
      <c r="F82" s="34" t="str">
        <f t="shared" si="11"/>
        <v>COSTO AL 42369</v>
      </c>
      <c r="G82" s="34" t="str">
        <f t="shared" ref="G82:G89" si="90">+INDEX($AT$13:$BA$13,0,G$16)</f>
        <v>COSTO AL 42735</v>
      </c>
      <c r="H82" s="34" t="str">
        <f t="shared" si="13"/>
        <v>DEPRECIACION 41639</v>
      </c>
      <c r="I82" s="34" t="str">
        <f t="shared" si="14"/>
        <v>DEPRECIACION 42004</v>
      </c>
      <c r="J82" s="34" t="str">
        <f t="shared" si="15"/>
        <v>DEPRECIACION 42369</v>
      </c>
      <c r="K82" s="34" t="str">
        <f t="shared" si="16"/>
        <v>DEPRECIACION 42735</v>
      </c>
      <c r="L82" s="34" t="str">
        <f t="shared" ref="L82:L89" si="91">+INDEX($S$13:$Z$13,0,L$16)</f>
        <v>VALOR NETO 41639</v>
      </c>
      <c r="M82" s="34" t="str">
        <f t="shared" ref="M82:M89" si="92">+INDEX($AB$13:$AI$13,0,M$16)</f>
        <v>VALOR NETO 42004</v>
      </c>
      <c r="N82" s="34" t="str">
        <f t="shared" ref="N82:N89" si="93">+INDEX($AK$13:$AR$13,0,N$16)</f>
        <v>VALOR NETO 42369</v>
      </c>
      <c r="O82" s="34" t="str">
        <f t="shared" ref="O82:O89" si="94">+INDEX($AT$13:$BA$13,0,O$16)</f>
        <v>VALOR NETO 42735</v>
      </c>
      <c r="P82" s="34" t="str">
        <f t="shared" si="21"/>
        <v>TOTAL</v>
      </c>
      <c r="Q82" s="34"/>
      <c r="R82" s="38" t="s">
        <v>40</v>
      </c>
      <c r="S82" s="53">
        <f t="shared" ref="S82:Z82" si="95">+S32+S44+S53+S63+S76+S80</f>
        <v>409110641.17403382</v>
      </c>
      <c r="T82" s="53">
        <f t="shared" si="95"/>
        <v>12063773.99</v>
      </c>
      <c r="U82" s="53">
        <f t="shared" si="95"/>
        <v>1598297.8099999998</v>
      </c>
      <c r="V82" s="53">
        <f t="shared" si="95"/>
        <v>-4.6566128730773926E-10</v>
      </c>
      <c r="W82" s="53">
        <f t="shared" si="95"/>
        <v>0</v>
      </c>
      <c r="X82" s="53">
        <f t="shared" si="95"/>
        <v>419576117.35403389</v>
      </c>
      <c r="Y82" s="53">
        <f t="shared" si="95"/>
        <v>203929978.83400002</v>
      </c>
      <c r="Z82" s="53">
        <f t="shared" si="95"/>
        <v>215646138.5200339</v>
      </c>
      <c r="AB82" s="72">
        <f t="shared" ref="AB82:AI82" si="96">+AB32+AB44+AB53+AB63+AB76+AB80</f>
        <v>419576117.35403389</v>
      </c>
      <c r="AC82" s="72">
        <f t="shared" si="96"/>
        <v>13759730.289999999</v>
      </c>
      <c r="AD82" s="72">
        <f t="shared" si="96"/>
        <v>823502.09</v>
      </c>
      <c r="AE82" s="72">
        <f t="shared" si="96"/>
        <v>0</v>
      </c>
      <c r="AF82" s="72">
        <f t="shared" si="96"/>
        <v>-349817.49</v>
      </c>
      <c r="AG82" s="72">
        <f t="shared" si="96"/>
        <v>432162528.06403381</v>
      </c>
      <c r="AH82" s="72">
        <f t="shared" si="96"/>
        <v>217240457.80939999</v>
      </c>
      <c r="AI82" s="72">
        <f t="shared" si="96"/>
        <v>214922070.25463387</v>
      </c>
      <c r="AK82" s="73">
        <f>+AK32+AK44+AK53+AK63+AK76+AK80</f>
        <v>432162528.06403381</v>
      </c>
      <c r="AL82" s="73">
        <f>+AL32+AL44+AL53+AL63+AL76+AL80</f>
        <v>1783020.3800000001</v>
      </c>
      <c r="AM82" s="73">
        <f>+AM32+AM44+AM53+AM63+AM76+AM80+AM87</f>
        <v>708205.28</v>
      </c>
      <c r="AN82" s="73">
        <f>+AN32+AN44+AN53+AN63+AN76+AN80+AN87</f>
        <v>0</v>
      </c>
      <c r="AO82" s="73">
        <f>+AO32+AO44+AO53+AO63+AO76+AO80+AO87</f>
        <v>0</v>
      </c>
      <c r="AP82" s="73">
        <f>+AP32+AP44+AP53+AP63+AP76+AP80</f>
        <v>433237343.16403377</v>
      </c>
      <c r="AQ82" s="73">
        <f>+AQ32+AQ44+AQ53+AQ63+AQ76+AQ80</f>
        <v>229645456.57440007</v>
      </c>
      <c r="AR82" s="73">
        <f>+AR32+AR44+AR53+AR63+AR76+AR80</f>
        <v>203591886.58963385</v>
      </c>
      <c r="AT82" s="23">
        <f>+AT32+AT44+AT53+AT63+AT76+AT80</f>
        <v>432662656.28903383</v>
      </c>
      <c r="AU82" s="23">
        <f>+AU32+AU44+AU53+AU63+AU76+AU80</f>
        <v>38267052.200000003</v>
      </c>
      <c r="AV82" s="23">
        <f>+AV32+AV44+AV53+AV63+AV76+AV80+AV87</f>
        <v>1309975</v>
      </c>
      <c r="AW82" s="23">
        <f>+AW32+AW44+AW53+AW63+AW76+AW80+AW87</f>
        <v>0</v>
      </c>
      <c r="AX82" s="23">
        <f>+AX32+AX44+AX53+AX63+AX76+AX80+AX87</f>
        <v>-2337571</v>
      </c>
      <c r="AY82" s="23">
        <f>+AY32+AY44+AY53+AY63+AY76+AY80</f>
        <v>467282161.48903382</v>
      </c>
      <c r="AZ82" s="23">
        <f>+AZ32+AZ44+AZ53+AZ63+AZ76+AZ80</f>
        <v>242779838.41</v>
      </c>
      <c r="BA82" s="23">
        <f>+BA32+BA44+BA53+BA63+BA76+BA80</f>
        <v>224502323.07903388</v>
      </c>
    </row>
    <row r="83" spans="2:53" ht="15" outlineLevel="1" x14ac:dyDescent="0.25">
      <c r="C83" s="34" t="str">
        <f t="shared" si="86"/>
        <v>COSTO AL 41274</v>
      </c>
      <c r="D83" s="34" t="str">
        <f t="shared" si="86"/>
        <v>COSTO AL 41639</v>
      </c>
      <c r="E83" s="34" t="str">
        <f t="shared" si="89"/>
        <v>COSTO AL 42004</v>
      </c>
      <c r="F83" s="34" t="str">
        <f t="shared" ref="F83:F89" si="97">+INDEX($AK$13:$AR$13,0,F$16)</f>
        <v>COSTO AL 42369</v>
      </c>
      <c r="G83" s="34" t="str">
        <f t="shared" si="90"/>
        <v>COSTO AL 42735</v>
      </c>
      <c r="H83" s="34" t="str">
        <f t="shared" ref="H83:H89" si="98">+INDEX($S$13:$Z$13,0,H$16)</f>
        <v>DEPRECIACION 41639</v>
      </c>
      <c r="I83" s="34" t="str">
        <f t="shared" ref="I83:I89" si="99">+INDEX($AB$13:$AI$13,0,I$16)</f>
        <v>DEPRECIACION 42004</v>
      </c>
      <c r="J83" s="34" t="str">
        <f t="shared" ref="J83:J89" si="100">+INDEX($AK$13:$AR$13,0,J$16)</f>
        <v>DEPRECIACION 42369</v>
      </c>
      <c r="K83" s="34" t="str">
        <f t="shared" ref="K83:K89" si="101">+INDEX($AT$13:$BA$13,0,K$16)</f>
        <v>DEPRECIACION 42735</v>
      </c>
      <c r="L83" s="34" t="str">
        <f t="shared" si="91"/>
        <v>VALOR NETO 41639</v>
      </c>
      <c r="M83" s="34" t="str">
        <f t="shared" si="92"/>
        <v>VALOR NETO 42004</v>
      </c>
      <c r="N83" s="34" t="str">
        <f t="shared" si="93"/>
        <v>VALOR NETO 42369</v>
      </c>
      <c r="O83" s="34" t="str">
        <f t="shared" si="94"/>
        <v>VALOR NETO 42735</v>
      </c>
      <c r="P83" s="34" t="str">
        <f t="shared" ref="P83:P89" si="102">+CONCATENATE(Q83,R83)</f>
        <v/>
      </c>
      <c r="Q83" s="34"/>
      <c r="T83" s="34"/>
      <c r="U83" s="34"/>
      <c r="V83" s="34"/>
      <c r="W83" s="34"/>
      <c r="X83" s="34"/>
      <c r="Y83" s="36"/>
      <c r="Z83" s="34"/>
      <c r="AB83" s="57"/>
      <c r="AC83" s="57"/>
      <c r="AD83" s="57"/>
      <c r="AE83" s="57"/>
      <c r="AF83" s="57"/>
      <c r="AG83" s="57"/>
      <c r="AH83" s="58"/>
      <c r="AI83" s="57"/>
      <c r="AK83" s="58"/>
      <c r="AL83" s="58"/>
      <c r="AM83" s="58"/>
      <c r="AN83" s="58"/>
      <c r="AO83" s="58"/>
      <c r="AP83" s="58"/>
      <c r="AQ83" s="58"/>
      <c r="AR83" s="58"/>
      <c r="AT83" s="20"/>
      <c r="AU83" s="20"/>
      <c r="AV83" s="20"/>
      <c r="AW83" s="20"/>
      <c r="AX83" s="20"/>
      <c r="AY83" s="58"/>
      <c r="AZ83" s="58"/>
      <c r="BA83" s="58"/>
    </row>
    <row r="84" spans="2:53" ht="15" outlineLevel="1" x14ac:dyDescent="0.25">
      <c r="B84" s="1">
        <v>11173600</v>
      </c>
      <c r="C84" s="34" t="str">
        <f t="shared" si="86"/>
        <v>COSTO AL 41274</v>
      </c>
      <c r="D84" s="34" t="str">
        <f t="shared" si="86"/>
        <v>COSTO AL 41639</v>
      </c>
      <c r="E84" s="34" t="str">
        <f t="shared" si="89"/>
        <v>COSTO AL 42004</v>
      </c>
      <c r="F84" s="34" t="str">
        <f t="shared" si="97"/>
        <v>COSTO AL 42369</v>
      </c>
      <c r="G84" s="34" t="str">
        <f t="shared" si="90"/>
        <v>COSTO AL 42735</v>
      </c>
      <c r="H84" s="34" t="str">
        <f t="shared" si="98"/>
        <v>DEPRECIACION 41639</v>
      </c>
      <c r="I84" s="34" t="str">
        <f t="shared" si="99"/>
        <v>DEPRECIACION 42004</v>
      </c>
      <c r="J84" s="34" t="str">
        <f t="shared" si="100"/>
        <v>DEPRECIACION 42369</v>
      </c>
      <c r="K84" s="34" t="str">
        <f t="shared" si="101"/>
        <v>DEPRECIACION 42735</v>
      </c>
      <c r="L84" s="34" t="str">
        <f t="shared" si="91"/>
        <v>VALOR NETO 41639</v>
      </c>
      <c r="M84" s="34" t="str">
        <f t="shared" si="92"/>
        <v>VALOR NETO 42004</v>
      </c>
      <c r="N84" s="34" t="str">
        <f t="shared" si="93"/>
        <v>VALOR NETO 42369</v>
      </c>
      <c r="O84" s="34" t="str">
        <f t="shared" si="94"/>
        <v>VALOR NETO 42735</v>
      </c>
      <c r="P84" s="34" t="str">
        <f t="shared" si="102"/>
        <v xml:space="preserve">Bienes Donados - Informática - Hidromet </v>
      </c>
      <c r="Q84" s="34"/>
      <c r="R84" s="1" t="s">
        <v>41</v>
      </c>
      <c r="S84" s="40">
        <v>7770.96</v>
      </c>
      <c r="T84" s="40">
        <v>0</v>
      </c>
      <c r="U84" s="40">
        <v>0</v>
      </c>
      <c r="V84" s="40">
        <v>0</v>
      </c>
      <c r="W84" s="40">
        <v>0</v>
      </c>
      <c r="X84" s="43">
        <f>+S84+T84-U84+V84+W84</f>
        <v>7770.96</v>
      </c>
      <c r="Y84" s="43">
        <v>1350.6200000000001</v>
      </c>
      <c r="Z84" s="43">
        <f>+X84-Y84</f>
        <v>6420.34</v>
      </c>
      <c r="AB84" s="66">
        <v>7770.96</v>
      </c>
      <c r="AC84" s="66">
        <v>0</v>
      </c>
      <c r="AD84" s="66">
        <v>0</v>
      </c>
      <c r="AE84" s="66">
        <v>0</v>
      </c>
      <c r="AF84" s="66">
        <v>0</v>
      </c>
      <c r="AG84" s="60">
        <f>+AB84+AC84-AD84+AE84+AF84</f>
        <v>7770.96</v>
      </c>
      <c r="AH84" s="66">
        <v>1572.64</v>
      </c>
      <c r="AI84" s="60">
        <f>+AG84-AH84</f>
        <v>6198.32</v>
      </c>
      <c r="AK84" s="64">
        <v>7770.96</v>
      </c>
      <c r="AL84" s="66">
        <v>0</v>
      </c>
      <c r="AM84" s="66">
        <v>0</v>
      </c>
      <c r="AN84" s="66">
        <v>0</v>
      </c>
      <c r="AO84" s="66">
        <v>0</v>
      </c>
      <c r="AP84" s="60">
        <f>+AK84+AL84-AM84+AN84+AO84</f>
        <v>7770.96</v>
      </c>
      <c r="AQ84" s="66">
        <v>1794.66</v>
      </c>
      <c r="AR84" s="60">
        <f>+AP84-AQ84</f>
        <v>5976.3</v>
      </c>
      <c r="AT84" s="80">
        <v>7770.96</v>
      </c>
      <c r="AU84" s="69">
        <v>0</v>
      </c>
      <c r="AV84" s="69">
        <v>0</v>
      </c>
      <c r="AW84" s="69">
        <v>0</v>
      </c>
      <c r="AX84" s="69">
        <v>0</v>
      </c>
      <c r="AY84" s="60">
        <f>+AT84+AU84-AV84+AW84+AX84</f>
        <v>7770.96</v>
      </c>
      <c r="AZ84" s="66">
        <v>2017</v>
      </c>
      <c r="BA84" s="60">
        <f>+AY84-AZ84</f>
        <v>5753.96</v>
      </c>
    </row>
    <row r="85" spans="2:53" ht="15" outlineLevel="1" x14ac:dyDescent="0.25">
      <c r="B85" s="1">
        <v>11173601</v>
      </c>
      <c r="C85" s="34" t="str">
        <f t="shared" si="86"/>
        <v>COSTO AL 41274</v>
      </c>
      <c r="D85" s="34" t="str">
        <f t="shared" si="86"/>
        <v>COSTO AL 41639</v>
      </c>
      <c r="E85" s="34" t="str">
        <f t="shared" si="89"/>
        <v>COSTO AL 42004</v>
      </c>
      <c r="F85" s="34" t="str">
        <f t="shared" si="97"/>
        <v>COSTO AL 42369</v>
      </c>
      <c r="G85" s="34" t="str">
        <f t="shared" si="90"/>
        <v>COSTO AL 42735</v>
      </c>
      <c r="H85" s="34" t="str">
        <f t="shared" si="98"/>
        <v>DEPRECIACION 41639</v>
      </c>
      <c r="I85" s="34" t="str">
        <f t="shared" si="99"/>
        <v>DEPRECIACION 42004</v>
      </c>
      <c r="J85" s="34" t="str">
        <f t="shared" si="100"/>
        <v>DEPRECIACION 42369</v>
      </c>
      <c r="K85" s="34" t="str">
        <f t="shared" si="101"/>
        <v>DEPRECIACION 42735</v>
      </c>
      <c r="L85" s="34" t="str">
        <f t="shared" si="91"/>
        <v>VALOR NETO 41639</v>
      </c>
      <c r="M85" s="34" t="str">
        <f t="shared" si="92"/>
        <v>VALOR NETO 42004</v>
      </c>
      <c r="N85" s="34" t="str">
        <f t="shared" si="93"/>
        <v>VALOR NETO 42369</v>
      </c>
      <c r="O85" s="34" t="str">
        <f t="shared" si="94"/>
        <v>VALOR NETO 42735</v>
      </c>
      <c r="P85" s="34" t="str">
        <f t="shared" si="102"/>
        <v>EQUIPO TORRES - ACP / STP</v>
      </c>
      <c r="Q85" s="34"/>
      <c r="R85" s="1" t="s">
        <v>42</v>
      </c>
      <c r="S85" s="40">
        <v>594894.77</v>
      </c>
      <c r="T85" s="40">
        <v>0</v>
      </c>
      <c r="U85" s="40">
        <v>0</v>
      </c>
      <c r="V85" s="40">
        <v>0</v>
      </c>
      <c r="W85" s="40">
        <v>0</v>
      </c>
      <c r="X85" s="43">
        <f t="shared" ref="X85:X86" si="103">+S85+T85-U85+V85+W85</f>
        <v>594894.77</v>
      </c>
      <c r="Y85" s="43">
        <v>58249.899999999987</v>
      </c>
      <c r="Z85" s="43">
        <f t="shared" ref="Z85:Z86" si="104">+X85-Y85</f>
        <v>536644.87</v>
      </c>
      <c r="AB85" s="66">
        <v>594894.77</v>
      </c>
      <c r="AC85" s="66">
        <v>0</v>
      </c>
      <c r="AD85" s="66">
        <v>0</v>
      </c>
      <c r="AE85" s="66">
        <v>0</v>
      </c>
      <c r="AF85" s="66">
        <v>0</v>
      </c>
      <c r="AG85" s="60">
        <f>+AB85+AC85-AD85+AE85+AF85</f>
        <v>594894.77</v>
      </c>
      <c r="AH85" s="66">
        <v>73122.199999999983</v>
      </c>
      <c r="AI85" s="60">
        <f>+AG85-AH85</f>
        <v>521772.57000000007</v>
      </c>
      <c r="AK85" s="64">
        <v>594894.77</v>
      </c>
      <c r="AL85" s="66">
        <v>0</v>
      </c>
      <c r="AM85" s="66">
        <v>0</v>
      </c>
      <c r="AN85" s="66">
        <v>0</v>
      </c>
      <c r="AO85" s="66">
        <v>0</v>
      </c>
      <c r="AP85" s="60">
        <f>+AK85+AL85-AM85+AN85+AO85</f>
        <v>594894.77</v>
      </c>
      <c r="AQ85" s="66">
        <v>87994.499999999985</v>
      </c>
      <c r="AR85" s="60">
        <f>+AP85-AQ85</f>
        <v>506900.27</v>
      </c>
      <c r="AT85" s="80">
        <v>594894.77</v>
      </c>
      <c r="AU85" s="69">
        <v>1323437</v>
      </c>
      <c r="AV85" s="69">
        <v>0</v>
      </c>
      <c r="AW85" s="69">
        <v>0</v>
      </c>
      <c r="AX85" s="69">
        <v>0</v>
      </c>
      <c r="AY85" s="60">
        <f>+AT85+AU85-AV85+AW85+AX85</f>
        <v>1918331.77</v>
      </c>
      <c r="AZ85" s="66">
        <v>129486</v>
      </c>
      <c r="BA85" s="60">
        <f>+AY85-AZ85</f>
        <v>1788845.77</v>
      </c>
    </row>
    <row r="86" spans="2:53" ht="15" outlineLevel="1" x14ac:dyDescent="0.25">
      <c r="B86" s="1">
        <v>11173602</v>
      </c>
      <c r="C86" s="34" t="str">
        <f t="shared" si="86"/>
        <v>COSTO AL 41274</v>
      </c>
      <c r="D86" s="34" t="str">
        <f t="shared" si="86"/>
        <v>COSTO AL 41639</v>
      </c>
      <c r="E86" s="34" t="str">
        <f t="shared" si="89"/>
        <v>COSTO AL 42004</v>
      </c>
      <c r="F86" s="34" t="str">
        <f t="shared" si="97"/>
        <v>COSTO AL 42369</v>
      </c>
      <c r="G86" s="34" t="str">
        <f t="shared" si="90"/>
        <v>COSTO AL 42735</v>
      </c>
      <c r="H86" s="34" t="str">
        <f t="shared" si="98"/>
        <v>DEPRECIACION 41639</v>
      </c>
      <c r="I86" s="34" t="str">
        <f t="shared" si="99"/>
        <v>DEPRECIACION 42004</v>
      </c>
      <c r="J86" s="34" t="str">
        <f t="shared" si="100"/>
        <v>DEPRECIACION 42369</v>
      </c>
      <c r="K86" s="34" t="str">
        <f t="shared" si="101"/>
        <v>DEPRECIACION 42735</v>
      </c>
      <c r="L86" s="34" t="str">
        <f t="shared" si="91"/>
        <v>VALOR NETO 41639</v>
      </c>
      <c r="M86" s="34" t="str">
        <f t="shared" si="92"/>
        <v>VALOR NETO 42004</v>
      </c>
      <c r="N86" s="34" t="str">
        <f t="shared" si="93"/>
        <v>VALOR NETO 42369</v>
      </c>
      <c r="O86" s="34" t="str">
        <f t="shared" si="94"/>
        <v>VALOR NETO 42735</v>
      </c>
      <c r="P86" s="34" t="str">
        <f t="shared" si="102"/>
        <v>EQUIPO CONDUCTORES Y OTROS - ACP / STP</v>
      </c>
      <c r="Q86" s="34"/>
      <c r="R86" s="1" t="s">
        <v>43</v>
      </c>
      <c r="S86" s="40">
        <v>504105.23</v>
      </c>
      <c r="T86" s="40">
        <v>0</v>
      </c>
      <c r="U86" s="40">
        <v>0</v>
      </c>
      <c r="V86" s="40">
        <v>0</v>
      </c>
      <c r="W86" s="40">
        <v>0</v>
      </c>
      <c r="X86" s="43">
        <f t="shared" si="103"/>
        <v>504105.23</v>
      </c>
      <c r="Y86" s="43">
        <v>56411.75</v>
      </c>
      <c r="Z86" s="43">
        <f t="shared" si="104"/>
        <v>447693.48</v>
      </c>
      <c r="AB86" s="66">
        <v>504105.23</v>
      </c>
      <c r="AC86" s="66">
        <v>0</v>
      </c>
      <c r="AD86" s="66">
        <v>0</v>
      </c>
      <c r="AE86" s="66">
        <v>0</v>
      </c>
      <c r="AF86" s="66">
        <v>0</v>
      </c>
      <c r="AG86" s="60">
        <f>+AB86+AC86-AD86+AE86+AF86</f>
        <v>504105.23</v>
      </c>
      <c r="AH86" s="66">
        <v>70814.75</v>
      </c>
      <c r="AI86" s="60">
        <f>+AG86-AH86</f>
        <v>433290.48</v>
      </c>
      <c r="AK86" s="64">
        <v>504105.23</v>
      </c>
      <c r="AL86" s="66">
        <v>0</v>
      </c>
      <c r="AM86" s="66">
        <v>0</v>
      </c>
      <c r="AN86" s="66">
        <v>0</v>
      </c>
      <c r="AO86" s="66">
        <v>0</v>
      </c>
      <c r="AP86" s="60">
        <f>+AK86+AL86-AM86+AN86+AO86</f>
        <v>504105.23</v>
      </c>
      <c r="AQ86" s="66">
        <v>85217.75</v>
      </c>
      <c r="AR86" s="60">
        <f>+AP86-AQ86</f>
        <v>418887.48</v>
      </c>
      <c r="AT86" s="80">
        <v>504105.23</v>
      </c>
      <c r="AU86" s="69">
        <v>0</v>
      </c>
      <c r="AV86" s="69">
        <v>0</v>
      </c>
      <c r="AW86" s="69">
        <v>0</v>
      </c>
      <c r="AX86" s="69">
        <v>0</v>
      </c>
      <c r="AY86" s="60">
        <f>+AT86+AU86-AV86+AW86+AX86</f>
        <v>504105.23</v>
      </c>
      <c r="AZ86" s="66">
        <v>99621</v>
      </c>
      <c r="BA86" s="60">
        <f>+AY86-AZ86</f>
        <v>404484.23</v>
      </c>
    </row>
    <row r="87" spans="2:53" ht="13.5" thickBot="1" x14ac:dyDescent="0.25">
      <c r="C87" s="34" t="str">
        <f t="shared" si="86"/>
        <v>COSTO AL 41274</v>
      </c>
      <c r="D87" s="34" t="str">
        <f t="shared" si="86"/>
        <v>COSTO AL 41639</v>
      </c>
      <c r="E87" s="34" t="str">
        <f t="shared" si="89"/>
        <v>COSTO AL 42004</v>
      </c>
      <c r="F87" s="34" t="str">
        <f t="shared" si="97"/>
        <v>COSTO AL 42369</v>
      </c>
      <c r="G87" s="34" t="str">
        <f t="shared" si="90"/>
        <v>COSTO AL 42735</v>
      </c>
      <c r="H87" s="34" t="str">
        <f t="shared" si="98"/>
        <v>DEPRECIACION 41639</v>
      </c>
      <c r="I87" s="34" t="str">
        <f t="shared" si="99"/>
        <v>DEPRECIACION 42004</v>
      </c>
      <c r="J87" s="34" t="str">
        <f t="shared" si="100"/>
        <v>DEPRECIACION 42369</v>
      </c>
      <c r="K87" s="34" t="str">
        <f t="shared" si="101"/>
        <v>DEPRECIACION 42735</v>
      </c>
      <c r="L87" s="34" t="str">
        <f t="shared" si="91"/>
        <v>VALOR NETO 41639</v>
      </c>
      <c r="M87" s="34" t="str">
        <f t="shared" si="92"/>
        <v>VALOR NETO 42004</v>
      </c>
      <c r="N87" s="34" t="str">
        <f t="shared" si="93"/>
        <v>VALOR NETO 42369</v>
      </c>
      <c r="O87" s="34" t="str">
        <f t="shared" si="94"/>
        <v>VALOR NETO 42735</v>
      </c>
      <c r="P87" s="34" t="str">
        <f t="shared" si="102"/>
        <v/>
      </c>
      <c r="Q87" s="34"/>
      <c r="S87" s="39">
        <f>SUM(S84:S86)</f>
        <v>1106770.96</v>
      </c>
      <c r="T87" s="39">
        <f t="shared" ref="T87:Z87" si="105">SUM(T84:T86)</f>
        <v>0</v>
      </c>
      <c r="U87" s="39">
        <f t="shared" si="105"/>
        <v>0</v>
      </c>
      <c r="V87" s="39">
        <f t="shared" si="105"/>
        <v>0</v>
      </c>
      <c r="W87" s="39">
        <f t="shared" si="105"/>
        <v>0</v>
      </c>
      <c r="X87" s="39">
        <f t="shared" si="105"/>
        <v>1106770.96</v>
      </c>
      <c r="Y87" s="52">
        <f t="shared" si="105"/>
        <v>116012.26999999999</v>
      </c>
      <c r="Z87" s="39">
        <f t="shared" si="105"/>
        <v>990758.69</v>
      </c>
      <c r="AB87" s="59">
        <f>SUM(AB84:AB86)</f>
        <v>1106770.96</v>
      </c>
      <c r="AC87" s="59">
        <f t="shared" ref="AC87:AI87" si="106">SUM(AC84:AC86)</f>
        <v>0</v>
      </c>
      <c r="AD87" s="59">
        <f t="shared" si="106"/>
        <v>0</v>
      </c>
      <c r="AE87" s="59">
        <f t="shared" si="106"/>
        <v>0</v>
      </c>
      <c r="AF87" s="59">
        <f t="shared" si="106"/>
        <v>0</v>
      </c>
      <c r="AG87" s="59">
        <f t="shared" si="106"/>
        <v>1106770.96</v>
      </c>
      <c r="AH87" s="70">
        <f t="shared" si="106"/>
        <v>145509.58999999997</v>
      </c>
      <c r="AI87" s="59">
        <f t="shared" si="106"/>
        <v>961261.37</v>
      </c>
      <c r="AK87" s="70">
        <f>SUM(AK84:AK86)</f>
        <v>1106770.96</v>
      </c>
      <c r="AL87" s="70">
        <f t="shared" ref="AL87:AR87" si="107">SUM(AL84:AL86)</f>
        <v>0</v>
      </c>
      <c r="AM87" s="70">
        <f t="shared" si="107"/>
        <v>0</v>
      </c>
      <c r="AN87" s="70">
        <f t="shared" si="107"/>
        <v>0</v>
      </c>
      <c r="AO87" s="70">
        <f t="shared" si="107"/>
        <v>0</v>
      </c>
      <c r="AP87" s="70">
        <f t="shared" si="107"/>
        <v>1106770.96</v>
      </c>
      <c r="AQ87" s="70">
        <f t="shared" si="107"/>
        <v>175006.90999999997</v>
      </c>
      <c r="AR87" s="70">
        <f t="shared" si="107"/>
        <v>931764.05</v>
      </c>
      <c r="AT87" s="21">
        <f>SUM(AT84:AT86)</f>
        <v>1106770.96</v>
      </c>
      <c r="AU87" s="21">
        <f t="shared" ref="AU87:BA87" si="108">SUM(AU84:AU86)</f>
        <v>1323437</v>
      </c>
      <c r="AV87" s="21">
        <f t="shared" si="108"/>
        <v>0</v>
      </c>
      <c r="AW87" s="21">
        <f t="shared" si="108"/>
        <v>0</v>
      </c>
      <c r="AX87" s="21">
        <f t="shared" si="108"/>
        <v>0</v>
      </c>
      <c r="AY87" s="21">
        <f t="shared" si="108"/>
        <v>2430207.96</v>
      </c>
      <c r="AZ87" s="21">
        <f t="shared" si="108"/>
        <v>231124</v>
      </c>
      <c r="BA87" s="21">
        <f t="shared" si="108"/>
        <v>2199083.96</v>
      </c>
    </row>
    <row r="88" spans="2:53" ht="15.75" thickTop="1" x14ac:dyDescent="0.25">
      <c r="C88" s="34" t="str">
        <f t="shared" si="86"/>
        <v>COSTO AL 41274</v>
      </c>
      <c r="D88" s="34" t="str">
        <f t="shared" si="86"/>
        <v>COSTO AL 41639</v>
      </c>
      <c r="E88" s="34" t="str">
        <f t="shared" si="89"/>
        <v>COSTO AL 42004</v>
      </c>
      <c r="F88" s="34" t="str">
        <f t="shared" si="97"/>
        <v>COSTO AL 42369</v>
      </c>
      <c r="G88" s="34" t="str">
        <f t="shared" si="90"/>
        <v>COSTO AL 42735</v>
      </c>
      <c r="H88" s="34" t="str">
        <f t="shared" si="98"/>
        <v>DEPRECIACION 41639</v>
      </c>
      <c r="I88" s="34" t="str">
        <f t="shared" si="99"/>
        <v>DEPRECIACION 42004</v>
      </c>
      <c r="J88" s="34" t="str">
        <f t="shared" si="100"/>
        <v>DEPRECIACION 42369</v>
      </c>
      <c r="K88" s="34" t="str">
        <f t="shared" si="101"/>
        <v>DEPRECIACION 42735</v>
      </c>
      <c r="L88" s="34" t="str">
        <f t="shared" si="91"/>
        <v>VALOR NETO 41639</v>
      </c>
      <c r="M88" s="34" t="str">
        <f t="shared" si="92"/>
        <v>VALOR NETO 42004</v>
      </c>
      <c r="N88" s="34" t="str">
        <f t="shared" si="93"/>
        <v>VALOR NETO 42369</v>
      </c>
      <c r="O88" s="34" t="str">
        <f t="shared" si="94"/>
        <v>VALOR NETO 42735</v>
      </c>
      <c r="P88" s="34" t="str">
        <f t="shared" si="102"/>
        <v/>
      </c>
      <c r="Q88" s="34"/>
      <c r="T88" s="34"/>
      <c r="U88" s="34"/>
      <c r="V88" s="34"/>
      <c r="W88" s="34"/>
      <c r="X88" s="34"/>
      <c r="Y88" s="33"/>
      <c r="Z88" s="34"/>
      <c r="AB88" s="57"/>
      <c r="AC88" s="57"/>
      <c r="AD88" s="57"/>
      <c r="AE88" s="57"/>
      <c r="AF88" s="57"/>
      <c r="AG88" s="57"/>
      <c r="AH88" s="58"/>
      <c r="AI88" s="57"/>
      <c r="AK88" s="58"/>
      <c r="AL88" s="58"/>
      <c r="AM88" s="58"/>
      <c r="AN88" s="58"/>
      <c r="AO88" s="74"/>
      <c r="AP88" s="58"/>
      <c r="AQ88" s="58"/>
      <c r="AR88" s="58"/>
      <c r="AT88" s="20"/>
      <c r="AU88" s="20"/>
      <c r="AV88" s="20"/>
      <c r="AW88" s="20"/>
      <c r="AX88" s="22"/>
      <c r="AY88" s="58"/>
      <c r="AZ88" s="58"/>
      <c r="BA88" s="58"/>
    </row>
    <row r="89" spans="2:53" ht="15.75" thickBot="1" x14ac:dyDescent="0.3">
      <c r="C89" s="34" t="str">
        <f t="shared" si="86"/>
        <v>COSTO AL 41274</v>
      </c>
      <c r="D89" s="34" t="str">
        <f t="shared" si="86"/>
        <v>COSTO AL 41639</v>
      </c>
      <c r="E89" s="34" t="str">
        <f t="shared" si="89"/>
        <v>COSTO AL 42004</v>
      </c>
      <c r="F89" s="34" t="str">
        <f t="shared" si="97"/>
        <v>COSTO AL 42369</v>
      </c>
      <c r="G89" s="34" t="str">
        <f t="shared" si="90"/>
        <v>COSTO AL 42735</v>
      </c>
      <c r="H89" s="34" t="str">
        <f t="shared" si="98"/>
        <v>DEPRECIACION 41639</v>
      </c>
      <c r="I89" s="34" t="str">
        <f t="shared" si="99"/>
        <v>DEPRECIACION 42004</v>
      </c>
      <c r="J89" s="34" t="str">
        <f t="shared" si="100"/>
        <v>DEPRECIACION 42369</v>
      </c>
      <c r="K89" s="34" t="str">
        <f t="shared" si="101"/>
        <v>DEPRECIACION 42735</v>
      </c>
      <c r="L89" s="34" t="str">
        <f t="shared" si="91"/>
        <v>VALOR NETO 41639</v>
      </c>
      <c r="M89" s="34" t="str">
        <f t="shared" si="92"/>
        <v>VALOR NETO 42004</v>
      </c>
      <c r="N89" s="34" t="str">
        <f t="shared" si="93"/>
        <v>VALOR NETO 42369</v>
      </c>
      <c r="O89" s="34" t="str">
        <f t="shared" si="94"/>
        <v>VALOR NETO 42735</v>
      </c>
      <c r="P89" s="34" t="str">
        <f t="shared" si="102"/>
        <v>Gran Total</v>
      </c>
      <c r="Q89" s="34"/>
      <c r="R89" s="38" t="s">
        <v>44</v>
      </c>
      <c r="S89" s="45">
        <f t="shared" ref="S89:Z89" si="109">+S82+S87</f>
        <v>410217412.1340338</v>
      </c>
      <c r="T89" s="45">
        <f t="shared" si="109"/>
        <v>12063773.99</v>
      </c>
      <c r="U89" s="45">
        <f t="shared" si="109"/>
        <v>1598297.8099999998</v>
      </c>
      <c r="V89" s="45">
        <f t="shared" si="109"/>
        <v>-4.6566128730773926E-10</v>
      </c>
      <c r="W89" s="45">
        <f t="shared" si="109"/>
        <v>0</v>
      </c>
      <c r="X89" s="45">
        <f t="shared" si="109"/>
        <v>420682888.31403387</v>
      </c>
      <c r="Y89" s="53">
        <f t="shared" si="109"/>
        <v>204045991.10400003</v>
      </c>
      <c r="Z89" s="45">
        <f t="shared" si="109"/>
        <v>216636897.21003389</v>
      </c>
      <c r="AB89" s="63">
        <f t="shared" ref="AB89:AI89" si="110">+AB82+AB87</f>
        <v>420682888.31403387</v>
      </c>
      <c r="AC89" s="63">
        <f t="shared" si="110"/>
        <v>13759730.289999999</v>
      </c>
      <c r="AD89" s="63">
        <f t="shared" si="110"/>
        <v>823502.09</v>
      </c>
      <c r="AE89" s="63">
        <f t="shared" si="110"/>
        <v>0</v>
      </c>
      <c r="AF89" s="63">
        <f t="shared" si="110"/>
        <v>-349817.49</v>
      </c>
      <c r="AG89" s="63">
        <f t="shared" si="110"/>
        <v>433269299.02403378</v>
      </c>
      <c r="AH89" s="72">
        <f t="shared" si="110"/>
        <v>217385967.3994</v>
      </c>
      <c r="AI89" s="63">
        <f t="shared" si="110"/>
        <v>215883331.62463388</v>
      </c>
      <c r="AK89" s="72">
        <f t="shared" ref="AK89:AR89" si="111">+AK82+AK87</f>
        <v>433269299.02403378</v>
      </c>
      <c r="AL89" s="72">
        <f t="shared" si="111"/>
        <v>1783020.3800000001</v>
      </c>
      <c r="AM89" s="72">
        <f t="shared" si="111"/>
        <v>708205.28</v>
      </c>
      <c r="AN89" s="72">
        <f t="shared" si="111"/>
        <v>0</v>
      </c>
      <c r="AO89" s="72">
        <f t="shared" si="111"/>
        <v>0</v>
      </c>
      <c r="AP89" s="72">
        <f t="shared" si="111"/>
        <v>434344114.12403375</v>
      </c>
      <c r="AQ89" s="72">
        <f t="shared" si="111"/>
        <v>229820463.48440006</v>
      </c>
      <c r="AR89" s="72">
        <f t="shared" si="111"/>
        <v>204523650.63963386</v>
      </c>
      <c r="AT89" s="24">
        <f t="shared" ref="AT89:BA89" si="112">+AT82+AT87</f>
        <v>433769427.24903381</v>
      </c>
      <c r="AU89" s="24"/>
      <c r="AV89" s="24">
        <f t="shared" si="112"/>
        <v>1309975</v>
      </c>
      <c r="AW89" s="24">
        <f t="shared" si="112"/>
        <v>0</v>
      </c>
      <c r="AX89" s="24">
        <f t="shared" si="112"/>
        <v>-2337571</v>
      </c>
      <c r="AY89" s="72">
        <f t="shared" si="112"/>
        <v>469712369.4490338</v>
      </c>
      <c r="AZ89" s="72">
        <f t="shared" si="112"/>
        <v>243010962.41</v>
      </c>
      <c r="BA89" s="72">
        <f t="shared" si="112"/>
        <v>226701407.03903389</v>
      </c>
    </row>
    <row r="90" spans="2:53" x14ac:dyDescent="0.2">
      <c r="S90" s="1"/>
    </row>
    <row r="92" spans="2:53" x14ac:dyDescent="0.2">
      <c r="S92" s="1"/>
    </row>
    <row r="93" spans="2:53" x14ac:dyDescent="0.2">
      <c r="S93" s="1"/>
    </row>
  </sheetData>
  <sheetProtection algorithmName="SHA-512" hashValue="B+UAVnLW3RSNDfFX4TIyl5MCdx/Feu9+Zh6DGFh5BThFsYeJB7JKzC5/ap4a6OY2/tiofyJR15J4kLryHHf4qA==" saltValue="nNVyb/Bh4IN7BVzEZKVvzA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theme="8" tint="0.59999389629810485"/>
  </sheetPr>
  <dimension ref="A1:L144"/>
  <sheetViews>
    <sheetView showGridLines="0" topLeftCell="A6" zoomScale="85" zoomScaleNormal="85" workbookViewId="0">
      <selection activeCell="E23" sqref="E23"/>
    </sheetView>
  </sheetViews>
  <sheetFormatPr baseColWidth="10" defaultRowHeight="12.75" outlineLevelRow="1" x14ac:dyDescent="0.2"/>
  <cols>
    <col min="1" max="1" width="3.140625" style="108" customWidth="1"/>
    <col min="2" max="2" width="2.5703125" style="108" customWidth="1"/>
    <col min="3" max="3" width="60.85546875" style="108" customWidth="1"/>
    <col min="4" max="6" width="22.7109375" style="108" customWidth="1"/>
    <col min="7" max="8" width="16.85546875" style="109" customWidth="1"/>
    <col min="9" max="9" width="32.5703125" style="108" customWidth="1"/>
    <col min="10" max="10" width="15.42578125" style="108" bestFit="1" customWidth="1"/>
    <col min="11" max="11" width="12.7109375" style="108" bestFit="1" customWidth="1"/>
    <col min="12" max="12" width="17.28515625" style="108" bestFit="1" customWidth="1"/>
    <col min="13" max="250" width="11.42578125" style="108"/>
    <col min="251" max="251" width="4" style="108" customWidth="1"/>
    <col min="252" max="252" width="5" style="108" customWidth="1"/>
    <col min="253" max="253" width="50.5703125" style="108" customWidth="1"/>
    <col min="254" max="256" width="22.7109375" style="108" customWidth="1"/>
    <col min="257" max="257" width="18.85546875" style="108" customWidth="1"/>
    <col min="258" max="506" width="11.42578125" style="108"/>
    <col min="507" max="507" width="4" style="108" customWidth="1"/>
    <col min="508" max="508" width="5" style="108" customWidth="1"/>
    <col min="509" max="509" width="50.5703125" style="108" customWidth="1"/>
    <col min="510" max="512" width="22.7109375" style="108" customWidth="1"/>
    <col min="513" max="513" width="18.85546875" style="108" customWidth="1"/>
    <col min="514" max="762" width="11.42578125" style="108"/>
    <col min="763" max="763" width="4" style="108" customWidth="1"/>
    <col min="764" max="764" width="5" style="108" customWidth="1"/>
    <col min="765" max="765" width="50.5703125" style="108" customWidth="1"/>
    <col min="766" max="768" width="22.7109375" style="108" customWidth="1"/>
    <col min="769" max="769" width="18.85546875" style="108" customWidth="1"/>
    <col min="770" max="1018" width="11.42578125" style="108"/>
    <col min="1019" max="1019" width="4" style="108" customWidth="1"/>
    <col min="1020" max="1020" width="5" style="108" customWidth="1"/>
    <col min="1021" max="1021" width="50.5703125" style="108" customWidth="1"/>
    <col min="1022" max="1024" width="22.7109375" style="108" customWidth="1"/>
    <col min="1025" max="1025" width="18.85546875" style="108" customWidth="1"/>
    <col min="1026" max="1274" width="11.42578125" style="108"/>
    <col min="1275" max="1275" width="4" style="108" customWidth="1"/>
    <col min="1276" max="1276" width="5" style="108" customWidth="1"/>
    <col min="1277" max="1277" width="50.5703125" style="108" customWidth="1"/>
    <col min="1278" max="1280" width="22.7109375" style="108" customWidth="1"/>
    <col min="1281" max="1281" width="18.85546875" style="108" customWidth="1"/>
    <col min="1282" max="1530" width="11.42578125" style="108"/>
    <col min="1531" max="1531" width="4" style="108" customWidth="1"/>
    <col min="1532" max="1532" width="5" style="108" customWidth="1"/>
    <col min="1533" max="1533" width="50.5703125" style="108" customWidth="1"/>
    <col min="1534" max="1536" width="22.7109375" style="108" customWidth="1"/>
    <col min="1537" max="1537" width="18.85546875" style="108" customWidth="1"/>
    <col min="1538" max="1786" width="11.42578125" style="108"/>
    <col min="1787" max="1787" width="4" style="108" customWidth="1"/>
    <col min="1788" max="1788" width="5" style="108" customWidth="1"/>
    <col min="1789" max="1789" width="50.5703125" style="108" customWidth="1"/>
    <col min="1790" max="1792" width="22.7109375" style="108" customWidth="1"/>
    <col min="1793" max="1793" width="18.85546875" style="108" customWidth="1"/>
    <col min="1794" max="2042" width="11.42578125" style="108"/>
    <col min="2043" max="2043" width="4" style="108" customWidth="1"/>
    <col min="2044" max="2044" width="5" style="108" customWidth="1"/>
    <col min="2045" max="2045" width="50.5703125" style="108" customWidth="1"/>
    <col min="2046" max="2048" width="22.7109375" style="108" customWidth="1"/>
    <col min="2049" max="2049" width="18.85546875" style="108" customWidth="1"/>
    <col min="2050" max="2298" width="11.42578125" style="108"/>
    <col min="2299" max="2299" width="4" style="108" customWidth="1"/>
    <col min="2300" max="2300" width="5" style="108" customWidth="1"/>
    <col min="2301" max="2301" width="50.5703125" style="108" customWidth="1"/>
    <col min="2302" max="2304" width="22.7109375" style="108" customWidth="1"/>
    <col min="2305" max="2305" width="18.85546875" style="108" customWidth="1"/>
    <col min="2306" max="2554" width="11.42578125" style="108"/>
    <col min="2555" max="2555" width="4" style="108" customWidth="1"/>
    <col min="2556" max="2556" width="5" style="108" customWidth="1"/>
    <col min="2557" max="2557" width="50.5703125" style="108" customWidth="1"/>
    <col min="2558" max="2560" width="22.7109375" style="108" customWidth="1"/>
    <col min="2561" max="2561" width="18.85546875" style="108" customWidth="1"/>
    <col min="2562" max="2810" width="11.42578125" style="108"/>
    <col min="2811" max="2811" width="4" style="108" customWidth="1"/>
    <col min="2812" max="2812" width="5" style="108" customWidth="1"/>
    <col min="2813" max="2813" width="50.5703125" style="108" customWidth="1"/>
    <col min="2814" max="2816" width="22.7109375" style="108" customWidth="1"/>
    <col min="2817" max="2817" width="18.85546875" style="108" customWidth="1"/>
    <col min="2818" max="3066" width="11.42578125" style="108"/>
    <col min="3067" max="3067" width="4" style="108" customWidth="1"/>
    <col min="3068" max="3068" width="5" style="108" customWidth="1"/>
    <col min="3069" max="3069" width="50.5703125" style="108" customWidth="1"/>
    <col min="3070" max="3072" width="22.7109375" style="108" customWidth="1"/>
    <col min="3073" max="3073" width="18.85546875" style="108" customWidth="1"/>
    <col min="3074" max="3322" width="11.42578125" style="108"/>
    <col min="3323" max="3323" width="4" style="108" customWidth="1"/>
    <col min="3324" max="3324" width="5" style="108" customWidth="1"/>
    <col min="3325" max="3325" width="50.5703125" style="108" customWidth="1"/>
    <col min="3326" max="3328" width="22.7109375" style="108" customWidth="1"/>
    <col min="3329" max="3329" width="18.85546875" style="108" customWidth="1"/>
    <col min="3330" max="3578" width="11.42578125" style="108"/>
    <col min="3579" max="3579" width="4" style="108" customWidth="1"/>
    <col min="3580" max="3580" width="5" style="108" customWidth="1"/>
    <col min="3581" max="3581" width="50.5703125" style="108" customWidth="1"/>
    <col min="3582" max="3584" width="22.7109375" style="108" customWidth="1"/>
    <col min="3585" max="3585" width="18.85546875" style="108" customWidth="1"/>
    <col min="3586" max="3834" width="11.42578125" style="108"/>
    <col min="3835" max="3835" width="4" style="108" customWidth="1"/>
    <col min="3836" max="3836" width="5" style="108" customWidth="1"/>
    <col min="3837" max="3837" width="50.5703125" style="108" customWidth="1"/>
    <col min="3838" max="3840" width="22.7109375" style="108" customWidth="1"/>
    <col min="3841" max="3841" width="18.85546875" style="108" customWidth="1"/>
    <col min="3842" max="4090" width="11.42578125" style="108"/>
    <col min="4091" max="4091" width="4" style="108" customWidth="1"/>
    <col min="4092" max="4092" width="5" style="108" customWidth="1"/>
    <col min="4093" max="4093" width="50.5703125" style="108" customWidth="1"/>
    <col min="4094" max="4096" width="22.7109375" style="108" customWidth="1"/>
    <col min="4097" max="4097" width="18.85546875" style="108" customWidth="1"/>
    <col min="4098" max="4346" width="11.42578125" style="108"/>
    <col min="4347" max="4347" width="4" style="108" customWidth="1"/>
    <col min="4348" max="4348" width="5" style="108" customWidth="1"/>
    <col min="4349" max="4349" width="50.5703125" style="108" customWidth="1"/>
    <col min="4350" max="4352" width="22.7109375" style="108" customWidth="1"/>
    <col min="4353" max="4353" width="18.85546875" style="108" customWidth="1"/>
    <col min="4354" max="4602" width="11.42578125" style="108"/>
    <col min="4603" max="4603" width="4" style="108" customWidth="1"/>
    <col min="4604" max="4604" width="5" style="108" customWidth="1"/>
    <col min="4605" max="4605" width="50.5703125" style="108" customWidth="1"/>
    <col min="4606" max="4608" width="22.7109375" style="108" customWidth="1"/>
    <col min="4609" max="4609" width="18.85546875" style="108" customWidth="1"/>
    <col min="4610" max="4858" width="11.42578125" style="108"/>
    <col min="4859" max="4859" width="4" style="108" customWidth="1"/>
    <col min="4860" max="4860" width="5" style="108" customWidth="1"/>
    <col min="4861" max="4861" width="50.5703125" style="108" customWidth="1"/>
    <col min="4862" max="4864" width="22.7109375" style="108" customWidth="1"/>
    <col min="4865" max="4865" width="18.85546875" style="108" customWidth="1"/>
    <col min="4866" max="5114" width="11.42578125" style="108"/>
    <col min="5115" max="5115" width="4" style="108" customWidth="1"/>
    <col min="5116" max="5116" width="5" style="108" customWidth="1"/>
    <col min="5117" max="5117" width="50.5703125" style="108" customWidth="1"/>
    <col min="5118" max="5120" width="22.7109375" style="108" customWidth="1"/>
    <col min="5121" max="5121" width="18.85546875" style="108" customWidth="1"/>
    <col min="5122" max="5370" width="11.42578125" style="108"/>
    <col min="5371" max="5371" width="4" style="108" customWidth="1"/>
    <col min="5372" max="5372" width="5" style="108" customWidth="1"/>
    <col min="5373" max="5373" width="50.5703125" style="108" customWidth="1"/>
    <col min="5374" max="5376" width="22.7109375" style="108" customWidth="1"/>
    <col min="5377" max="5377" width="18.85546875" style="108" customWidth="1"/>
    <col min="5378" max="5626" width="11.42578125" style="108"/>
    <col min="5627" max="5627" width="4" style="108" customWidth="1"/>
    <col min="5628" max="5628" width="5" style="108" customWidth="1"/>
    <col min="5629" max="5629" width="50.5703125" style="108" customWidth="1"/>
    <col min="5630" max="5632" width="22.7109375" style="108" customWidth="1"/>
    <col min="5633" max="5633" width="18.85546875" style="108" customWidth="1"/>
    <col min="5634" max="5882" width="11.42578125" style="108"/>
    <col min="5883" max="5883" width="4" style="108" customWidth="1"/>
    <col min="5884" max="5884" width="5" style="108" customWidth="1"/>
    <col min="5885" max="5885" width="50.5703125" style="108" customWidth="1"/>
    <col min="5886" max="5888" width="22.7109375" style="108" customWidth="1"/>
    <col min="5889" max="5889" width="18.85546875" style="108" customWidth="1"/>
    <col min="5890" max="6138" width="11.42578125" style="108"/>
    <col min="6139" max="6139" width="4" style="108" customWidth="1"/>
    <col min="6140" max="6140" width="5" style="108" customWidth="1"/>
    <col min="6141" max="6141" width="50.5703125" style="108" customWidth="1"/>
    <col min="6142" max="6144" width="22.7109375" style="108" customWidth="1"/>
    <col min="6145" max="6145" width="18.85546875" style="108" customWidth="1"/>
    <col min="6146" max="6394" width="11.42578125" style="108"/>
    <col min="6395" max="6395" width="4" style="108" customWidth="1"/>
    <col min="6396" max="6396" width="5" style="108" customWidth="1"/>
    <col min="6397" max="6397" width="50.5703125" style="108" customWidth="1"/>
    <col min="6398" max="6400" width="22.7109375" style="108" customWidth="1"/>
    <col min="6401" max="6401" width="18.85546875" style="108" customWidth="1"/>
    <col min="6402" max="6650" width="11.42578125" style="108"/>
    <col min="6651" max="6651" width="4" style="108" customWidth="1"/>
    <col min="6652" max="6652" width="5" style="108" customWidth="1"/>
    <col min="6653" max="6653" width="50.5703125" style="108" customWidth="1"/>
    <col min="6654" max="6656" width="22.7109375" style="108" customWidth="1"/>
    <col min="6657" max="6657" width="18.85546875" style="108" customWidth="1"/>
    <col min="6658" max="6906" width="11.42578125" style="108"/>
    <col min="6907" max="6907" width="4" style="108" customWidth="1"/>
    <col min="6908" max="6908" width="5" style="108" customWidth="1"/>
    <col min="6909" max="6909" width="50.5703125" style="108" customWidth="1"/>
    <col min="6910" max="6912" width="22.7109375" style="108" customWidth="1"/>
    <col min="6913" max="6913" width="18.85546875" style="108" customWidth="1"/>
    <col min="6914" max="7162" width="11.42578125" style="108"/>
    <col min="7163" max="7163" width="4" style="108" customWidth="1"/>
    <col min="7164" max="7164" width="5" style="108" customWidth="1"/>
    <col min="7165" max="7165" width="50.5703125" style="108" customWidth="1"/>
    <col min="7166" max="7168" width="22.7109375" style="108" customWidth="1"/>
    <col min="7169" max="7169" width="18.85546875" style="108" customWidth="1"/>
    <col min="7170" max="7418" width="11.42578125" style="108"/>
    <col min="7419" max="7419" width="4" style="108" customWidth="1"/>
    <col min="7420" max="7420" width="5" style="108" customWidth="1"/>
    <col min="7421" max="7421" width="50.5703125" style="108" customWidth="1"/>
    <col min="7422" max="7424" width="22.7109375" style="108" customWidth="1"/>
    <col min="7425" max="7425" width="18.85546875" style="108" customWidth="1"/>
    <col min="7426" max="7674" width="11.42578125" style="108"/>
    <col min="7675" max="7675" width="4" style="108" customWidth="1"/>
    <col min="7676" max="7676" width="5" style="108" customWidth="1"/>
    <col min="7677" max="7677" width="50.5703125" style="108" customWidth="1"/>
    <col min="7678" max="7680" width="22.7109375" style="108" customWidth="1"/>
    <col min="7681" max="7681" width="18.85546875" style="108" customWidth="1"/>
    <col min="7682" max="7930" width="11.42578125" style="108"/>
    <col min="7931" max="7931" width="4" style="108" customWidth="1"/>
    <col min="7932" max="7932" width="5" style="108" customWidth="1"/>
    <col min="7933" max="7933" width="50.5703125" style="108" customWidth="1"/>
    <col min="7934" max="7936" width="22.7109375" style="108" customWidth="1"/>
    <col min="7937" max="7937" width="18.85546875" style="108" customWidth="1"/>
    <col min="7938" max="8186" width="11.42578125" style="108"/>
    <col min="8187" max="8187" width="4" style="108" customWidth="1"/>
    <col min="8188" max="8188" width="5" style="108" customWidth="1"/>
    <col min="8189" max="8189" width="50.5703125" style="108" customWidth="1"/>
    <col min="8190" max="8192" width="22.7109375" style="108" customWidth="1"/>
    <col min="8193" max="8193" width="18.85546875" style="108" customWidth="1"/>
    <col min="8194" max="8442" width="11.42578125" style="108"/>
    <col min="8443" max="8443" width="4" style="108" customWidth="1"/>
    <col min="8444" max="8444" width="5" style="108" customWidth="1"/>
    <col min="8445" max="8445" width="50.5703125" style="108" customWidth="1"/>
    <col min="8446" max="8448" width="22.7109375" style="108" customWidth="1"/>
    <col min="8449" max="8449" width="18.85546875" style="108" customWidth="1"/>
    <col min="8450" max="8698" width="11.42578125" style="108"/>
    <col min="8699" max="8699" width="4" style="108" customWidth="1"/>
    <col min="8700" max="8700" width="5" style="108" customWidth="1"/>
    <col min="8701" max="8701" width="50.5703125" style="108" customWidth="1"/>
    <col min="8702" max="8704" width="22.7109375" style="108" customWidth="1"/>
    <col min="8705" max="8705" width="18.85546875" style="108" customWidth="1"/>
    <col min="8706" max="8954" width="11.42578125" style="108"/>
    <col min="8955" max="8955" width="4" style="108" customWidth="1"/>
    <col min="8956" max="8956" width="5" style="108" customWidth="1"/>
    <col min="8957" max="8957" width="50.5703125" style="108" customWidth="1"/>
    <col min="8958" max="8960" width="22.7109375" style="108" customWidth="1"/>
    <col min="8961" max="8961" width="18.85546875" style="108" customWidth="1"/>
    <col min="8962" max="9210" width="11.42578125" style="108"/>
    <col min="9211" max="9211" width="4" style="108" customWidth="1"/>
    <col min="9212" max="9212" width="5" style="108" customWidth="1"/>
    <col min="9213" max="9213" width="50.5703125" style="108" customWidth="1"/>
    <col min="9214" max="9216" width="22.7109375" style="108" customWidth="1"/>
    <col min="9217" max="9217" width="18.85546875" style="108" customWidth="1"/>
    <col min="9218" max="9466" width="11.42578125" style="108"/>
    <col min="9467" max="9467" width="4" style="108" customWidth="1"/>
    <col min="9468" max="9468" width="5" style="108" customWidth="1"/>
    <col min="9469" max="9469" width="50.5703125" style="108" customWidth="1"/>
    <col min="9470" max="9472" width="22.7109375" style="108" customWidth="1"/>
    <col min="9473" max="9473" width="18.85546875" style="108" customWidth="1"/>
    <col min="9474" max="9722" width="11.42578125" style="108"/>
    <col min="9723" max="9723" width="4" style="108" customWidth="1"/>
    <col min="9724" max="9724" width="5" style="108" customWidth="1"/>
    <col min="9725" max="9725" width="50.5703125" style="108" customWidth="1"/>
    <col min="9726" max="9728" width="22.7109375" style="108" customWidth="1"/>
    <col min="9729" max="9729" width="18.85546875" style="108" customWidth="1"/>
    <col min="9730" max="9978" width="11.42578125" style="108"/>
    <col min="9979" max="9979" width="4" style="108" customWidth="1"/>
    <col min="9980" max="9980" width="5" style="108" customWidth="1"/>
    <col min="9981" max="9981" width="50.5703125" style="108" customWidth="1"/>
    <col min="9982" max="9984" width="22.7109375" style="108" customWidth="1"/>
    <col min="9985" max="9985" width="18.85546875" style="108" customWidth="1"/>
    <col min="9986" max="10234" width="11.42578125" style="108"/>
    <col min="10235" max="10235" width="4" style="108" customWidth="1"/>
    <col min="10236" max="10236" width="5" style="108" customWidth="1"/>
    <col min="10237" max="10237" width="50.5703125" style="108" customWidth="1"/>
    <col min="10238" max="10240" width="22.7109375" style="108" customWidth="1"/>
    <col min="10241" max="10241" width="18.85546875" style="108" customWidth="1"/>
    <col min="10242" max="10490" width="11.42578125" style="108"/>
    <col min="10491" max="10491" width="4" style="108" customWidth="1"/>
    <col min="10492" max="10492" width="5" style="108" customWidth="1"/>
    <col min="10493" max="10493" width="50.5703125" style="108" customWidth="1"/>
    <col min="10494" max="10496" width="22.7109375" style="108" customWidth="1"/>
    <col min="10497" max="10497" width="18.85546875" style="108" customWidth="1"/>
    <col min="10498" max="10746" width="11.42578125" style="108"/>
    <col min="10747" max="10747" width="4" style="108" customWidth="1"/>
    <col min="10748" max="10748" width="5" style="108" customWidth="1"/>
    <col min="10749" max="10749" width="50.5703125" style="108" customWidth="1"/>
    <col min="10750" max="10752" width="22.7109375" style="108" customWidth="1"/>
    <col min="10753" max="10753" width="18.85546875" style="108" customWidth="1"/>
    <col min="10754" max="11002" width="11.42578125" style="108"/>
    <col min="11003" max="11003" width="4" style="108" customWidth="1"/>
    <col min="11004" max="11004" width="5" style="108" customWidth="1"/>
    <col min="11005" max="11005" width="50.5703125" style="108" customWidth="1"/>
    <col min="11006" max="11008" width="22.7109375" style="108" customWidth="1"/>
    <col min="11009" max="11009" width="18.85546875" style="108" customWidth="1"/>
    <col min="11010" max="11258" width="11.42578125" style="108"/>
    <col min="11259" max="11259" width="4" style="108" customWidth="1"/>
    <col min="11260" max="11260" width="5" style="108" customWidth="1"/>
    <col min="11261" max="11261" width="50.5703125" style="108" customWidth="1"/>
    <col min="11262" max="11264" width="22.7109375" style="108" customWidth="1"/>
    <col min="11265" max="11265" width="18.85546875" style="108" customWidth="1"/>
    <col min="11266" max="11514" width="11.42578125" style="108"/>
    <col min="11515" max="11515" width="4" style="108" customWidth="1"/>
    <col min="11516" max="11516" width="5" style="108" customWidth="1"/>
    <col min="11517" max="11517" width="50.5703125" style="108" customWidth="1"/>
    <col min="11518" max="11520" width="22.7109375" style="108" customWidth="1"/>
    <col min="11521" max="11521" width="18.85546875" style="108" customWidth="1"/>
    <col min="11522" max="11770" width="11.42578125" style="108"/>
    <col min="11771" max="11771" width="4" style="108" customWidth="1"/>
    <col min="11772" max="11772" width="5" style="108" customWidth="1"/>
    <col min="11773" max="11773" width="50.5703125" style="108" customWidth="1"/>
    <col min="11774" max="11776" width="22.7109375" style="108" customWidth="1"/>
    <col min="11777" max="11777" width="18.85546875" style="108" customWidth="1"/>
    <col min="11778" max="12026" width="11.42578125" style="108"/>
    <col min="12027" max="12027" width="4" style="108" customWidth="1"/>
    <col min="12028" max="12028" width="5" style="108" customWidth="1"/>
    <col min="12029" max="12029" width="50.5703125" style="108" customWidth="1"/>
    <col min="12030" max="12032" width="22.7109375" style="108" customWidth="1"/>
    <col min="12033" max="12033" width="18.85546875" style="108" customWidth="1"/>
    <col min="12034" max="12282" width="11.42578125" style="108"/>
    <col min="12283" max="12283" width="4" style="108" customWidth="1"/>
    <col min="12284" max="12284" width="5" style="108" customWidth="1"/>
    <col min="12285" max="12285" width="50.5703125" style="108" customWidth="1"/>
    <col min="12286" max="12288" width="22.7109375" style="108" customWidth="1"/>
    <col min="12289" max="12289" width="18.85546875" style="108" customWidth="1"/>
    <col min="12290" max="12538" width="11.42578125" style="108"/>
    <col min="12539" max="12539" width="4" style="108" customWidth="1"/>
    <col min="12540" max="12540" width="5" style="108" customWidth="1"/>
    <col min="12541" max="12541" width="50.5703125" style="108" customWidth="1"/>
    <col min="12542" max="12544" width="22.7109375" style="108" customWidth="1"/>
    <col min="12545" max="12545" width="18.85546875" style="108" customWidth="1"/>
    <col min="12546" max="12794" width="11.42578125" style="108"/>
    <col min="12795" max="12795" width="4" style="108" customWidth="1"/>
    <col min="12796" max="12796" width="5" style="108" customWidth="1"/>
    <col min="12797" max="12797" width="50.5703125" style="108" customWidth="1"/>
    <col min="12798" max="12800" width="22.7109375" style="108" customWidth="1"/>
    <col min="12801" max="12801" width="18.85546875" style="108" customWidth="1"/>
    <col min="12802" max="13050" width="11.42578125" style="108"/>
    <col min="13051" max="13051" width="4" style="108" customWidth="1"/>
    <col min="13052" max="13052" width="5" style="108" customWidth="1"/>
    <col min="13053" max="13053" width="50.5703125" style="108" customWidth="1"/>
    <col min="13054" max="13056" width="22.7109375" style="108" customWidth="1"/>
    <col min="13057" max="13057" width="18.85546875" style="108" customWidth="1"/>
    <col min="13058" max="13306" width="11.42578125" style="108"/>
    <col min="13307" max="13307" width="4" style="108" customWidth="1"/>
    <col min="13308" max="13308" width="5" style="108" customWidth="1"/>
    <col min="13309" max="13309" width="50.5703125" style="108" customWidth="1"/>
    <col min="13310" max="13312" width="22.7109375" style="108" customWidth="1"/>
    <col min="13313" max="13313" width="18.85546875" style="108" customWidth="1"/>
    <col min="13314" max="13562" width="11.42578125" style="108"/>
    <col min="13563" max="13563" width="4" style="108" customWidth="1"/>
    <col min="13564" max="13564" width="5" style="108" customWidth="1"/>
    <col min="13565" max="13565" width="50.5703125" style="108" customWidth="1"/>
    <col min="13566" max="13568" width="22.7109375" style="108" customWidth="1"/>
    <col min="13569" max="13569" width="18.85546875" style="108" customWidth="1"/>
    <col min="13570" max="13818" width="11.42578125" style="108"/>
    <col min="13819" max="13819" width="4" style="108" customWidth="1"/>
    <col min="13820" max="13820" width="5" style="108" customWidth="1"/>
    <col min="13821" max="13821" width="50.5703125" style="108" customWidth="1"/>
    <col min="13822" max="13824" width="22.7109375" style="108" customWidth="1"/>
    <col min="13825" max="13825" width="18.85546875" style="108" customWidth="1"/>
    <col min="13826" max="14074" width="11.42578125" style="108"/>
    <col min="14075" max="14075" width="4" style="108" customWidth="1"/>
    <col min="14076" max="14076" width="5" style="108" customWidth="1"/>
    <col min="14077" max="14077" width="50.5703125" style="108" customWidth="1"/>
    <col min="14078" max="14080" width="22.7109375" style="108" customWidth="1"/>
    <col min="14081" max="14081" width="18.85546875" style="108" customWidth="1"/>
    <col min="14082" max="14330" width="11.42578125" style="108"/>
    <col min="14331" max="14331" width="4" style="108" customWidth="1"/>
    <col min="14332" max="14332" width="5" style="108" customWidth="1"/>
    <col min="14333" max="14333" width="50.5703125" style="108" customWidth="1"/>
    <col min="14334" max="14336" width="22.7109375" style="108" customWidth="1"/>
    <col min="14337" max="14337" width="18.85546875" style="108" customWidth="1"/>
    <col min="14338" max="14586" width="11.42578125" style="108"/>
    <col min="14587" max="14587" width="4" style="108" customWidth="1"/>
    <col min="14588" max="14588" width="5" style="108" customWidth="1"/>
    <col min="14589" max="14589" width="50.5703125" style="108" customWidth="1"/>
    <col min="14590" max="14592" width="22.7109375" style="108" customWidth="1"/>
    <col min="14593" max="14593" width="18.85546875" style="108" customWidth="1"/>
    <col min="14594" max="14842" width="11.42578125" style="108"/>
    <col min="14843" max="14843" width="4" style="108" customWidth="1"/>
    <col min="14844" max="14844" width="5" style="108" customWidth="1"/>
    <col min="14845" max="14845" width="50.5703125" style="108" customWidth="1"/>
    <col min="14846" max="14848" width="22.7109375" style="108" customWidth="1"/>
    <col min="14849" max="14849" width="18.85546875" style="108" customWidth="1"/>
    <col min="14850" max="15098" width="11.42578125" style="108"/>
    <col min="15099" max="15099" width="4" style="108" customWidth="1"/>
    <col min="15100" max="15100" width="5" style="108" customWidth="1"/>
    <col min="15101" max="15101" width="50.5703125" style="108" customWidth="1"/>
    <col min="15102" max="15104" width="22.7109375" style="108" customWidth="1"/>
    <col min="15105" max="15105" width="18.85546875" style="108" customWidth="1"/>
    <col min="15106" max="15354" width="11.42578125" style="108"/>
    <col min="15355" max="15355" width="4" style="108" customWidth="1"/>
    <col min="15356" max="15356" width="5" style="108" customWidth="1"/>
    <col min="15357" max="15357" width="50.5703125" style="108" customWidth="1"/>
    <col min="15358" max="15360" width="22.7109375" style="108" customWidth="1"/>
    <col min="15361" max="15361" width="18.85546875" style="108" customWidth="1"/>
    <col min="15362" max="15610" width="11.42578125" style="108"/>
    <col min="15611" max="15611" width="4" style="108" customWidth="1"/>
    <col min="15612" max="15612" width="5" style="108" customWidth="1"/>
    <col min="15613" max="15613" width="50.5703125" style="108" customWidth="1"/>
    <col min="15614" max="15616" width="22.7109375" style="108" customWidth="1"/>
    <col min="15617" max="15617" width="18.85546875" style="108" customWidth="1"/>
    <col min="15618" max="15866" width="11.42578125" style="108"/>
    <col min="15867" max="15867" width="4" style="108" customWidth="1"/>
    <col min="15868" max="15868" width="5" style="108" customWidth="1"/>
    <col min="15869" max="15869" width="50.5703125" style="108" customWidth="1"/>
    <col min="15870" max="15872" width="22.7109375" style="108" customWidth="1"/>
    <col min="15873" max="15873" width="18.85546875" style="108" customWidth="1"/>
    <col min="15874" max="16122" width="11.42578125" style="108"/>
    <col min="16123" max="16123" width="4" style="108" customWidth="1"/>
    <col min="16124" max="16124" width="5" style="108" customWidth="1"/>
    <col min="16125" max="16125" width="50.5703125" style="108" customWidth="1"/>
    <col min="16126" max="16128" width="22.7109375" style="108" customWidth="1"/>
    <col min="16129" max="16129" width="18.85546875" style="108" customWidth="1"/>
    <col min="16130" max="16384" width="11.42578125" style="108"/>
  </cols>
  <sheetData>
    <row r="1" spans="2:8" hidden="1" x14ac:dyDescent="0.2"/>
    <row r="2" spans="2:8" hidden="1" x14ac:dyDescent="0.2"/>
    <row r="3" spans="2:8" hidden="1" x14ac:dyDescent="0.2"/>
    <row r="4" spans="2:8" hidden="1" x14ac:dyDescent="0.2"/>
    <row r="5" spans="2:8" hidden="1" x14ac:dyDescent="0.2"/>
    <row r="6" spans="2:8" s="89" customFormat="1" x14ac:dyDescent="0.2">
      <c r="B6" s="107"/>
    </row>
    <row r="8" spans="2:8" ht="18.75" x14ac:dyDescent="0.3">
      <c r="B8" s="148" t="s">
        <v>321</v>
      </c>
      <c r="C8" s="148"/>
      <c r="D8" s="148"/>
      <c r="E8" s="148"/>
      <c r="F8" s="148"/>
    </row>
    <row r="9" spans="2:8" ht="15.75" x14ac:dyDescent="0.25">
      <c r="B9" s="149" t="s">
        <v>322</v>
      </c>
      <c r="C9" s="149"/>
      <c r="D9" s="149"/>
      <c r="E9" s="149"/>
      <c r="F9" s="149"/>
    </row>
    <row r="10" spans="2:8" ht="15.75" x14ac:dyDescent="0.25">
      <c r="B10" s="150" t="s">
        <v>323</v>
      </c>
      <c r="C10" s="150"/>
      <c r="D10" s="150"/>
      <c r="E10" s="150"/>
      <c r="F10" s="150"/>
      <c r="G10" s="110"/>
      <c r="H10" s="110"/>
    </row>
    <row r="11" spans="2:8" ht="15.75" x14ac:dyDescent="0.25">
      <c r="B11" s="150" t="s">
        <v>324</v>
      </c>
      <c r="C11" s="150"/>
      <c r="D11" s="150"/>
      <c r="E11" s="150"/>
      <c r="F11" s="150"/>
      <c r="G11" s="111"/>
      <c r="H11" s="111"/>
    </row>
    <row r="12" spans="2:8" ht="15.75" x14ac:dyDescent="0.25">
      <c r="B12" s="112"/>
      <c r="C12" s="112"/>
      <c r="D12" s="112"/>
      <c r="E12" s="112"/>
      <c r="F12" s="112"/>
      <c r="G12" s="111"/>
      <c r="H12" s="111"/>
    </row>
    <row r="13" spans="2:8" s="113" customFormat="1" ht="15.75" x14ac:dyDescent="0.25">
      <c r="B13" s="147"/>
      <c r="C13" s="147" t="s">
        <v>428</v>
      </c>
      <c r="D13" s="147" t="s">
        <v>429</v>
      </c>
      <c r="E13" s="147" t="s">
        <v>427</v>
      </c>
      <c r="F13" s="147" t="s">
        <v>404</v>
      </c>
      <c r="G13" s="114"/>
      <c r="H13" s="114"/>
    </row>
    <row r="14" spans="2:8" s="113" customFormat="1" ht="15.75" x14ac:dyDescent="0.25">
      <c r="B14" s="115" t="s">
        <v>325</v>
      </c>
      <c r="C14" s="116"/>
      <c r="D14" s="117">
        <f>+D15+D18</f>
        <v>474045955.75000095</v>
      </c>
      <c r="E14" s="117">
        <f>+E15+E18</f>
        <v>230352531.22547191</v>
      </c>
      <c r="F14" s="117">
        <f>+F15+F18</f>
        <v>243693424.52452898</v>
      </c>
      <c r="G14" s="109"/>
      <c r="H14" s="109"/>
    </row>
    <row r="15" spans="2:8" ht="15" x14ac:dyDescent="0.25">
      <c r="B15" s="116"/>
      <c r="C15" s="116" t="s">
        <v>26</v>
      </c>
      <c r="D15" s="118">
        <f>SUM(D16:D17)</f>
        <v>30496959.919999987</v>
      </c>
      <c r="E15" s="118">
        <f>SUM(E16:E17)</f>
        <v>15730142.143199999</v>
      </c>
      <c r="F15" s="118">
        <f>SUM(F16:F17)</f>
        <v>14766817.77679999</v>
      </c>
    </row>
    <row r="16" spans="2:8" ht="15" hidden="1" outlineLevel="1" x14ac:dyDescent="0.25">
      <c r="B16" s="116"/>
      <c r="C16" s="116" t="s">
        <v>326</v>
      </c>
      <c r="D16" s="118">
        <f>+D31</f>
        <v>27288205.989999987</v>
      </c>
      <c r="E16" s="118">
        <f>+E31</f>
        <v>13475313.553200001</v>
      </c>
      <c r="F16" s="118">
        <f>+F31</f>
        <v>13812892.436799988</v>
      </c>
    </row>
    <row r="17" spans="2:12" ht="15" hidden="1" outlineLevel="1" x14ac:dyDescent="0.25">
      <c r="B17" s="116"/>
      <c r="C17" s="116" t="s">
        <v>327</v>
      </c>
      <c r="D17" s="118">
        <f>+D47</f>
        <v>3208753.9299999997</v>
      </c>
      <c r="E17" s="118">
        <f>+E47</f>
        <v>2254828.5899999989</v>
      </c>
      <c r="F17" s="118">
        <f>+F47</f>
        <v>953925.3400000009</v>
      </c>
    </row>
    <row r="18" spans="2:12" ht="15" collapsed="1" x14ac:dyDescent="0.25">
      <c r="B18" s="116"/>
      <c r="C18" s="116" t="s">
        <v>9</v>
      </c>
      <c r="D18" s="118">
        <f>SUM(D19:D21)</f>
        <v>443548995.83000094</v>
      </c>
      <c r="E18" s="118">
        <f>SUM(E19:E21)</f>
        <v>214622389.0822719</v>
      </c>
      <c r="F18" s="118">
        <f>SUM(F19:F21)</f>
        <v>228926606.747729</v>
      </c>
    </row>
    <row r="19" spans="2:12" ht="15" hidden="1" outlineLevel="1" x14ac:dyDescent="0.25">
      <c r="B19" s="116"/>
      <c r="C19" s="116" t="s">
        <v>326</v>
      </c>
      <c r="D19" s="118">
        <f>+D83</f>
        <v>175082021.50999996</v>
      </c>
      <c r="E19" s="118">
        <f>+E83</f>
        <v>78955532.550491899</v>
      </c>
      <c r="F19" s="118">
        <f>+F83</f>
        <v>96126488.959508061</v>
      </c>
    </row>
    <row r="20" spans="2:12" ht="15" hidden="1" outlineLevel="1" x14ac:dyDescent="0.25">
      <c r="B20" s="116"/>
      <c r="C20" s="116" t="s">
        <v>327</v>
      </c>
      <c r="D20" s="118">
        <f>+D54</f>
        <v>222822621.78000075</v>
      </c>
      <c r="E20" s="118">
        <f>+E54</f>
        <v>99077846.291779757</v>
      </c>
      <c r="F20" s="118">
        <f>+F54</f>
        <v>123744775.48822096</v>
      </c>
    </row>
    <row r="21" spans="2:12" ht="15" hidden="1" outlineLevel="1" x14ac:dyDescent="0.25">
      <c r="B21" s="116"/>
      <c r="C21" s="116" t="s">
        <v>328</v>
      </c>
      <c r="D21" s="118">
        <f>+D106</f>
        <v>45644352.540000252</v>
      </c>
      <c r="E21" s="118">
        <f>+E106</f>
        <v>36589010.240000241</v>
      </c>
      <c r="F21" s="118">
        <f>+F106</f>
        <v>9055342.299999997</v>
      </c>
    </row>
    <row r="22" spans="2:12" ht="15" collapsed="1" x14ac:dyDescent="0.25">
      <c r="B22" s="115" t="s">
        <v>329</v>
      </c>
      <c r="C22" s="115"/>
      <c r="D22" s="117">
        <f>+D118</f>
        <v>8028176.2799999975</v>
      </c>
      <c r="E22" s="117">
        <f>+E118</f>
        <v>4397057.5599999931</v>
      </c>
      <c r="F22" s="117">
        <f>+F118</f>
        <v>3631118.7200000035</v>
      </c>
    </row>
    <row r="23" spans="2:12" ht="15" x14ac:dyDescent="0.25">
      <c r="B23" s="115" t="s">
        <v>330</v>
      </c>
      <c r="C23" s="115"/>
      <c r="D23" s="117">
        <f>+D128</f>
        <v>9079591.0499999989</v>
      </c>
      <c r="E23" s="117">
        <f>+E128</f>
        <v>8050576.5299999956</v>
      </c>
      <c r="F23" s="117">
        <f>+F128</f>
        <v>1029014.5200000023</v>
      </c>
    </row>
    <row r="24" spans="2:12" ht="15" x14ac:dyDescent="0.25">
      <c r="B24" s="115" t="s">
        <v>331</v>
      </c>
      <c r="C24" s="115"/>
      <c r="D24" s="117">
        <f>+D138</f>
        <v>6366084.5300000058</v>
      </c>
      <c r="E24" s="117">
        <f>+E138</f>
        <v>5544925.54</v>
      </c>
      <c r="F24" s="117">
        <f>+F138</f>
        <v>821158.99000000581</v>
      </c>
    </row>
    <row r="25" spans="2:12" s="113" customFormat="1" ht="15.75" x14ac:dyDescent="0.25">
      <c r="B25" s="144"/>
      <c r="C25" s="145" t="s">
        <v>332</v>
      </c>
      <c r="D25" s="146">
        <f>+D15+D18+D22+D23+D24</f>
        <v>497519807.61000097</v>
      </c>
      <c r="E25" s="146">
        <f>+E15+E18+E22+E23+E24</f>
        <v>248345090.85547191</v>
      </c>
      <c r="F25" s="146">
        <f>+F15+F18+F22+F23+F24</f>
        <v>249174716.754529</v>
      </c>
      <c r="G25" s="109"/>
      <c r="H25" s="109"/>
      <c r="I25" s="108"/>
      <c r="J25" s="108"/>
      <c r="K25" s="108"/>
      <c r="L25" s="108"/>
    </row>
    <row r="26" spans="2:12" ht="15" x14ac:dyDescent="0.25">
      <c r="B26" s="116"/>
      <c r="C26" s="115"/>
      <c r="D26" s="117"/>
      <c r="E26" s="117"/>
      <c r="F26" s="117"/>
    </row>
    <row r="27" spans="2:12" ht="15" x14ac:dyDescent="0.25">
      <c r="B27" s="116"/>
      <c r="C27" s="115" t="s">
        <v>1149</v>
      </c>
      <c r="D27" s="117"/>
      <c r="E27" s="117"/>
      <c r="F27" s="117"/>
    </row>
    <row r="28" spans="2:12" ht="15" x14ac:dyDescent="0.25">
      <c r="B28" s="116"/>
      <c r="C28" s="115"/>
      <c r="D28" s="117"/>
      <c r="E28" s="117"/>
      <c r="F28" s="117"/>
    </row>
    <row r="29" spans="2:12" x14ac:dyDescent="0.2">
      <c r="B29" s="1042" t="s">
        <v>333</v>
      </c>
      <c r="C29" s="1042"/>
      <c r="D29" s="1042"/>
      <c r="E29" s="1042"/>
      <c r="F29" s="1042"/>
    </row>
    <row r="30" spans="2:12" s="113" customFormat="1" ht="15.75" x14ac:dyDescent="0.25">
      <c r="B30" s="214"/>
      <c r="C30" s="215" t="s">
        <v>26</v>
      </c>
      <c r="D30" s="216">
        <f>+D36+D40+D47+D32</f>
        <v>30496959.919999987</v>
      </c>
      <c r="E30" s="216">
        <f>+E36+E40+E47+E32</f>
        <v>15730142.143200001</v>
      </c>
      <c r="F30" s="216">
        <f>+F36+F40+F47+F32</f>
        <v>14766817.776799988</v>
      </c>
      <c r="G30" s="109"/>
      <c r="H30" s="109"/>
      <c r="I30" s="108"/>
      <c r="J30" s="108"/>
      <c r="K30" s="108"/>
      <c r="L30" s="108"/>
    </row>
    <row r="31" spans="2:12" x14ac:dyDescent="0.2">
      <c r="B31" s="121"/>
      <c r="C31" s="207" t="s">
        <v>326</v>
      </c>
      <c r="D31" s="190">
        <f>+D36+D40+D32</f>
        <v>27288205.989999987</v>
      </c>
      <c r="E31" s="190">
        <f>+E36+E40+E32</f>
        <v>13475313.553200001</v>
      </c>
      <c r="F31" s="190">
        <f>+F36+F40+F32</f>
        <v>13812892.436799988</v>
      </c>
    </row>
    <row r="32" spans="2:12" x14ac:dyDescent="0.2">
      <c r="B32" s="121"/>
      <c r="C32" s="122" t="s">
        <v>334</v>
      </c>
      <c r="D32" s="191">
        <f>SUM(D33:D35)</f>
        <v>12261841.189999999</v>
      </c>
      <c r="E32" s="191">
        <f>SUM(E33:E35)</f>
        <v>1465418.4400000002</v>
      </c>
      <c r="F32" s="191">
        <f>SUM(F33:F35)</f>
        <v>10796422.75</v>
      </c>
    </row>
    <row r="33" spans="1:12" ht="25.5" x14ac:dyDescent="0.2">
      <c r="A33" s="108">
        <v>1</v>
      </c>
      <c r="B33" s="121"/>
      <c r="C33" s="192" t="s">
        <v>335</v>
      </c>
      <c r="D33" s="193">
        <f>5575314.25-200000</f>
        <v>5375314.25</v>
      </c>
      <c r="E33" s="194">
        <v>656225.59000000008</v>
      </c>
      <c r="F33" s="137">
        <f>+D33-E33</f>
        <v>4719088.66</v>
      </c>
      <c r="G33" s="109" t="s">
        <v>336</v>
      </c>
    </row>
    <row r="34" spans="1:12" ht="25.5" x14ac:dyDescent="0.2">
      <c r="A34" s="108">
        <v>2</v>
      </c>
      <c r="B34" s="121"/>
      <c r="C34" s="192" t="s">
        <v>337</v>
      </c>
      <c r="D34" s="193">
        <f>5725231.18-149817.49</f>
        <v>5575413.6899999995</v>
      </c>
      <c r="E34" s="194">
        <v>654266.58000000007</v>
      </c>
      <c r="F34" s="137">
        <f>+D34-E34</f>
        <v>4921147.1099999994</v>
      </c>
      <c r="G34" s="109" t="s">
        <v>336</v>
      </c>
    </row>
    <row r="35" spans="1:12" x14ac:dyDescent="0.2">
      <c r="B35" s="121"/>
      <c r="C35" s="192" t="s">
        <v>338</v>
      </c>
      <c r="D35" s="193">
        <v>1311113.25</v>
      </c>
      <c r="E35" s="194">
        <v>154926.26999999999</v>
      </c>
      <c r="F35" s="137">
        <f>+D35-E35</f>
        <v>1156186.98</v>
      </c>
      <c r="G35" s="109" t="s">
        <v>336</v>
      </c>
    </row>
    <row r="36" spans="1:12" s="127" customFormat="1" x14ac:dyDescent="0.2">
      <c r="A36" s="108">
        <v>3</v>
      </c>
      <c r="B36" s="125"/>
      <c r="C36" s="126" t="s">
        <v>339</v>
      </c>
      <c r="D36" s="195">
        <f>SUM(D37:D39)</f>
        <v>6980151.5499999998</v>
      </c>
      <c r="E36" s="195">
        <f>SUM(E37:E39)</f>
        <v>6013750.7600000007</v>
      </c>
      <c r="F36" s="191">
        <f>SUM(F37:F39)</f>
        <v>966400.78999999969</v>
      </c>
      <c r="G36" s="108"/>
      <c r="H36" s="108"/>
      <c r="I36" s="108"/>
      <c r="J36" s="108"/>
      <c r="K36" s="108"/>
      <c r="L36" s="108"/>
    </row>
    <row r="37" spans="1:12" x14ac:dyDescent="0.2">
      <c r="A37" s="108">
        <v>4</v>
      </c>
      <c r="B37" s="121"/>
      <c r="C37" s="128" t="s">
        <v>340</v>
      </c>
      <c r="D37" s="194">
        <v>1366156.63</v>
      </c>
      <c r="E37" s="194">
        <v>1258172.4000000004</v>
      </c>
      <c r="F37" s="137">
        <f>+D37-E37</f>
        <v>107984.22999999952</v>
      </c>
      <c r="G37" s="108"/>
      <c r="H37" s="108"/>
    </row>
    <row r="38" spans="1:12" x14ac:dyDescent="0.2">
      <c r="A38" s="108">
        <v>5</v>
      </c>
      <c r="B38" s="121"/>
      <c r="C38" s="128" t="s">
        <v>102</v>
      </c>
      <c r="D38" s="194">
        <f>4333188.01+311285.54</f>
        <v>4644473.55</v>
      </c>
      <c r="E38" s="194">
        <f>3854116.4-25000</f>
        <v>3829116.4</v>
      </c>
      <c r="F38" s="137">
        <f>+D38-E38</f>
        <v>815357.14999999991</v>
      </c>
      <c r="G38" s="108"/>
      <c r="H38" s="108"/>
    </row>
    <row r="39" spans="1:12" x14ac:dyDescent="0.2">
      <c r="A39" s="108">
        <v>6</v>
      </c>
      <c r="B39" s="121"/>
      <c r="C39" s="128" t="s">
        <v>341</v>
      </c>
      <c r="D39" s="194">
        <v>969521.37000000034</v>
      </c>
      <c r="E39" s="194">
        <v>926461.96000000008</v>
      </c>
      <c r="F39" s="137">
        <f>+D39-E39</f>
        <v>43059.410000000265</v>
      </c>
      <c r="G39" s="108"/>
      <c r="H39" s="108"/>
    </row>
    <row r="40" spans="1:12" x14ac:dyDescent="0.2">
      <c r="A40" s="108">
        <v>7</v>
      </c>
      <c r="B40" s="121"/>
      <c r="C40" s="126" t="s">
        <v>342</v>
      </c>
      <c r="D40" s="196">
        <f>SUM(D41:D45)</f>
        <v>8046213.2499999898</v>
      </c>
      <c r="E40" s="196">
        <f>SUM(E41:E45)</f>
        <v>5996144.3531999998</v>
      </c>
      <c r="F40" s="197">
        <f>SUM(F41:F45)</f>
        <v>2050068.8967999886</v>
      </c>
      <c r="G40" s="108"/>
      <c r="H40" s="108"/>
    </row>
    <row r="41" spans="1:12" x14ac:dyDescent="0.2">
      <c r="A41" s="108">
        <v>8</v>
      </c>
      <c r="B41" s="121"/>
      <c r="C41" s="128" t="s">
        <v>343</v>
      </c>
      <c r="D41" s="194">
        <v>5198137.3499999894</v>
      </c>
      <c r="E41" s="194">
        <f>4702360.69-50000-20306.34</f>
        <v>4632054.3500000006</v>
      </c>
      <c r="F41" s="137">
        <f>+D41-E41</f>
        <v>566082.99999998882</v>
      </c>
      <c r="G41" s="108"/>
      <c r="H41" s="108"/>
    </row>
    <row r="42" spans="1:12" x14ac:dyDescent="0.2">
      <c r="A42" s="108">
        <v>9</v>
      </c>
      <c r="B42" s="121"/>
      <c r="C42" s="128" t="s">
        <v>107</v>
      </c>
      <c r="D42" s="194">
        <f>782344.09+116726.41</f>
        <v>899070.5</v>
      </c>
      <c r="E42" s="194">
        <v>624245.79000000027</v>
      </c>
      <c r="F42" s="137">
        <f>+D42-E42</f>
        <v>274824.70999999973</v>
      </c>
      <c r="G42" s="108"/>
      <c r="H42" s="108"/>
    </row>
    <row r="43" spans="1:12" x14ac:dyDescent="0.2">
      <c r="A43" s="108">
        <v>10</v>
      </c>
      <c r="B43" s="121"/>
      <c r="C43" s="128" t="s">
        <v>110</v>
      </c>
      <c r="D43" s="194">
        <f>455154.84+111954.24</f>
        <v>567109.08000000007</v>
      </c>
      <c r="E43" s="194">
        <v>183758.30000000016</v>
      </c>
      <c r="F43" s="137">
        <f>+D43-E43</f>
        <v>383350.77999999991</v>
      </c>
      <c r="G43" s="108"/>
      <c r="H43" s="108"/>
    </row>
    <row r="44" spans="1:12" x14ac:dyDescent="0.2">
      <c r="A44" s="108">
        <v>11</v>
      </c>
      <c r="B44" s="121"/>
      <c r="C44" s="128" t="s">
        <v>344</v>
      </c>
      <c r="D44" s="194">
        <v>476977.20000000007</v>
      </c>
      <c r="E44" s="194">
        <f>380912.44*1.03</f>
        <v>392339.81320000003</v>
      </c>
      <c r="F44" s="137">
        <f>+D44-E44</f>
        <v>84637.386800000037</v>
      </c>
      <c r="G44" s="108"/>
      <c r="H44" s="108"/>
    </row>
    <row r="45" spans="1:12" x14ac:dyDescent="0.2">
      <c r="A45" s="108">
        <v>12</v>
      </c>
      <c r="B45" s="121"/>
      <c r="C45" s="128" t="s">
        <v>345</v>
      </c>
      <c r="D45" s="194">
        <v>904919.12</v>
      </c>
      <c r="E45" s="194">
        <v>163746.1</v>
      </c>
      <c r="F45" s="137">
        <f>+D45-E45</f>
        <v>741173.02</v>
      </c>
      <c r="G45" s="108"/>
      <c r="H45" s="108"/>
    </row>
    <row r="46" spans="1:12" x14ac:dyDescent="0.2">
      <c r="A46" s="108">
        <v>13</v>
      </c>
      <c r="B46" s="121"/>
      <c r="C46" s="115" t="s">
        <v>327</v>
      </c>
      <c r="D46" s="198"/>
      <c r="E46" s="199"/>
      <c r="F46" s="137"/>
      <c r="G46" s="108"/>
      <c r="H46" s="108"/>
    </row>
    <row r="47" spans="1:12" x14ac:dyDescent="0.2">
      <c r="A47" s="108">
        <v>14</v>
      </c>
      <c r="B47" s="121"/>
      <c r="C47" s="122" t="s">
        <v>339</v>
      </c>
      <c r="D47" s="200">
        <f>SUM(D48:D51)</f>
        <v>3208753.9299999997</v>
      </c>
      <c r="E47" s="200">
        <f>SUM(E48:E51)</f>
        <v>2254828.5899999989</v>
      </c>
      <c r="F47" s="200">
        <f>SUM(F48:F51)</f>
        <v>953925.3400000009</v>
      </c>
      <c r="G47" s="108"/>
      <c r="H47" s="108"/>
    </row>
    <row r="48" spans="1:12" x14ac:dyDescent="0.2">
      <c r="A48" s="108">
        <v>15</v>
      </c>
      <c r="B48" s="121"/>
      <c r="C48" s="128" t="s">
        <v>346</v>
      </c>
      <c r="D48" s="194">
        <v>562710</v>
      </c>
      <c r="E48" s="194">
        <v>396090.6</v>
      </c>
      <c r="F48" s="137">
        <f>+D48-E48</f>
        <v>166619.40000000002</v>
      </c>
      <c r="G48" s="108"/>
      <c r="H48" s="108"/>
    </row>
    <row r="49" spans="1:12" x14ac:dyDescent="0.2">
      <c r="A49" s="108">
        <v>16</v>
      </c>
      <c r="B49" s="121"/>
      <c r="C49" s="128" t="s">
        <v>347</v>
      </c>
      <c r="D49" s="194">
        <v>787489.69</v>
      </c>
      <c r="E49" s="194">
        <f>122162.85+192333-154926.27</f>
        <v>159569.57999999999</v>
      </c>
      <c r="F49" s="137">
        <f>+D49-E49</f>
        <v>627920.11</v>
      </c>
      <c r="G49" s="108"/>
      <c r="H49" s="108"/>
    </row>
    <row r="50" spans="1:12" x14ac:dyDescent="0.2">
      <c r="A50" s="108">
        <v>17</v>
      </c>
      <c r="B50" s="121"/>
      <c r="C50" s="128" t="s">
        <v>348</v>
      </c>
      <c r="D50" s="194">
        <v>41700</v>
      </c>
      <c r="E50" s="194">
        <v>41435.07</v>
      </c>
      <c r="F50" s="137">
        <f>+D50-E50</f>
        <v>264.93000000000029</v>
      </c>
      <c r="G50" s="108"/>
      <c r="H50" s="108"/>
    </row>
    <row r="51" spans="1:12" x14ac:dyDescent="0.2">
      <c r="A51" s="108">
        <v>18</v>
      </c>
      <c r="B51" s="121"/>
      <c r="C51" s="128" t="s">
        <v>349</v>
      </c>
      <c r="D51" s="194">
        <v>1816854.24</v>
      </c>
      <c r="E51" s="194">
        <v>1657733.3399999992</v>
      </c>
      <c r="F51" s="137">
        <f>+D51-E51</f>
        <v>159120.90000000084</v>
      </c>
      <c r="G51" s="108"/>
      <c r="H51" s="108"/>
    </row>
    <row r="52" spans="1:12" x14ac:dyDescent="0.2">
      <c r="A52" s="108">
        <v>19</v>
      </c>
      <c r="B52" s="121"/>
      <c r="C52" s="128"/>
      <c r="D52" s="194"/>
      <c r="E52" s="194"/>
      <c r="F52" s="137"/>
      <c r="H52" s="108"/>
    </row>
    <row r="53" spans="1:12" s="113" customFormat="1" ht="15.75" x14ac:dyDescent="0.25">
      <c r="A53" s="108">
        <v>20</v>
      </c>
      <c r="B53" s="214"/>
      <c r="C53" s="215" t="s">
        <v>9</v>
      </c>
      <c r="D53" s="216">
        <f>+D54+D83</f>
        <v>397904643.29000068</v>
      </c>
      <c r="E53" s="216">
        <f>+E54+E83</f>
        <v>178033378.84227166</v>
      </c>
      <c r="F53" s="216">
        <f>+F54+F83</f>
        <v>219871264.44772902</v>
      </c>
      <c r="G53" s="109"/>
      <c r="H53" s="108"/>
      <c r="I53" s="108"/>
      <c r="J53" s="108"/>
      <c r="K53" s="108"/>
      <c r="L53" s="108"/>
    </row>
    <row r="54" spans="1:12" x14ac:dyDescent="0.2">
      <c r="A54" s="108">
        <v>21</v>
      </c>
      <c r="B54" s="121"/>
      <c r="C54" s="115" t="s">
        <v>327</v>
      </c>
      <c r="D54" s="204">
        <f>+D55+D75</f>
        <v>222822621.78000075</v>
      </c>
      <c r="E54" s="204">
        <f>+E55+E75</f>
        <v>99077846.291779757</v>
      </c>
      <c r="F54" s="209">
        <f>+F55+F75</f>
        <v>123744775.48822096</v>
      </c>
    </row>
    <row r="55" spans="1:12" x14ac:dyDescent="0.2">
      <c r="A55" s="108">
        <v>22</v>
      </c>
      <c r="B55" s="121"/>
      <c r="C55" s="122" t="s">
        <v>334</v>
      </c>
      <c r="D55" s="200">
        <f>SUM(D56:D74)</f>
        <v>200312803.39000073</v>
      </c>
      <c r="E55" s="200">
        <f t="shared" ref="E55:F55" si="0">SUM(E56:E74)</f>
        <v>89461322.687722325</v>
      </c>
      <c r="F55" s="200">
        <f t="shared" si="0"/>
        <v>110851480.70227839</v>
      </c>
    </row>
    <row r="56" spans="1:12" x14ac:dyDescent="0.2">
      <c r="A56" s="108">
        <v>23</v>
      </c>
      <c r="B56" s="121"/>
      <c r="C56" s="130" t="s">
        <v>350</v>
      </c>
      <c r="D56" s="194">
        <v>5479673.2900000131</v>
      </c>
      <c r="E56" s="194">
        <v>4520097.93</v>
      </c>
      <c r="F56" s="201">
        <f t="shared" ref="F56:F74" si="1">+D56-E56</f>
        <v>959575.36000001337</v>
      </c>
    </row>
    <row r="57" spans="1:12" x14ac:dyDescent="0.2">
      <c r="A57" s="108">
        <v>24</v>
      </c>
      <c r="B57" s="121"/>
      <c r="C57" s="130" t="s">
        <v>351</v>
      </c>
      <c r="D57" s="194">
        <v>15382217.730000161</v>
      </c>
      <c r="E57" s="194">
        <f>13760777.93+78157.13</f>
        <v>13838935.060000001</v>
      </c>
      <c r="F57" s="201">
        <f t="shared" si="1"/>
        <v>1543282.6700001601</v>
      </c>
    </row>
    <row r="58" spans="1:12" x14ac:dyDescent="0.2">
      <c r="A58" s="108">
        <v>25</v>
      </c>
      <c r="B58" s="121"/>
      <c r="C58" s="130" t="s">
        <v>352</v>
      </c>
      <c r="D58" s="194">
        <v>17678038.319999702</v>
      </c>
      <c r="E58" s="194">
        <f>2782186.52964098+504701+858564.94</f>
        <v>4145452.46964098</v>
      </c>
      <c r="F58" s="201">
        <f t="shared" si="1"/>
        <v>13532585.850358723</v>
      </c>
    </row>
    <row r="59" spans="1:12" x14ac:dyDescent="0.2">
      <c r="A59" s="108">
        <v>26</v>
      </c>
      <c r="B59" s="121"/>
      <c r="C59" s="130" t="s">
        <v>353</v>
      </c>
      <c r="D59" s="194">
        <v>20814874.85000021</v>
      </c>
      <c r="E59" s="194">
        <f>+D59</f>
        <v>20814874.85000021</v>
      </c>
      <c r="F59" s="201">
        <f t="shared" si="1"/>
        <v>0</v>
      </c>
    </row>
    <row r="60" spans="1:12" x14ac:dyDescent="0.2">
      <c r="A60" s="108">
        <v>27</v>
      </c>
      <c r="B60" s="121"/>
      <c r="C60" s="130" t="s">
        <v>354</v>
      </c>
      <c r="D60" s="194">
        <v>5017483.4300000062</v>
      </c>
      <c r="E60" s="194">
        <f>3188847.64+400000+125000+108355.67</f>
        <v>3822203.31</v>
      </c>
      <c r="F60" s="201">
        <f t="shared" si="1"/>
        <v>1195280.1200000062</v>
      </c>
    </row>
    <row r="61" spans="1:12" x14ac:dyDescent="0.2">
      <c r="A61" s="108">
        <v>28</v>
      </c>
      <c r="B61" s="121"/>
      <c r="C61" s="131" t="s">
        <v>355</v>
      </c>
      <c r="D61" s="194">
        <v>54855161.380000539</v>
      </c>
      <c r="E61" s="194">
        <f>14747152.65-468507+300000.15+344120.01</f>
        <v>14922765.810000001</v>
      </c>
      <c r="F61" s="201">
        <f t="shared" si="1"/>
        <v>39932395.570000537</v>
      </c>
    </row>
    <row r="62" spans="1:12" x14ac:dyDescent="0.2">
      <c r="A62" s="108">
        <v>29</v>
      </c>
      <c r="B62" s="121"/>
      <c r="C62" s="131" t="s">
        <v>356</v>
      </c>
      <c r="D62" s="194">
        <f>1391888.67+1843179.17+228443</f>
        <v>3463510.84</v>
      </c>
      <c r="E62" s="194">
        <v>1459385.32</v>
      </c>
      <c r="F62" s="201">
        <f t="shared" si="1"/>
        <v>2004125.5199999998</v>
      </c>
    </row>
    <row r="63" spans="1:12" x14ac:dyDescent="0.2">
      <c r="A63" s="108">
        <v>30</v>
      </c>
      <c r="B63" s="121"/>
      <c r="C63" s="131" t="s">
        <v>357</v>
      </c>
      <c r="D63" s="194">
        <v>4901324.7499999944</v>
      </c>
      <c r="E63" s="194">
        <v>3833148.21</v>
      </c>
      <c r="F63" s="201">
        <f t="shared" si="1"/>
        <v>1068176.5399999944</v>
      </c>
    </row>
    <row r="64" spans="1:12" x14ac:dyDescent="0.2">
      <c r="A64" s="108">
        <v>31</v>
      </c>
      <c r="B64" s="121"/>
      <c r="C64" s="130" t="s">
        <v>358</v>
      </c>
      <c r="D64" s="194">
        <v>2055550.2199999983</v>
      </c>
      <c r="E64" s="194">
        <v>1767493.76</v>
      </c>
      <c r="F64" s="201">
        <f t="shared" si="1"/>
        <v>288056.45999999833</v>
      </c>
    </row>
    <row r="65" spans="1:7" x14ac:dyDescent="0.2">
      <c r="A65" s="108">
        <v>32</v>
      </c>
      <c r="B65" s="121"/>
      <c r="C65" s="202" t="s">
        <v>359</v>
      </c>
      <c r="D65" s="194">
        <v>1993987.309999998</v>
      </c>
      <c r="E65" s="194">
        <v>1351277.9</v>
      </c>
      <c r="F65" s="201">
        <f t="shared" si="1"/>
        <v>642709.40999999805</v>
      </c>
    </row>
    <row r="66" spans="1:7" x14ac:dyDescent="0.2">
      <c r="A66" s="108">
        <v>33</v>
      </c>
      <c r="B66" s="121"/>
      <c r="C66" s="25" t="s">
        <v>360</v>
      </c>
      <c r="D66" s="194">
        <v>155866.59</v>
      </c>
      <c r="E66" s="194">
        <v>36368.86</v>
      </c>
      <c r="F66" s="201">
        <f t="shared" si="1"/>
        <v>119497.73</v>
      </c>
    </row>
    <row r="67" spans="1:7" x14ac:dyDescent="0.2">
      <c r="A67" s="108">
        <v>34</v>
      </c>
      <c r="B67" s="121"/>
      <c r="C67" s="130" t="s">
        <v>361</v>
      </c>
      <c r="D67" s="194">
        <v>14009147.400000095</v>
      </c>
      <c r="E67" s="194">
        <f>4544099.23-175000</f>
        <v>4369099.2300000004</v>
      </c>
      <c r="F67" s="201">
        <f t="shared" si="1"/>
        <v>9640048.1700000949</v>
      </c>
    </row>
    <row r="68" spans="1:7" x14ac:dyDescent="0.2">
      <c r="A68" s="108">
        <v>35</v>
      </c>
      <c r="B68" s="121"/>
      <c r="C68" s="128" t="s">
        <v>362</v>
      </c>
      <c r="D68" s="194">
        <v>6002319.8400000064</v>
      </c>
      <c r="E68" s="194">
        <v>1309934.4099999999</v>
      </c>
      <c r="F68" s="201">
        <f t="shared" si="1"/>
        <v>4692385.4300000062</v>
      </c>
    </row>
    <row r="69" spans="1:7" x14ac:dyDescent="0.2">
      <c r="A69" s="108">
        <v>36</v>
      </c>
      <c r="B69" s="121"/>
      <c r="C69" s="26" t="s">
        <v>363</v>
      </c>
      <c r="D69" s="194">
        <v>34500912.640000001</v>
      </c>
      <c r="E69" s="194">
        <f>3956408.79+2000000+410048+250000-125000+125000+860740.36</f>
        <v>7477197.1500000004</v>
      </c>
      <c r="F69" s="201">
        <f t="shared" si="1"/>
        <v>27023715.490000002</v>
      </c>
    </row>
    <row r="70" spans="1:7" x14ac:dyDescent="0.2">
      <c r="A70" s="108">
        <v>37</v>
      </c>
      <c r="B70" s="121"/>
      <c r="C70" s="26" t="s">
        <v>364</v>
      </c>
      <c r="D70" s="194">
        <f>5533569.59+1011127.14*0</f>
        <v>5533569.5899999999</v>
      </c>
      <c r="E70" s="194">
        <f>360979.5062+100000+100000+550000-8880.36-383017.65</f>
        <v>719081.49619999982</v>
      </c>
      <c r="F70" s="201">
        <f t="shared" si="1"/>
        <v>4814488.0937999999</v>
      </c>
    </row>
    <row r="71" spans="1:7" x14ac:dyDescent="0.2">
      <c r="A71" s="108">
        <v>38</v>
      </c>
      <c r="B71" s="121"/>
      <c r="C71" s="132" t="s">
        <v>365</v>
      </c>
      <c r="D71" s="194">
        <v>5788685.8799999906</v>
      </c>
      <c r="E71" s="194">
        <f>3653676.73+700000+500000+150000-0.28</f>
        <v>5003676.45</v>
      </c>
      <c r="F71" s="201">
        <f t="shared" si="1"/>
        <v>785009.42999999039</v>
      </c>
    </row>
    <row r="72" spans="1:7" x14ac:dyDescent="0.2">
      <c r="A72" s="108">
        <v>39</v>
      </c>
      <c r="B72" s="121"/>
      <c r="C72" s="27" t="s">
        <v>366</v>
      </c>
      <c r="D72" s="194">
        <v>190182.39999999999</v>
      </c>
      <c r="E72" s="194">
        <v>26430.080000000002</v>
      </c>
      <c r="F72" s="201">
        <f t="shared" si="1"/>
        <v>163752.32000000001</v>
      </c>
    </row>
    <row r="73" spans="1:7" x14ac:dyDescent="0.2">
      <c r="B73" s="121"/>
      <c r="C73" s="128" t="s">
        <v>367</v>
      </c>
      <c r="D73" s="194">
        <v>1479169.79</v>
      </c>
      <c r="E73" s="194">
        <v>35020.031881112867</v>
      </c>
      <c r="F73" s="201">
        <f t="shared" si="1"/>
        <v>1444149.7581188872</v>
      </c>
      <c r="G73" s="109" t="s">
        <v>336</v>
      </c>
    </row>
    <row r="74" spans="1:7" x14ac:dyDescent="0.2">
      <c r="B74" s="121"/>
      <c r="C74" s="128" t="s">
        <v>368</v>
      </c>
      <c r="D74" s="194">
        <v>1011127.14</v>
      </c>
      <c r="E74" s="194">
        <v>8880.36</v>
      </c>
      <c r="F74" s="201">
        <f t="shared" si="1"/>
        <v>1002246.78</v>
      </c>
      <c r="G74" s="109" t="s">
        <v>336</v>
      </c>
    </row>
    <row r="75" spans="1:7" x14ac:dyDescent="0.2">
      <c r="A75" s="108">
        <v>40</v>
      </c>
      <c r="B75" s="121"/>
      <c r="C75" s="122" t="s">
        <v>339</v>
      </c>
      <c r="D75" s="200">
        <f>SUM(D76:D82)</f>
        <v>22509818.390000001</v>
      </c>
      <c r="E75" s="200">
        <f>SUM(E76:E82)</f>
        <v>9616523.6040574275</v>
      </c>
      <c r="F75" s="203">
        <f>SUM(F76:F82)</f>
        <v>12893294.785942573</v>
      </c>
    </row>
    <row r="76" spans="1:7" x14ac:dyDescent="0.2">
      <c r="A76" s="108">
        <v>41</v>
      </c>
      <c r="B76" s="121"/>
      <c r="C76" s="130" t="s">
        <v>369</v>
      </c>
      <c r="D76" s="194">
        <v>2032630.8099999996</v>
      </c>
      <c r="E76" s="194">
        <v>1204319.57</v>
      </c>
      <c r="F76" s="201">
        <f t="shared" ref="F76:F82" si="2">+D76-E76</f>
        <v>828311.23999999953</v>
      </c>
    </row>
    <row r="77" spans="1:7" x14ac:dyDescent="0.2">
      <c r="A77" s="108">
        <v>42</v>
      </c>
      <c r="B77" s="121"/>
      <c r="C77" s="130" t="s">
        <v>370</v>
      </c>
      <c r="D77" s="194">
        <v>2962163.64</v>
      </c>
      <c r="E77" s="194">
        <v>964498.23</v>
      </c>
      <c r="F77" s="201">
        <f t="shared" si="2"/>
        <v>1997665.4100000001</v>
      </c>
    </row>
    <row r="78" spans="1:7" x14ac:dyDescent="0.2">
      <c r="A78" s="108">
        <v>43</v>
      </c>
      <c r="B78" s="121"/>
      <c r="C78" s="130" t="s">
        <v>371</v>
      </c>
      <c r="D78" s="194">
        <v>4313901.0299999993</v>
      </c>
      <c r="E78" s="194">
        <v>3014574.39</v>
      </c>
      <c r="F78" s="201">
        <f t="shared" si="2"/>
        <v>1299326.6399999992</v>
      </c>
    </row>
    <row r="79" spans="1:7" x14ac:dyDescent="0.2">
      <c r="A79" s="108">
        <v>44</v>
      </c>
      <c r="B79" s="121"/>
      <c r="C79" s="130" t="s">
        <v>372</v>
      </c>
      <c r="D79" s="194">
        <f>5766683.03-0.12</f>
        <v>5766682.9100000001</v>
      </c>
      <c r="E79" s="194">
        <v>2334296.21</v>
      </c>
      <c r="F79" s="201">
        <f t="shared" si="2"/>
        <v>3432386.7</v>
      </c>
    </row>
    <row r="80" spans="1:7" x14ac:dyDescent="0.2">
      <c r="A80" s="108">
        <v>45</v>
      </c>
      <c r="B80" s="121"/>
      <c r="C80" s="130" t="s">
        <v>373</v>
      </c>
      <c r="D80" s="194">
        <v>199901.93</v>
      </c>
      <c r="E80" s="194">
        <f>166574.468580937*1.03</f>
        <v>171571.70263836512</v>
      </c>
      <c r="F80" s="201">
        <f t="shared" si="2"/>
        <v>28330.227361634868</v>
      </c>
    </row>
    <row r="81" spans="1:7" x14ac:dyDescent="0.2">
      <c r="A81" s="108">
        <v>46</v>
      </c>
      <c r="B81" s="121"/>
      <c r="C81" s="130" t="s">
        <v>374</v>
      </c>
      <c r="D81" s="194">
        <v>779197.70000000007</v>
      </c>
      <c r="E81" s="194">
        <f>130477.281419063+22212.63</f>
        <v>152689.91141906299</v>
      </c>
      <c r="F81" s="201">
        <f t="shared" si="2"/>
        <v>626507.78858093708</v>
      </c>
    </row>
    <row r="82" spans="1:7" x14ac:dyDescent="0.2">
      <c r="A82" s="108">
        <v>47</v>
      </c>
      <c r="B82" s="121"/>
      <c r="C82" s="128" t="s">
        <v>375</v>
      </c>
      <c r="D82" s="194">
        <v>6455340.370000001</v>
      </c>
      <c r="E82" s="194">
        <v>1774573.59</v>
      </c>
      <c r="F82" s="201">
        <f t="shared" si="2"/>
        <v>4680766.7800000012</v>
      </c>
      <c r="G82" s="109" t="s">
        <v>336</v>
      </c>
    </row>
    <row r="83" spans="1:7" x14ac:dyDescent="0.2">
      <c r="A83" s="108">
        <v>48</v>
      </c>
      <c r="B83" s="121"/>
      <c r="C83" s="208" t="s">
        <v>326</v>
      </c>
      <c r="D83" s="204">
        <f>+D84+D98</f>
        <v>175082021.50999996</v>
      </c>
      <c r="E83" s="204">
        <f>+E84+E98</f>
        <v>78955532.550491899</v>
      </c>
      <c r="F83" s="204">
        <f>+F84+F98</f>
        <v>96126488.959508061</v>
      </c>
      <c r="G83" s="108"/>
    </row>
    <row r="84" spans="1:7" x14ac:dyDescent="0.2">
      <c r="A84" s="108">
        <v>49</v>
      </c>
      <c r="B84" s="121"/>
      <c r="C84" s="122" t="s">
        <v>334</v>
      </c>
      <c r="D84" s="200">
        <f>SUM(D85:D97)</f>
        <v>138710954.00999996</v>
      </c>
      <c r="E84" s="200">
        <f>SUM(E85:E97)</f>
        <v>66415469.858891904</v>
      </c>
      <c r="F84" s="200">
        <f>SUM(F85:F97)</f>
        <v>72295484.151108071</v>
      </c>
      <c r="G84" s="108"/>
    </row>
    <row r="85" spans="1:7" x14ac:dyDescent="0.2">
      <c r="A85" s="108">
        <v>50</v>
      </c>
      <c r="B85" s="121"/>
      <c r="C85" s="25" t="s">
        <v>376</v>
      </c>
      <c r="D85" s="205">
        <f>7925306.71+6812738.98*0</f>
        <v>7925306.71</v>
      </c>
      <c r="E85" s="205">
        <f>3105416.02-161294.76-1200000</f>
        <v>1744121.2599999998</v>
      </c>
      <c r="F85" s="201">
        <f t="shared" ref="F85:F97" si="3">+D85-E85</f>
        <v>6181185.4500000002</v>
      </c>
      <c r="G85" s="108"/>
    </row>
    <row r="86" spans="1:7" x14ac:dyDescent="0.2">
      <c r="A86" s="108">
        <v>51</v>
      </c>
      <c r="B86" s="121"/>
      <c r="C86" s="128" t="s">
        <v>377</v>
      </c>
      <c r="D86" s="194">
        <v>8193828.6599999797</v>
      </c>
      <c r="E86" s="194">
        <v>6066595.7999999998</v>
      </c>
      <c r="F86" s="201">
        <f t="shared" si="3"/>
        <v>2127232.8599999798</v>
      </c>
      <c r="G86" s="108"/>
    </row>
    <row r="87" spans="1:7" x14ac:dyDescent="0.2">
      <c r="A87" s="108">
        <v>52</v>
      </c>
      <c r="B87" s="121"/>
      <c r="C87" s="128" t="s">
        <v>378</v>
      </c>
      <c r="D87" s="194">
        <v>8329526.1399999931</v>
      </c>
      <c r="E87" s="194">
        <v>3135388.16</v>
      </c>
      <c r="F87" s="201">
        <f t="shared" si="3"/>
        <v>5194137.979999993</v>
      </c>
      <c r="G87" s="108"/>
    </row>
    <row r="88" spans="1:7" x14ac:dyDescent="0.2">
      <c r="A88" s="108">
        <v>53</v>
      </c>
      <c r="B88" s="121"/>
      <c r="C88" s="128" t="s">
        <v>260</v>
      </c>
      <c r="D88" s="194">
        <f>21841324.7+2828058.17*0</f>
        <v>21841324.699999999</v>
      </c>
      <c r="E88" s="194">
        <f>9953725.35-56380.24</f>
        <v>9897345.1099999994</v>
      </c>
      <c r="F88" s="201">
        <f t="shared" si="3"/>
        <v>11943979.59</v>
      </c>
      <c r="G88" s="108"/>
    </row>
    <row r="89" spans="1:7" x14ac:dyDescent="0.2">
      <c r="A89" s="108">
        <v>54</v>
      </c>
      <c r="B89" s="121"/>
      <c r="C89" s="128" t="s">
        <v>379</v>
      </c>
      <c r="D89" s="194">
        <v>15607907.409999998</v>
      </c>
      <c r="E89" s="194">
        <f>11996526.38-0.01</f>
        <v>11996526.370000001</v>
      </c>
      <c r="F89" s="201">
        <f t="shared" si="3"/>
        <v>3611381.0399999972</v>
      </c>
      <c r="G89" s="108"/>
    </row>
    <row r="90" spans="1:7" x14ac:dyDescent="0.2">
      <c r="A90" s="108">
        <v>55</v>
      </c>
      <c r="B90" s="121"/>
      <c r="C90" s="128" t="s">
        <v>380</v>
      </c>
      <c r="D90" s="194">
        <f>20901577.68+105983.5</f>
        <v>21007561.18</v>
      </c>
      <c r="E90" s="194">
        <v>16863434.870000001</v>
      </c>
      <c r="F90" s="201">
        <f t="shared" si="3"/>
        <v>4144126.3099999987</v>
      </c>
      <c r="G90" s="108"/>
    </row>
    <row r="91" spans="1:7" x14ac:dyDescent="0.2">
      <c r="A91" s="108">
        <v>56</v>
      </c>
      <c r="B91" s="121"/>
      <c r="C91" s="128" t="s">
        <v>381</v>
      </c>
      <c r="D91" s="194">
        <f>11696392.63+5546595.93+2886274.81+217268.51</f>
        <v>20346531.880000003</v>
      </c>
      <c r="E91" s="194">
        <f>6413947.19-0.01</f>
        <v>6413947.1800000006</v>
      </c>
      <c r="F91" s="201">
        <f t="shared" si="3"/>
        <v>13932584.700000003</v>
      </c>
      <c r="G91" s="109" t="s">
        <v>382</v>
      </c>
    </row>
    <row r="92" spans="1:7" x14ac:dyDescent="0.2">
      <c r="A92" s="108">
        <v>57</v>
      </c>
      <c r="B92" s="121"/>
      <c r="C92" s="128" t="s">
        <v>383</v>
      </c>
      <c r="D92" s="194">
        <v>5094809.9200000009</v>
      </c>
      <c r="E92" s="194">
        <v>3408194.13</v>
      </c>
      <c r="F92" s="201">
        <f t="shared" si="3"/>
        <v>1686615.790000001</v>
      </c>
    </row>
    <row r="93" spans="1:7" x14ac:dyDescent="0.2">
      <c r="A93" s="108">
        <v>58</v>
      </c>
      <c r="B93" s="121"/>
      <c r="C93" s="128" t="s">
        <v>384</v>
      </c>
      <c r="D93" s="194">
        <v>10892534.149999991</v>
      </c>
      <c r="E93" s="194">
        <v>4734224.12</v>
      </c>
      <c r="F93" s="201">
        <f t="shared" si="3"/>
        <v>6158310.0299999909</v>
      </c>
    </row>
    <row r="94" spans="1:7" x14ac:dyDescent="0.2">
      <c r="A94" s="108">
        <v>59</v>
      </c>
      <c r="B94" s="121"/>
      <c r="C94" s="128" t="s">
        <v>385</v>
      </c>
      <c r="D94" s="194">
        <v>2153121.8199999994</v>
      </c>
      <c r="E94" s="194">
        <f>1195177.90077301+134352.71</f>
        <v>1329530.6107730099</v>
      </c>
      <c r="F94" s="201">
        <f t="shared" si="3"/>
        <v>823591.20922698942</v>
      </c>
    </row>
    <row r="95" spans="1:7" x14ac:dyDescent="0.2">
      <c r="B95" s="121"/>
      <c r="C95" s="128" t="s">
        <v>386</v>
      </c>
      <c r="D95" s="194">
        <v>5333569.1900000004</v>
      </c>
      <c r="E95" s="194">
        <v>126274.72811888714</v>
      </c>
      <c r="F95" s="201">
        <f t="shared" si="3"/>
        <v>5207294.4618811132</v>
      </c>
    </row>
    <row r="96" spans="1:7" x14ac:dyDescent="0.2">
      <c r="B96" s="121"/>
      <c r="C96" s="128" t="s">
        <v>387</v>
      </c>
      <c r="D96" s="194">
        <v>2828058.17</v>
      </c>
      <c r="E96" s="194">
        <v>56380.24</v>
      </c>
      <c r="F96" s="201">
        <f t="shared" si="3"/>
        <v>2771677.9299999997</v>
      </c>
      <c r="G96" s="109" t="s">
        <v>336</v>
      </c>
    </row>
    <row r="97" spans="1:12" x14ac:dyDescent="0.2">
      <c r="B97" s="121"/>
      <c r="C97" s="192" t="s">
        <v>388</v>
      </c>
      <c r="D97" s="194">
        <v>9156874.0800000001</v>
      </c>
      <c r="E97" s="194">
        <v>643507.28</v>
      </c>
      <c r="F97" s="201">
        <f t="shared" si="3"/>
        <v>8513366.8000000007</v>
      </c>
      <c r="G97" s="109" t="s">
        <v>336</v>
      </c>
    </row>
    <row r="98" spans="1:12" x14ac:dyDescent="0.2">
      <c r="A98" s="108">
        <v>60</v>
      </c>
      <c r="B98" s="121"/>
      <c r="C98" s="126" t="s">
        <v>389</v>
      </c>
      <c r="D98" s="200">
        <f>SUM(D99:D104)</f>
        <v>36371067.5</v>
      </c>
      <c r="E98" s="200">
        <f>SUM(E99:E104)</f>
        <v>12540062.691599999</v>
      </c>
      <c r="F98" s="203">
        <f>SUM(F99:F104)</f>
        <v>23831004.808399998</v>
      </c>
    </row>
    <row r="99" spans="1:12" x14ac:dyDescent="0.2">
      <c r="A99" s="108">
        <v>61</v>
      </c>
      <c r="B99" s="121"/>
      <c r="C99" s="128" t="s">
        <v>390</v>
      </c>
      <c r="D99" s="194">
        <v>6547037.1999999965</v>
      </c>
      <c r="E99" s="194">
        <v>4273185.22</v>
      </c>
      <c r="F99" s="201">
        <f t="shared" ref="F99:F104" si="4">+D99-E99</f>
        <v>2273851.9799999967</v>
      </c>
    </row>
    <row r="100" spans="1:12" x14ac:dyDescent="0.2">
      <c r="A100" s="108">
        <v>62</v>
      </c>
      <c r="B100" s="121"/>
      <c r="C100" s="128" t="s">
        <v>391</v>
      </c>
      <c r="D100" s="194">
        <v>3532168.7600000007</v>
      </c>
      <c r="E100" s="194">
        <v>2832699.62</v>
      </c>
      <c r="F100" s="201">
        <f t="shared" si="4"/>
        <v>699469.1400000006</v>
      </c>
    </row>
    <row r="101" spans="1:12" x14ac:dyDescent="0.2">
      <c r="A101" s="108">
        <v>63</v>
      </c>
      <c r="B101" s="121"/>
      <c r="C101" s="128" t="s">
        <v>392</v>
      </c>
      <c r="D101" s="194">
        <f>608526.16+490791.08</f>
        <v>1099317.24</v>
      </c>
      <c r="E101" s="194">
        <f>311869.168+71453+71453.01</f>
        <v>454775.17800000001</v>
      </c>
      <c r="F101" s="201">
        <f t="shared" si="4"/>
        <v>644542.06199999992</v>
      </c>
      <c r="G101" s="109" t="s">
        <v>336</v>
      </c>
    </row>
    <row r="102" spans="1:12" x14ac:dyDescent="0.2">
      <c r="A102" s="108">
        <v>64</v>
      </c>
      <c r="B102" s="121"/>
      <c r="C102" s="128" t="s">
        <v>393</v>
      </c>
      <c r="D102" s="194">
        <f>4020280.28+1364589.03</f>
        <v>5384869.3099999996</v>
      </c>
      <c r="E102" s="194">
        <f>418997.9436+100000+50000</f>
        <v>568997.9436</v>
      </c>
      <c r="F102" s="201">
        <f t="shared" si="4"/>
        <v>4815871.3663999997</v>
      </c>
    </row>
    <row r="103" spans="1:12" x14ac:dyDescent="0.2">
      <c r="A103" s="108">
        <v>65</v>
      </c>
      <c r="B103" s="121"/>
      <c r="C103" s="128" t="s">
        <v>394</v>
      </c>
      <c r="D103" s="194">
        <f>10327066.48+2365980.37</f>
        <v>12693046.850000001</v>
      </c>
      <c r="E103" s="194">
        <v>2802841.61</v>
      </c>
      <c r="F103" s="201">
        <f t="shared" si="4"/>
        <v>9890205.2400000021</v>
      </c>
      <c r="G103" s="109" t="s">
        <v>395</v>
      </c>
    </row>
    <row r="104" spans="1:12" x14ac:dyDescent="0.2">
      <c r="A104" s="108">
        <v>66</v>
      </c>
      <c r="B104" s="121"/>
      <c r="C104" s="128" t="s">
        <v>396</v>
      </c>
      <c r="D104" s="194">
        <f>3700766.7+3413861.44</f>
        <v>7114628.1400000006</v>
      </c>
      <c r="E104" s="194">
        <v>1607563.12</v>
      </c>
      <c r="F104" s="201">
        <f t="shared" si="4"/>
        <v>5507065.0200000005</v>
      </c>
    </row>
    <row r="105" spans="1:12" x14ac:dyDescent="0.2">
      <c r="A105" s="108">
        <v>67</v>
      </c>
      <c r="B105" s="121"/>
      <c r="C105" s="25"/>
      <c r="D105" s="205"/>
      <c r="E105" s="205"/>
      <c r="F105" s="201"/>
    </row>
    <row r="106" spans="1:12" s="127" customFormat="1" ht="15.75" x14ac:dyDescent="0.25">
      <c r="A106" s="108">
        <v>68</v>
      </c>
      <c r="B106" s="214"/>
      <c r="C106" s="217" t="s">
        <v>397</v>
      </c>
      <c r="D106" s="216">
        <f>SUM(D107:D116)</f>
        <v>45644352.540000252</v>
      </c>
      <c r="E106" s="217">
        <f>SUM(E107:E116)</f>
        <v>36589010.240000241</v>
      </c>
      <c r="F106" s="216">
        <f>SUM(F107:F116)</f>
        <v>9055342.299999997</v>
      </c>
      <c r="G106" s="109"/>
      <c r="H106" s="109"/>
      <c r="I106" s="108"/>
      <c r="J106" s="108"/>
      <c r="K106" s="108"/>
      <c r="L106" s="108"/>
    </row>
    <row r="107" spans="1:12" s="127" customFormat="1" x14ac:dyDescent="0.2">
      <c r="A107" s="108">
        <v>69</v>
      </c>
      <c r="B107" s="133"/>
      <c r="C107" s="128" t="s">
        <v>11</v>
      </c>
      <c r="D107" s="194">
        <v>981996.18</v>
      </c>
      <c r="E107" s="194">
        <v>328336.12999999995</v>
      </c>
      <c r="F107" s="206">
        <f t="shared" ref="F107:F116" si="5">+D107-E107</f>
        <v>653660.05000000005</v>
      </c>
      <c r="G107" s="109"/>
      <c r="H107" s="109"/>
      <c r="I107" s="108"/>
      <c r="J107" s="108"/>
      <c r="K107" s="108"/>
      <c r="L107" s="108"/>
    </row>
    <row r="108" spans="1:12" x14ac:dyDescent="0.2">
      <c r="A108" s="108">
        <v>70</v>
      </c>
      <c r="B108" s="135"/>
      <c r="C108" s="128" t="s">
        <v>76</v>
      </c>
      <c r="D108" s="194">
        <v>16759306.11999991</v>
      </c>
      <c r="E108" s="194">
        <v>12498975.419999955</v>
      </c>
      <c r="F108" s="206">
        <f t="shared" si="5"/>
        <v>4260330.6999999546</v>
      </c>
    </row>
    <row r="109" spans="1:12" x14ac:dyDescent="0.2">
      <c r="A109" s="108">
        <v>71</v>
      </c>
      <c r="B109" s="135"/>
      <c r="C109" s="128" t="s">
        <v>38</v>
      </c>
      <c r="D109" s="194">
        <v>15851735.370000295</v>
      </c>
      <c r="E109" s="194">
        <v>13863779.090000264</v>
      </c>
      <c r="F109" s="206">
        <f t="shared" si="5"/>
        <v>1987956.280000031</v>
      </c>
    </row>
    <row r="110" spans="1:12" x14ac:dyDescent="0.2">
      <c r="A110" s="108">
        <v>72</v>
      </c>
      <c r="B110" s="135"/>
      <c r="C110" s="128" t="s">
        <v>37</v>
      </c>
      <c r="D110" s="194">
        <v>1286786.2100000004</v>
      </c>
      <c r="E110" s="194">
        <v>1285539.640000002</v>
      </c>
      <c r="F110" s="206">
        <f t="shared" si="5"/>
        <v>1246.5699999984354</v>
      </c>
    </row>
    <row r="111" spans="1:12" x14ac:dyDescent="0.2">
      <c r="A111" s="108">
        <v>73</v>
      </c>
      <c r="B111" s="135"/>
      <c r="C111" s="128" t="s">
        <v>31</v>
      </c>
      <c r="D111" s="194">
        <v>4797534.8700000038</v>
      </c>
      <c r="E111" s="194">
        <v>3861636.96</v>
      </c>
      <c r="F111" s="206">
        <f t="shared" si="5"/>
        <v>935897.91000000387</v>
      </c>
    </row>
    <row r="112" spans="1:12" x14ac:dyDescent="0.2">
      <c r="A112" s="108">
        <v>74</v>
      </c>
      <c r="B112" s="135"/>
      <c r="C112" s="128" t="s">
        <v>63</v>
      </c>
      <c r="D112" s="194">
        <v>554147.74999999977</v>
      </c>
      <c r="E112" s="194">
        <v>407931.71999999922</v>
      </c>
      <c r="F112" s="206">
        <f t="shared" si="5"/>
        <v>146216.03000000055</v>
      </c>
    </row>
    <row r="113" spans="1:12" x14ac:dyDescent="0.2">
      <c r="A113" s="108">
        <v>75</v>
      </c>
      <c r="B113" s="135"/>
      <c r="C113" s="128" t="s">
        <v>19</v>
      </c>
      <c r="D113" s="194">
        <v>316816.07999999996</v>
      </c>
      <c r="E113" s="194">
        <v>50471.200000000012</v>
      </c>
      <c r="F113" s="206">
        <f t="shared" si="5"/>
        <v>266344.87999999995</v>
      </c>
    </row>
    <row r="114" spans="1:12" x14ac:dyDescent="0.2">
      <c r="A114" s="108">
        <v>76</v>
      </c>
      <c r="B114" s="135"/>
      <c r="C114" s="128" t="s">
        <v>30</v>
      </c>
      <c r="D114" s="194">
        <v>2994645.980000033</v>
      </c>
      <c r="E114" s="194">
        <v>2657832.8700000225</v>
      </c>
      <c r="F114" s="206">
        <f t="shared" si="5"/>
        <v>336813.11000001058</v>
      </c>
    </row>
    <row r="115" spans="1:12" x14ac:dyDescent="0.2">
      <c r="A115" s="108">
        <v>77</v>
      </c>
      <c r="B115" s="135"/>
      <c r="C115" s="25" t="s">
        <v>24</v>
      </c>
      <c r="D115" s="194">
        <v>1828909.3900000001</v>
      </c>
      <c r="E115" s="194">
        <v>1634507.2100000004</v>
      </c>
      <c r="F115" s="206">
        <f t="shared" si="5"/>
        <v>194402.1799999997</v>
      </c>
      <c r="G115" s="109" t="s">
        <v>395</v>
      </c>
    </row>
    <row r="116" spans="1:12" x14ac:dyDescent="0.2">
      <c r="A116" s="108">
        <v>78</v>
      </c>
      <c r="B116" s="135"/>
      <c r="C116" s="128" t="s">
        <v>10</v>
      </c>
      <c r="D116" s="194">
        <v>272474.58999999997</v>
      </c>
      <c r="E116" s="194">
        <v>0</v>
      </c>
      <c r="F116" s="206">
        <f t="shared" si="5"/>
        <v>272474.58999999997</v>
      </c>
    </row>
    <row r="117" spans="1:12" s="127" customFormat="1" ht="15" x14ac:dyDescent="0.25">
      <c r="A117" s="108">
        <v>79</v>
      </c>
      <c r="B117" s="210"/>
      <c r="C117" s="211"/>
      <c r="D117" s="212"/>
      <c r="E117" s="213"/>
      <c r="F117" s="212"/>
      <c r="G117" s="109"/>
      <c r="H117" s="109"/>
      <c r="I117" s="108"/>
      <c r="J117" s="108"/>
      <c r="K117" s="108"/>
      <c r="L117" s="108"/>
    </row>
    <row r="118" spans="1:12" ht="15.75" x14ac:dyDescent="0.25">
      <c r="A118" s="108">
        <v>80</v>
      </c>
      <c r="B118" s="129"/>
      <c r="C118" s="119" t="s">
        <v>32</v>
      </c>
      <c r="D118" s="136">
        <f>SUM(D119:D126)</f>
        <v>8028176.2799999975</v>
      </c>
      <c r="E118" s="119">
        <f>SUM(E119:E126)</f>
        <v>4397057.5599999931</v>
      </c>
      <c r="F118" s="136">
        <f>SUM(F119:F126)</f>
        <v>3631118.7200000035</v>
      </c>
    </row>
    <row r="119" spans="1:12" ht="15" x14ac:dyDescent="0.25">
      <c r="A119" s="108">
        <v>81</v>
      </c>
      <c r="B119" s="133"/>
      <c r="C119" s="128" t="s">
        <v>76</v>
      </c>
      <c r="D119" s="123">
        <v>181033.55</v>
      </c>
      <c r="E119" s="123">
        <v>119746.45</v>
      </c>
      <c r="F119" s="134">
        <f t="shared" ref="F119:F126" si="6">+D119-E119</f>
        <v>61287.099999999991</v>
      </c>
    </row>
    <row r="120" spans="1:12" ht="15" x14ac:dyDescent="0.25">
      <c r="A120" s="108">
        <v>82</v>
      </c>
      <c r="B120" s="133"/>
      <c r="C120" s="128" t="s">
        <v>68</v>
      </c>
      <c r="D120" s="123">
        <v>2172465.3000000021</v>
      </c>
      <c r="E120" s="123">
        <v>749486.85000000137</v>
      </c>
      <c r="F120" s="134">
        <f t="shared" si="6"/>
        <v>1422978.4500000007</v>
      </c>
    </row>
    <row r="121" spans="1:12" ht="15" x14ac:dyDescent="0.25">
      <c r="A121" s="108">
        <v>83</v>
      </c>
      <c r="B121" s="133"/>
      <c r="C121" s="128" t="s">
        <v>38</v>
      </c>
      <c r="D121" s="123">
        <v>1018439.2400000001</v>
      </c>
      <c r="E121" s="123">
        <v>1017820.6500000001</v>
      </c>
      <c r="F121" s="134">
        <f t="shared" si="6"/>
        <v>618.5899999999674</v>
      </c>
    </row>
    <row r="122" spans="1:12" ht="15" x14ac:dyDescent="0.25">
      <c r="A122" s="108">
        <v>84</v>
      </c>
      <c r="B122" s="133"/>
      <c r="C122" s="128" t="s">
        <v>31</v>
      </c>
      <c r="D122" s="123">
        <v>286839.97000000003</v>
      </c>
      <c r="E122" s="123">
        <v>281076.23</v>
      </c>
      <c r="F122" s="134">
        <f t="shared" si="6"/>
        <v>5763.7400000000489</v>
      </c>
    </row>
    <row r="123" spans="1:12" ht="15" x14ac:dyDescent="0.25">
      <c r="A123" s="108">
        <v>85</v>
      </c>
      <c r="B123" s="133"/>
      <c r="C123" s="128" t="s">
        <v>63</v>
      </c>
      <c r="D123" s="123">
        <v>72250.739999999991</v>
      </c>
      <c r="E123" s="123">
        <v>46545.840000000004</v>
      </c>
      <c r="F123" s="134">
        <f t="shared" si="6"/>
        <v>25704.899999999987</v>
      </c>
    </row>
    <row r="124" spans="1:12" ht="15" x14ac:dyDescent="0.25">
      <c r="A124" s="108">
        <v>86</v>
      </c>
      <c r="B124" s="133"/>
      <c r="C124" s="128" t="s">
        <v>30</v>
      </c>
      <c r="D124" s="123">
        <v>140338.68999999983</v>
      </c>
      <c r="E124" s="123">
        <v>134521.06999999989</v>
      </c>
      <c r="F124" s="134">
        <f t="shared" si="6"/>
        <v>5817.6199999999371</v>
      </c>
    </row>
    <row r="125" spans="1:12" ht="15" x14ac:dyDescent="0.25">
      <c r="A125" s="108">
        <v>87</v>
      </c>
      <c r="B125" s="133"/>
      <c r="C125" s="128" t="s">
        <v>67</v>
      </c>
      <c r="D125" s="123">
        <v>1677314.1699999964</v>
      </c>
      <c r="E125" s="123">
        <v>1325425.9699999965</v>
      </c>
      <c r="F125" s="134">
        <f t="shared" si="6"/>
        <v>351888.19999999995</v>
      </c>
    </row>
    <row r="126" spans="1:12" ht="15" x14ac:dyDescent="0.25">
      <c r="A126" s="108">
        <v>88</v>
      </c>
      <c r="B126" s="133"/>
      <c r="C126" s="128" t="s">
        <v>66</v>
      </c>
      <c r="D126" s="123">
        <v>2479494.6199999982</v>
      </c>
      <c r="E126" s="123">
        <v>722434.49999999511</v>
      </c>
      <c r="F126" s="134">
        <f t="shared" si="6"/>
        <v>1757060.1200000031</v>
      </c>
    </row>
    <row r="127" spans="1:12" x14ac:dyDescent="0.2">
      <c r="A127" s="108">
        <v>89</v>
      </c>
      <c r="B127" s="121"/>
      <c r="C127" s="116"/>
      <c r="D127" s="137"/>
      <c r="E127" s="116"/>
      <c r="F127" s="137"/>
      <c r="G127" s="108"/>
    </row>
    <row r="128" spans="1:12" ht="15.75" x14ac:dyDescent="0.25">
      <c r="A128" s="108">
        <v>90</v>
      </c>
      <c r="B128" s="129"/>
      <c r="C128" s="119" t="s">
        <v>330</v>
      </c>
      <c r="D128" s="136">
        <f>SUM(D129:D135)</f>
        <v>9079591.0499999989</v>
      </c>
      <c r="E128" s="119">
        <f>SUM(E129:E135)</f>
        <v>8050576.5299999956</v>
      </c>
      <c r="F128" s="136">
        <f>SUM(F129:F135)</f>
        <v>1029014.5200000023</v>
      </c>
      <c r="G128" s="108"/>
    </row>
    <row r="129" spans="1:7" ht="15" x14ac:dyDescent="0.25">
      <c r="A129" s="108">
        <v>91</v>
      </c>
      <c r="B129" s="121"/>
      <c r="C129" s="128" t="s">
        <v>11</v>
      </c>
      <c r="D129" s="123">
        <v>1722671.1900000004</v>
      </c>
      <c r="E129" s="123">
        <v>1322204.1199999999</v>
      </c>
      <c r="F129" s="124">
        <f t="shared" ref="F129:F135" si="7">+D129-E129</f>
        <v>400467.07000000053</v>
      </c>
      <c r="G129" s="108"/>
    </row>
    <row r="130" spans="1:7" ht="15" x14ac:dyDescent="0.25">
      <c r="A130" s="108">
        <v>92</v>
      </c>
      <c r="B130" s="121"/>
      <c r="C130" s="128" t="s">
        <v>76</v>
      </c>
      <c r="D130" s="123">
        <v>704605.16000000027</v>
      </c>
      <c r="E130" s="123">
        <v>511470.65000000031</v>
      </c>
      <c r="F130" s="124">
        <f t="shared" si="7"/>
        <v>193134.50999999995</v>
      </c>
      <c r="G130" s="108"/>
    </row>
    <row r="131" spans="1:7" ht="15" x14ac:dyDescent="0.25">
      <c r="A131" s="108">
        <v>93</v>
      </c>
      <c r="B131" s="121"/>
      <c r="C131" s="128" t="s">
        <v>38</v>
      </c>
      <c r="D131" s="123">
        <v>5729231.7799999975</v>
      </c>
      <c r="E131" s="123">
        <v>5721728.7099999962</v>
      </c>
      <c r="F131" s="124">
        <f t="shared" si="7"/>
        <v>7503.0700000012293</v>
      </c>
      <c r="G131" s="108"/>
    </row>
    <row r="132" spans="1:7" ht="15" x14ac:dyDescent="0.25">
      <c r="A132" s="108">
        <v>94</v>
      </c>
      <c r="B132" s="121"/>
      <c r="C132" s="128" t="s">
        <v>31</v>
      </c>
      <c r="D132" s="123">
        <v>129888.1</v>
      </c>
      <c r="E132" s="123">
        <v>72545.009999999995</v>
      </c>
      <c r="F132" s="124">
        <f t="shared" si="7"/>
        <v>57343.090000000011</v>
      </c>
      <c r="G132" s="108"/>
    </row>
    <row r="133" spans="1:7" ht="15" x14ac:dyDescent="0.25">
      <c r="A133" s="108">
        <v>95</v>
      </c>
      <c r="B133" s="121"/>
      <c r="C133" s="128" t="s">
        <v>28</v>
      </c>
      <c r="D133" s="123">
        <v>129178.45</v>
      </c>
      <c r="E133" s="123">
        <v>41541.890000000007</v>
      </c>
      <c r="F133" s="124">
        <f t="shared" si="7"/>
        <v>87636.56</v>
      </c>
      <c r="G133" s="108"/>
    </row>
    <row r="134" spans="1:7" ht="15" x14ac:dyDescent="0.25">
      <c r="A134" s="108">
        <v>96</v>
      </c>
      <c r="B134" s="121"/>
      <c r="C134" s="128" t="s">
        <v>63</v>
      </c>
      <c r="D134" s="123">
        <v>375891.7900000001</v>
      </c>
      <c r="E134" s="123">
        <v>176068.13999999978</v>
      </c>
      <c r="F134" s="124">
        <f t="shared" si="7"/>
        <v>199823.65000000031</v>
      </c>
      <c r="G134" s="108"/>
    </row>
    <row r="135" spans="1:7" ht="15" x14ac:dyDescent="0.25">
      <c r="A135" s="108">
        <v>97</v>
      </c>
      <c r="B135" s="121"/>
      <c r="C135" s="128" t="s">
        <v>30</v>
      </c>
      <c r="D135" s="123">
        <v>288124.58000000019</v>
      </c>
      <c r="E135" s="123">
        <v>205018.00999999995</v>
      </c>
      <c r="F135" s="124">
        <f t="shared" si="7"/>
        <v>83106.57000000024</v>
      </c>
      <c r="G135" s="108"/>
    </row>
    <row r="136" spans="1:7" x14ac:dyDescent="0.2">
      <c r="A136" s="108">
        <v>98</v>
      </c>
      <c r="B136" s="121"/>
      <c r="C136" s="116"/>
      <c r="D136" s="137"/>
      <c r="E136" s="116"/>
      <c r="F136" s="137"/>
      <c r="G136" s="108"/>
    </row>
    <row r="137" spans="1:7" ht="15.75" x14ac:dyDescent="0.25">
      <c r="A137" s="108">
        <v>99</v>
      </c>
      <c r="B137" s="138"/>
      <c r="C137" s="119" t="s">
        <v>398</v>
      </c>
      <c r="D137" s="136">
        <f>+D138</f>
        <v>6366084.5300000058</v>
      </c>
      <c r="E137" s="136">
        <f>+E138</f>
        <v>5544925.54</v>
      </c>
      <c r="F137" s="136">
        <f>+F138</f>
        <v>821158.99000000581</v>
      </c>
      <c r="G137" s="108"/>
    </row>
    <row r="138" spans="1:7" ht="15" x14ac:dyDescent="0.25">
      <c r="A138" s="108">
        <v>100</v>
      </c>
      <c r="B138" s="121"/>
      <c r="C138" s="128" t="s">
        <v>11</v>
      </c>
      <c r="D138" s="123">
        <v>6366084.5300000058</v>
      </c>
      <c r="E138" s="123">
        <v>5544925.54</v>
      </c>
      <c r="F138" s="124">
        <f>+D138-E138</f>
        <v>821158.99000000581</v>
      </c>
      <c r="G138" s="108"/>
    </row>
    <row r="139" spans="1:7" ht="18.75" x14ac:dyDescent="0.3">
      <c r="B139" s="139"/>
      <c r="C139" s="140" t="s">
        <v>40</v>
      </c>
      <c r="D139" s="120">
        <f>+D30+D53+D106+D118+D128+D138</f>
        <v>497519807.61000091</v>
      </c>
      <c r="E139" s="141">
        <f>+E30+E53+E106+E118+E128+E138</f>
        <v>248345090.85547191</v>
      </c>
      <c r="F139" s="120">
        <f>+F30+F53+F106+F118+F128+F138</f>
        <v>249174716.754529</v>
      </c>
      <c r="G139" s="108"/>
    </row>
    <row r="141" spans="1:7" x14ac:dyDescent="0.2">
      <c r="D141" s="116"/>
      <c r="G141" s="108"/>
    </row>
    <row r="142" spans="1:7" x14ac:dyDescent="0.2">
      <c r="B142" s="108" t="s">
        <v>399</v>
      </c>
      <c r="F142" s="142"/>
      <c r="G142" s="108"/>
    </row>
    <row r="143" spans="1:7" x14ac:dyDescent="0.2">
      <c r="C143" s="108" t="s">
        <v>400</v>
      </c>
      <c r="D143" s="142">
        <v>497519807.61000001</v>
      </c>
      <c r="E143" s="142">
        <v>248345090.86000001</v>
      </c>
      <c r="F143" s="142">
        <f>+D143-E143</f>
        <v>249174716.75</v>
      </c>
      <c r="G143" s="108"/>
    </row>
    <row r="144" spans="1:7" x14ac:dyDescent="0.2">
      <c r="C144" s="143" t="s">
        <v>320</v>
      </c>
      <c r="D144" s="142">
        <f>+D139-D143</f>
        <v>8.9406967163085938E-7</v>
      </c>
      <c r="E144" s="142">
        <f>+E139-E143</f>
        <v>-4.5281052589416504E-3</v>
      </c>
      <c r="F144" s="142">
        <f>+F139-F143</f>
        <v>4.5289993286132813E-3</v>
      </c>
      <c r="G144" s="108"/>
    </row>
  </sheetData>
  <sheetProtection algorithmName="SHA-512" hashValue="SlwilYS4RwmGWzQ4UJV5I8l3562bQoiK12KIHrjN/Fvzs0gdQVpttOrRP0BjPrRulUbH4GywBvO+SVYjRIhj1w==" saltValue="ZEml2F1JAgbf6q5ZZwBK/Q==" spinCount="100000" sheet="1" objects="1" scenarios="1"/>
  <mergeCells count="1">
    <mergeCell ref="B29:F29"/>
  </mergeCells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11"/>
  <sheetViews>
    <sheetView showGridLines="0" topLeftCell="F1" zoomScale="85" zoomScaleNormal="85" workbookViewId="0">
      <pane ySplit="10" topLeftCell="A11" activePane="bottomLeft" state="frozen"/>
      <selection pane="bottomLeft" activeCell="K19" sqref="K19"/>
    </sheetView>
  </sheetViews>
  <sheetFormatPr baseColWidth="10" defaultRowHeight="15" x14ac:dyDescent="0.25"/>
  <cols>
    <col min="2" max="2" width="17.7109375" customWidth="1"/>
    <col min="3" max="3" width="25.5703125" bestFit="1" customWidth="1"/>
    <col min="4" max="4" width="67.5703125" bestFit="1" customWidth="1"/>
    <col min="5" max="7" width="13.5703125" style="8" customWidth="1"/>
    <col min="8" max="8" width="56.7109375" bestFit="1" customWidth="1"/>
    <col min="9" max="9" width="14.7109375" bestFit="1" customWidth="1"/>
    <col min="10" max="12" width="17.7109375" customWidth="1"/>
  </cols>
  <sheetData>
    <row r="1" spans="1:18" s="108" customFormat="1" ht="12.75" hidden="1" x14ac:dyDescent="0.2">
      <c r="G1" s="109"/>
      <c r="H1" s="109"/>
    </row>
    <row r="2" spans="1:18" s="108" customFormat="1" ht="12.75" hidden="1" x14ac:dyDescent="0.2">
      <c r="G2" s="109"/>
      <c r="H2" s="109"/>
    </row>
    <row r="3" spans="1:18" s="108" customFormat="1" ht="12.75" hidden="1" x14ac:dyDescent="0.2">
      <c r="G3" s="109"/>
      <c r="H3" s="109"/>
    </row>
    <row r="4" spans="1:18" s="108" customFormat="1" ht="12.75" hidden="1" x14ac:dyDescent="0.2">
      <c r="G4" s="109"/>
      <c r="H4" s="109"/>
    </row>
    <row r="5" spans="1:18" s="108" customFormat="1" ht="12.75" hidden="1" x14ac:dyDescent="0.2">
      <c r="G5" s="109"/>
      <c r="H5" s="109"/>
    </row>
    <row r="6" spans="1:18" s="89" customFormat="1" ht="12.75" x14ac:dyDescent="0.2">
      <c r="B6" s="107"/>
    </row>
    <row r="8" spans="1:18" s="9" customFormat="1" x14ac:dyDescent="0.25">
      <c r="B8" s="9" t="s">
        <v>45</v>
      </c>
      <c r="D8" s="10"/>
      <c r="E8" s="10" t="s">
        <v>46</v>
      </c>
      <c r="F8" s="10" t="s">
        <v>46</v>
      </c>
      <c r="G8" s="10" t="s">
        <v>47</v>
      </c>
      <c r="H8" s="10"/>
      <c r="I8" s="10"/>
      <c r="J8" s="10" t="s">
        <v>48</v>
      </c>
      <c r="K8" s="10"/>
      <c r="L8" s="10" t="s">
        <v>49</v>
      </c>
      <c r="M8" s="10"/>
      <c r="N8" s="10"/>
      <c r="O8" s="10"/>
      <c r="P8" s="10"/>
      <c r="Q8" s="10"/>
      <c r="R8" s="10"/>
    </row>
    <row r="9" spans="1:18" s="9" customFormat="1" x14ac:dyDescent="0.25">
      <c r="B9" s="9" t="s">
        <v>50</v>
      </c>
      <c r="C9" s="9" t="s">
        <v>51</v>
      </c>
      <c r="D9" s="10" t="s">
        <v>52</v>
      </c>
      <c r="E9" s="10" t="s">
        <v>53</v>
      </c>
      <c r="F9" s="10" t="s">
        <v>54</v>
      </c>
      <c r="G9" s="10" t="s">
        <v>55</v>
      </c>
      <c r="H9" s="10" t="s">
        <v>56</v>
      </c>
      <c r="I9" s="10"/>
      <c r="J9" s="10" t="s">
        <v>57</v>
      </c>
      <c r="K9" s="10" t="s">
        <v>58</v>
      </c>
      <c r="L9" s="10" t="s">
        <v>59</v>
      </c>
      <c r="M9" s="10"/>
      <c r="N9" s="10"/>
      <c r="O9" s="10"/>
      <c r="P9" s="10"/>
      <c r="Q9" s="10"/>
      <c r="R9" s="10"/>
    </row>
    <row r="10" spans="1:18" s="9" customFormat="1" x14ac:dyDescent="0.25">
      <c r="E10" s="9" t="s">
        <v>60</v>
      </c>
      <c r="F10" s="9" t="s">
        <v>57</v>
      </c>
      <c r="G10" s="9" t="s">
        <v>61</v>
      </c>
      <c r="I10" s="9" t="s">
        <v>62</v>
      </c>
    </row>
    <row r="11" spans="1:18" s="14" customFormat="1" x14ac:dyDescent="0.25">
      <c r="A11" s="14">
        <f>+YEAR(E11)</f>
        <v>2012</v>
      </c>
      <c r="B11" s="15">
        <v>54191</v>
      </c>
      <c r="C11" s="14" t="s">
        <v>16</v>
      </c>
      <c r="D11" s="14" t="s">
        <v>70</v>
      </c>
      <c r="E11" s="16">
        <v>41274</v>
      </c>
      <c r="F11" s="16">
        <v>41274</v>
      </c>
      <c r="G11" s="15" t="s">
        <v>69</v>
      </c>
      <c r="H11" s="14" t="s">
        <v>71</v>
      </c>
      <c r="J11" s="14" t="s">
        <v>72</v>
      </c>
      <c r="K11" s="17">
        <v>11559.03</v>
      </c>
      <c r="L11" s="14">
        <v>35</v>
      </c>
    </row>
    <row r="12" spans="1:18" s="14" customFormat="1" x14ac:dyDescent="0.25">
      <c r="A12" s="14">
        <f t="shared" ref="A12:A75" si="0">+YEAR(E12)</f>
        <v>2012</v>
      </c>
      <c r="B12" s="15">
        <v>54194</v>
      </c>
      <c r="C12" s="14" t="s">
        <v>16</v>
      </c>
      <c r="D12" s="14" t="s">
        <v>70</v>
      </c>
      <c r="E12" s="16">
        <v>41274</v>
      </c>
      <c r="F12" s="16">
        <v>41274</v>
      </c>
      <c r="G12" s="15" t="s">
        <v>69</v>
      </c>
      <c r="H12" s="14" t="s">
        <v>71</v>
      </c>
      <c r="J12" s="14" t="s">
        <v>72</v>
      </c>
      <c r="K12" s="17">
        <v>11559.02</v>
      </c>
      <c r="L12" s="14">
        <v>35</v>
      </c>
    </row>
    <row r="13" spans="1:18" s="14" customFormat="1" x14ac:dyDescent="0.25">
      <c r="A13" s="14">
        <f t="shared" si="0"/>
        <v>2012</v>
      </c>
      <c r="B13" s="15">
        <v>54253</v>
      </c>
      <c r="C13" s="14" t="s">
        <v>16</v>
      </c>
      <c r="D13" s="14" t="s">
        <v>73</v>
      </c>
      <c r="E13" s="16">
        <v>41274</v>
      </c>
      <c r="F13" s="16">
        <v>41274</v>
      </c>
      <c r="G13" s="15" t="s">
        <v>69</v>
      </c>
      <c r="H13" s="14" t="s">
        <v>74</v>
      </c>
      <c r="J13" s="14" t="s">
        <v>75</v>
      </c>
      <c r="K13" s="17">
        <v>22546.47</v>
      </c>
      <c r="L13" s="14">
        <v>35</v>
      </c>
    </row>
    <row r="14" spans="1:18" s="14" customFormat="1" x14ac:dyDescent="0.25">
      <c r="A14" s="14">
        <f t="shared" si="0"/>
        <v>2012</v>
      </c>
      <c r="B14" s="15">
        <v>54254</v>
      </c>
      <c r="C14" s="14" t="s">
        <v>16</v>
      </c>
      <c r="D14" s="14" t="s">
        <v>73</v>
      </c>
      <c r="E14" s="16">
        <v>41274</v>
      </c>
      <c r="F14" s="16">
        <v>41274</v>
      </c>
      <c r="G14" s="15" t="s">
        <v>69</v>
      </c>
      <c r="H14" s="14" t="s">
        <v>74</v>
      </c>
      <c r="J14" s="14" t="s">
        <v>75</v>
      </c>
      <c r="K14" s="17">
        <v>22546.47</v>
      </c>
      <c r="L14" s="14">
        <v>35</v>
      </c>
    </row>
    <row r="15" spans="1:18" s="14" customFormat="1" x14ac:dyDescent="0.25">
      <c r="A15" s="14">
        <f t="shared" si="0"/>
        <v>2012</v>
      </c>
      <c r="B15" s="15">
        <v>54255</v>
      </c>
      <c r="C15" s="14" t="s">
        <v>16</v>
      </c>
      <c r="D15" s="14" t="s">
        <v>73</v>
      </c>
      <c r="E15" s="16">
        <v>41274</v>
      </c>
      <c r="F15" s="16">
        <v>41274</v>
      </c>
      <c r="G15" s="15" t="s">
        <v>69</v>
      </c>
      <c r="H15" s="14" t="s">
        <v>74</v>
      </c>
      <c r="J15" s="14" t="s">
        <v>75</v>
      </c>
      <c r="K15" s="17">
        <v>22546.47</v>
      </c>
      <c r="L15" s="14">
        <v>35</v>
      </c>
    </row>
    <row r="16" spans="1:18" s="14" customFormat="1" x14ac:dyDescent="0.25">
      <c r="A16" s="14">
        <f t="shared" si="0"/>
        <v>2012</v>
      </c>
      <c r="B16" s="15">
        <v>54761</v>
      </c>
      <c r="C16" s="14" t="s">
        <v>16</v>
      </c>
      <c r="D16" s="14" t="s">
        <v>77</v>
      </c>
      <c r="E16" s="16">
        <v>41274</v>
      </c>
      <c r="F16" s="16">
        <v>41274</v>
      </c>
      <c r="G16" s="15" t="s">
        <v>78</v>
      </c>
      <c r="H16" s="14" t="s">
        <v>79</v>
      </c>
      <c r="J16" s="14" t="s">
        <v>80</v>
      </c>
      <c r="K16" s="17">
        <v>4628.83</v>
      </c>
      <c r="L16" s="14">
        <v>35</v>
      </c>
    </row>
    <row r="17" spans="1:12" s="5" customFormat="1" x14ac:dyDescent="0.25">
      <c r="A17" s="5">
        <f t="shared" si="0"/>
        <v>2012</v>
      </c>
      <c r="B17" s="2">
        <v>53935</v>
      </c>
      <c r="C17" s="5" t="s">
        <v>81</v>
      </c>
      <c r="D17" s="5" t="s">
        <v>82</v>
      </c>
      <c r="E17" s="18">
        <v>41060</v>
      </c>
      <c r="F17" s="18">
        <v>41060</v>
      </c>
      <c r="G17" s="2" t="s">
        <v>83</v>
      </c>
      <c r="H17" s="5" t="s">
        <v>84</v>
      </c>
      <c r="J17" s="5" t="s">
        <v>85</v>
      </c>
      <c r="K17" s="7">
        <v>27949.34</v>
      </c>
      <c r="L17" s="5">
        <v>35</v>
      </c>
    </row>
    <row r="18" spans="1:12" s="5" customFormat="1" x14ac:dyDescent="0.25">
      <c r="A18" s="5">
        <f t="shared" si="0"/>
        <v>2012</v>
      </c>
      <c r="B18" s="2">
        <v>54802</v>
      </c>
      <c r="C18" s="5" t="s">
        <v>81</v>
      </c>
      <c r="D18" s="5" t="s">
        <v>86</v>
      </c>
      <c r="E18" s="18">
        <v>41213</v>
      </c>
      <c r="F18" s="18">
        <v>41213</v>
      </c>
      <c r="G18" s="2" t="s">
        <v>83</v>
      </c>
      <c r="H18" s="5" t="s">
        <v>87</v>
      </c>
      <c r="J18" s="5" t="s">
        <v>88</v>
      </c>
      <c r="K18" s="7">
        <v>2786994.18</v>
      </c>
      <c r="L18" s="5">
        <v>35</v>
      </c>
    </row>
    <row r="19" spans="1:12" s="5" customFormat="1" x14ac:dyDescent="0.25">
      <c r="A19" s="5">
        <f t="shared" si="0"/>
        <v>2012</v>
      </c>
      <c r="B19" s="2">
        <v>54803</v>
      </c>
      <c r="C19" s="5" t="s">
        <v>81</v>
      </c>
      <c r="D19" s="5" t="s">
        <v>89</v>
      </c>
      <c r="E19" s="18">
        <v>41090</v>
      </c>
      <c r="F19" s="18">
        <v>41090</v>
      </c>
      <c r="G19" s="2" t="s">
        <v>83</v>
      </c>
      <c r="H19" s="5" t="s">
        <v>90</v>
      </c>
      <c r="J19" s="5" t="s">
        <v>91</v>
      </c>
      <c r="K19" s="7">
        <v>2605387.5700000003</v>
      </c>
      <c r="L19" s="5">
        <v>35</v>
      </c>
    </row>
    <row r="20" spans="1:12" s="14" customFormat="1" x14ac:dyDescent="0.25">
      <c r="A20" s="14">
        <f t="shared" si="0"/>
        <v>2012</v>
      </c>
      <c r="B20" s="15">
        <v>54253</v>
      </c>
      <c r="C20" s="14" t="s">
        <v>16</v>
      </c>
      <c r="D20" s="14" t="s">
        <v>73</v>
      </c>
      <c r="E20" s="16">
        <v>41274</v>
      </c>
      <c r="F20" s="16">
        <v>41274</v>
      </c>
      <c r="G20" s="15" t="s">
        <v>92</v>
      </c>
      <c r="H20" s="14" t="s">
        <v>71</v>
      </c>
      <c r="J20" s="14" t="s">
        <v>72</v>
      </c>
      <c r="K20" s="17">
        <v>72438.73</v>
      </c>
      <c r="L20" s="14">
        <v>35</v>
      </c>
    </row>
    <row r="21" spans="1:12" s="14" customFormat="1" x14ac:dyDescent="0.25">
      <c r="A21" s="14">
        <f t="shared" si="0"/>
        <v>2012</v>
      </c>
      <c r="B21" s="15">
        <v>54254</v>
      </c>
      <c r="C21" s="14" t="s">
        <v>16</v>
      </c>
      <c r="D21" s="14" t="s">
        <v>73</v>
      </c>
      <c r="E21" s="16">
        <v>41274</v>
      </c>
      <c r="F21" s="16">
        <v>41274</v>
      </c>
      <c r="G21" s="15" t="s">
        <v>92</v>
      </c>
      <c r="H21" s="14" t="s">
        <v>71</v>
      </c>
      <c r="J21" s="14" t="s">
        <v>72</v>
      </c>
      <c r="K21" s="17">
        <v>72438.720000000001</v>
      </c>
      <c r="L21" s="14">
        <v>35</v>
      </c>
    </row>
    <row r="22" spans="1:12" s="14" customFormat="1" x14ac:dyDescent="0.25">
      <c r="A22" s="14">
        <f t="shared" si="0"/>
        <v>2012</v>
      </c>
      <c r="B22" s="15">
        <v>54255</v>
      </c>
      <c r="C22" s="14" t="s">
        <v>16</v>
      </c>
      <c r="D22" s="14" t="s">
        <v>73</v>
      </c>
      <c r="E22" s="16">
        <v>41274</v>
      </c>
      <c r="F22" s="16">
        <v>41274</v>
      </c>
      <c r="G22" s="15" t="s">
        <v>92</v>
      </c>
      <c r="H22" s="14" t="s">
        <v>71</v>
      </c>
      <c r="J22" s="14" t="s">
        <v>72</v>
      </c>
      <c r="K22" s="17">
        <v>72438.720000000001</v>
      </c>
      <c r="L22" s="14">
        <v>35</v>
      </c>
    </row>
    <row r="23" spans="1:12" s="14" customFormat="1" x14ac:dyDescent="0.25">
      <c r="A23" s="14">
        <f t="shared" si="0"/>
        <v>2012</v>
      </c>
      <c r="B23" s="15">
        <v>55155</v>
      </c>
      <c r="C23" s="14" t="s">
        <v>16</v>
      </c>
      <c r="D23" s="14" t="s">
        <v>97</v>
      </c>
      <c r="E23" s="16">
        <v>41274</v>
      </c>
      <c r="F23" s="16">
        <v>41274</v>
      </c>
      <c r="G23" s="15" t="s">
        <v>92</v>
      </c>
      <c r="H23" s="14" t="s">
        <v>71</v>
      </c>
      <c r="J23" s="14" t="s">
        <v>72</v>
      </c>
      <c r="K23" s="17">
        <v>0</v>
      </c>
      <c r="L23" s="14">
        <v>35</v>
      </c>
    </row>
    <row r="24" spans="1:12" s="14" customFormat="1" x14ac:dyDescent="0.25">
      <c r="A24" s="14">
        <f t="shared" si="0"/>
        <v>2012</v>
      </c>
      <c r="B24" s="15">
        <v>54183</v>
      </c>
      <c r="C24" s="14" t="s">
        <v>16</v>
      </c>
      <c r="D24" s="14" t="s">
        <v>70</v>
      </c>
      <c r="E24" s="16">
        <v>41274</v>
      </c>
      <c r="F24" s="16">
        <v>41274</v>
      </c>
      <c r="G24" s="15" t="s">
        <v>92</v>
      </c>
      <c r="H24" s="14" t="s">
        <v>93</v>
      </c>
      <c r="J24" s="14" t="s">
        <v>75</v>
      </c>
      <c r="K24" s="17">
        <v>132537.53999999998</v>
      </c>
      <c r="L24" s="14">
        <v>35</v>
      </c>
    </row>
    <row r="25" spans="1:12" s="14" customFormat="1" x14ac:dyDescent="0.25">
      <c r="A25" s="14">
        <f t="shared" si="0"/>
        <v>2012</v>
      </c>
      <c r="B25" s="15">
        <v>54186</v>
      </c>
      <c r="C25" s="14" t="s">
        <v>16</v>
      </c>
      <c r="D25" s="14" t="s">
        <v>70</v>
      </c>
      <c r="E25" s="16">
        <v>41274</v>
      </c>
      <c r="F25" s="16">
        <v>41274</v>
      </c>
      <c r="G25" s="15" t="s">
        <v>92</v>
      </c>
      <c r="H25" s="14" t="s">
        <v>93</v>
      </c>
      <c r="J25" s="14" t="s">
        <v>75</v>
      </c>
      <c r="K25" s="17">
        <v>132537.53999999998</v>
      </c>
      <c r="L25" s="14">
        <v>35</v>
      </c>
    </row>
    <row r="26" spans="1:12" s="14" customFormat="1" x14ac:dyDescent="0.25">
      <c r="A26" s="14">
        <f t="shared" si="0"/>
        <v>2012</v>
      </c>
      <c r="B26" s="15">
        <v>54188</v>
      </c>
      <c r="C26" s="14" t="s">
        <v>16</v>
      </c>
      <c r="D26" s="14" t="s">
        <v>70</v>
      </c>
      <c r="E26" s="16">
        <v>41274</v>
      </c>
      <c r="F26" s="16">
        <v>41274</v>
      </c>
      <c r="G26" s="15" t="s">
        <v>92</v>
      </c>
      <c r="H26" s="14" t="s">
        <v>93</v>
      </c>
      <c r="J26" s="14" t="s">
        <v>75</v>
      </c>
      <c r="K26" s="17">
        <v>132537.53999999998</v>
      </c>
      <c r="L26" s="14">
        <v>35</v>
      </c>
    </row>
    <row r="27" spans="1:12" s="14" customFormat="1" x14ac:dyDescent="0.25">
      <c r="A27" s="14">
        <f t="shared" si="0"/>
        <v>2012</v>
      </c>
      <c r="B27" s="15">
        <v>54189</v>
      </c>
      <c r="C27" s="14" t="s">
        <v>16</v>
      </c>
      <c r="D27" s="14" t="s">
        <v>70</v>
      </c>
      <c r="E27" s="16">
        <v>41274</v>
      </c>
      <c r="F27" s="16">
        <v>41274</v>
      </c>
      <c r="G27" s="15" t="s">
        <v>92</v>
      </c>
      <c r="H27" s="14" t="s">
        <v>93</v>
      </c>
      <c r="J27" s="14" t="s">
        <v>75</v>
      </c>
      <c r="K27" s="17">
        <v>132537.54999999999</v>
      </c>
      <c r="L27" s="14">
        <v>35</v>
      </c>
    </row>
    <row r="28" spans="1:12" s="14" customFormat="1" x14ac:dyDescent="0.25">
      <c r="A28" s="14">
        <f t="shared" si="0"/>
        <v>2012</v>
      </c>
      <c r="B28" s="15">
        <v>54191</v>
      </c>
      <c r="C28" s="14" t="s">
        <v>16</v>
      </c>
      <c r="D28" s="14" t="s">
        <v>70</v>
      </c>
      <c r="E28" s="16">
        <v>41274</v>
      </c>
      <c r="F28" s="16">
        <v>41274</v>
      </c>
      <c r="G28" s="15" t="s">
        <v>92</v>
      </c>
      <c r="H28" s="14" t="s">
        <v>93</v>
      </c>
      <c r="J28" s="14" t="s">
        <v>75</v>
      </c>
      <c r="K28" s="17">
        <v>132537.54999999999</v>
      </c>
      <c r="L28" s="14">
        <v>35</v>
      </c>
    </row>
    <row r="29" spans="1:12" s="14" customFormat="1" x14ac:dyDescent="0.25">
      <c r="A29" s="14">
        <f t="shared" si="0"/>
        <v>2012</v>
      </c>
      <c r="B29" s="15">
        <v>54194</v>
      </c>
      <c r="C29" s="14" t="s">
        <v>16</v>
      </c>
      <c r="D29" s="14" t="s">
        <v>70</v>
      </c>
      <c r="E29" s="16">
        <v>41274</v>
      </c>
      <c r="F29" s="16">
        <v>41274</v>
      </c>
      <c r="G29" s="15" t="s">
        <v>92</v>
      </c>
      <c r="H29" s="14" t="s">
        <v>93</v>
      </c>
      <c r="J29" s="14" t="s">
        <v>75</v>
      </c>
      <c r="K29" s="17">
        <v>132537.54999999999</v>
      </c>
      <c r="L29" s="14">
        <v>35</v>
      </c>
    </row>
    <row r="30" spans="1:12" s="14" customFormat="1" x14ac:dyDescent="0.25">
      <c r="A30" s="14">
        <f t="shared" si="0"/>
        <v>2012</v>
      </c>
      <c r="B30" s="15">
        <v>55154</v>
      </c>
      <c r="C30" s="14" t="s">
        <v>16</v>
      </c>
      <c r="D30" s="14" t="s">
        <v>98</v>
      </c>
      <c r="E30" s="16">
        <v>41274</v>
      </c>
      <c r="F30" s="16">
        <v>41274</v>
      </c>
      <c r="G30" s="15" t="s">
        <v>92</v>
      </c>
      <c r="H30" s="14" t="s">
        <v>93</v>
      </c>
      <c r="J30" s="14" t="s">
        <v>75</v>
      </c>
      <c r="K30" s="17">
        <v>0</v>
      </c>
      <c r="L30" s="14">
        <v>35</v>
      </c>
    </row>
    <row r="31" spans="1:12" s="14" customFormat="1" x14ac:dyDescent="0.25">
      <c r="A31" s="14">
        <f t="shared" si="0"/>
        <v>2012</v>
      </c>
      <c r="B31" s="15">
        <v>54068</v>
      </c>
      <c r="C31" s="14" t="s">
        <v>16</v>
      </c>
      <c r="D31" s="14" t="s">
        <v>99</v>
      </c>
      <c r="E31" s="16">
        <v>41243</v>
      </c>
      <c r="F31" s="16">
        <v>41243</v>
      </c>
      <c r="G31" s="15" t="s">
        <v>92</v>
      </c>
      <c r="H31" s="14" t="s">
        <v>79</v>
      </c>
      <c r="J31" s="14" t="s">
        <v>80</v>
      </c>
      <c r="K31" s="17">
        <v>233.92</v>
      </c>
    </row>
    <row r="32" spans="1:12" s="14" customFormat="1" x14ac:dyDescent="0.25">
      <c r="A32" s="14">
        <f t="shared" si="0"/>
        <v>2012</v>
      </c>
      <c r="B32" s="15">
        <v>55156</v>
      </c>
      <c r="C32" s="14" t="s">
        <v>16</v>
      </c>
      <c r="D32" s="14" t="s">
        <v>100</v>
      </c>
      <c r="E32" s="16">
        <v>41243</v>
      </c>
      <c r="F32" s="16">
        <v>41243</v>
      </c>
      <c r="G32" s="15" t="s">
        <v>92</v>
      </c>
      <c r="H32" s="14" t="s">
        <v>79</v>
      </c>
      <c r="J32" s="14" t="s">
        <v>80</v>
      </c>
      <c r="K32" s="17">
        <v>0</v>
      </c>
    </row>
    <row r="33" spans="1:12" x14ac:dyDescent="0.25">
      <c r="A33">
        <f t="shared" si="0"/>
        <v>2013</v>
      </c>
      <c r="B33" s="8">
        <v>55152</v>
      </c>
      <c r="C33" t="s">
        <v>81</v>
      </c>
      <c r="D33" t="s">
        <v>94</v>
      </c>
      <c r="E33" s="11">
        <v>41608</v>
      </c>
      <c r="F33" s="11">
        <v>41608</v>
      </c>
      <c r="G33" s="8" t="s">
        <v>92</v>
      </c>
      <c r="H33" t="s">
        <v>95</v>
      </c>
      <c r="J33" t="s">
        <v>88</v>
      </c>
      <c r="K33" s="4">
        <v>455869.27</v>
      </c>
      <c r="L33">
        <v>35</v>
      </c>
    </row>
    <row r="34" spans="1:12" x14ac:dyDescent="0.25">
      <c r="A34">
        <f t="shared" si="0"/>
        <v>2013</v>
      </c>
      <c r="B34" s="8">
        <v>55153</v>
      </c>
      <c r="C34" t="s">
        <v>81</v>
      </c>
      <c r="D34" t="s">
        <v>96</v>
      </c>
      <c r="E34" s="11">
        <v>41608</v>
      </c>
      <c r="F34" s="11">
        <v>41608</v>
      </c>
      <c r="G34" s="8" t="s">
        <v>92</v>
      </c>
      <c r="H34" t="s">
        <v>90</v>
      </c>
      <c r="J34" t="s">
        <v>91</v>
      </c>
      <c r="K34" s="4">
        <v>1061894.1000000001</v>
      </c>
      <c r="L34">
        <v>35</v>
      </c>
    </row>
    <row r="35" spans="1:12" s="5" customFormat="1" x14ac:dyDescent="0.25">
      <c r="A35" s="5">
        <f t="shared" si="0"/>
        <v>2013</v>
      </c>
      <c r="B35" s="2">
        <v>55341</v>
      </c>
      <c r="C35" s="5" t="s">
        <v>16</v>
      </c>
      <c r="D35" s="5" t="s">
        <v>101</v>
      </c>
      <c r="E35" s="18">
        <v>41608</v>
      </c>
      <c r="F35" s="18">
        <v>41608</v>
      </c>
      <c r="G35" s="2" t="s">
        <v>64</v>
      </c>
      <c r="H35" s="5" t="s">
        <v>102</v>
      </c>
      <c r="J35" s="5" t="s">
        <v>103</v>
      </c>
      <c r="K35" s="7">
        <v>103761.85</v>
      </c>
      <c r="L35" s="5">
        <v>35</v>
      </c>
    </row>
    <row r="36" spans="1:12" s="5" customFormat="1" x14ac:dyDescent="0.25">
      <c r="A36" s="5">
        <f t="shared" si="0"/>
        <v>2013</v>
      </c>
      <c r="B36" s="2">
        <v>55342</v>
      </c>
      <c r="C36" s="5" t="s">
        <v>16</v>
      </c>
      <c r="D36" s="5" t="s">
        <v>104</v>
      </c>
      <c r="E36" s="18">
        <v>41608</v>
      </c>
      <c r="F36" s="18">
        <v>41608</v>
      </c>
      <c r="G36" s="2" t="s">
        <v>64</v>
      </c>
      <c r="H36" s="5" t="s">
        <v>102</v>
      </c>
      <c r="J36" s="5" t="s">
        <v>103</v>
      </c>
      <c r="K36" s="7">
        <v>103761.85</v>
      </c>
      <c r="L36" s="5">
        <v>35</v>
      </c>
    </row>
    <row r="37" spans="1:12" s="5" customFormat="1" x14ac:dyDescent="0.25">
      <c r="A37" s="5">
        <f t="shared" si="0"/>
        <v>2013</v>
      </c>
      <c r="B37" s="2">
        <v>55361</v>
      </c>
      <c r="C37" s="5" t="s">
        <v>16</v>
      </c>
      <c r="D37" s="5" t="s">
        <v>105</v>
      </c>
      <c r="E37" s="18">
        <v>41608</v>
      </c>
      <c r="F37" s="18">
        <v>41608</v>
      </c>
      <c r="G37" s="2" t="s">
        <v>64</v>
      </c>
      <c r="H37" s="5" t="s">
        <v>102</v>
      </c>
      <c r="J37" s="5" t="s">
        <v>103</v>
      </c>
      <c r="K37" s="7">
        <v>103761.84</v>
      </c>
      <c r="L37" s="5">
        <v>35</v>
      </c>
    </row>
    <row r="38" spans="1:12" s="5" customFormat="1" x14ac:dyDescent="0.25">
      <c r="A38" s="5">
        <f t="shared" si="0"/>
        <v>2013</v>
      </c>
      <c r="B38" s="2">
        <v>55362</v>
      </c>
      <c r="C38" s="5" t="s">
        <v>16</v>
      </c>
      <c r="D38" s="5" t="s">
        <v>106</v>
      </c>
      <c r="E38" s="18">
        <v>41639</v>
      </c>
      <c r="F38" s="18">
        <v>41639</v>
      </c>
      <c r="G38" s="2" t="s">
        <v>64</v>
      </c>
      <c r="H38" s="5" t="s">
        <v>107</v>
      </c>
      <c r="J38" s="5" t="s">
        <v>108</v>
      </c>
      <c r="K38" s="7">
        <v>58363.21</v>
      </c>
      <c r="L38" s="5">
        <v>35</v>
      </c>
    </row>
    <row r="39" spans="1:12" s="5" customFormat="1" x14ac:dyDescent="0.25">
      <c r="A39" s="5">
        <f t="shared" si="0"/>
        <v>2013</v>
      </c>
      <c r="B39" s="2">
        <v>55363</v>
      </c>
      <c r="C39" s="5" t="s">
        <v>16</v>
      </c>
      <c r="D39" s="5" t="s">
        <v>109</v>
      </c>
      <c r="E39" s="18">
        <v>41639</v>
      </c>
      <c r="F39" s="18">
        <v>41639</v>
      </c>
      <c r="G39" s="2" t="s">
        <v>64</v>
      </c>
      <c r="H39" s="5" t="s">
        <v>107</v>
      </c>
      <c r="J39" s="5" t="s">
        <v>108</v>
      </c>
      <c r="K39" s="7">
        <v>58363.200000000004</v>
      </c>
      <c r="L39" s="5">
        <v>35</v>
      </c>
    </row>
    <row r="40" spans="1:12" s="5" customFormat="1" x14ac:dyDescent="0.25">
      <c r="A40" s="5">
        <f t="shared" si="0"/>
        <v>2013</v>
      </c>
      <c r="B40" s="2">
        <v>55364</v>
      </c>
      <c r="C40" s="5" t="s">
        <v>16</v>
      </c>
      <c r="D40" s="5" t="s">
        <v>109</v>
      </c>
      <c r="E40" s="18">
        <v>41639</v>
      </c>
      <c r="F40" s="18">
        <v>41639</v>
      </c>
      <c r="G40" s="2" t="s">
        <v>64</v>
      </c>
      <c r="H40" s="5" t="s">
        <v>110</v>
      </c>
      <c r="J40" s="5" t="s">
        <v>111</v>
      </c>
      <c r="K40" s="7">
        <v>55977.120000000003</v>
      </c>
      <c r="L40" s="5">
        <v>35</v>
      </c>
    </row>
    <row r="41" spans="1:12" s="5" customFormat="1" x14ac:dyDescent="0.25">
      <c r="A41" s="5">
        <f t="shared" si="0"/>
        <v>2013</v>
      </c>
      <c r="B41" s="2">
        <v>55365</v>
      </c>
      <c r="C41" s="5" t="s">
        <v>16</v>
      </c>
      <c r="D41" s="5" t="s">
        <v>112</v>
      </c>
      <c r="E41" s="18">
        <v>41639</v>
      </c>
      <c r="F41" s="18">
        <v>41639</v>
      </c>
      <c r="G41" s="2" t="s">
        <v>64</v>
      </c>
      <c r="H41" s="5" t="s">
        <v>110</v>
      </c>
      <c r="J41" s="5" t="s">
        <v>111</v>
      </c>
      <c r="K41" s="7">
        <v>55977.120000000003</v>
      </c>
      <c r="L41" s="5">
        <v>35</v>
      </c>
    </row>
    <row r="42" spans="1:12" s="5" customFormat="1" x14ac:dyDescent="0.25">
      <c r="A42" s="5">
        <f t="shared" si="0"/>
        <v>2013</v>
      </c>
      <c r="B42" s="2">
        <v>55381</v>
      </c>
      <c r="C42" s="5" t="s">
        <v>16</v>
      </c>
      <c r="D42" s="5" t="s">
        <v>113</v>
      </c>
      <c r="E42" s="18">
        <v>41608</v>
      </c>
      <c r="F42" s="18">
        <v>41608</v>
      </c>
      <c r="G42" s="2" t="s">
        <v>64</v>
      </c>
      <c r="H42" s="5" t="s">
        <v>114</v>
      </c>
      <c r="J42" s="5" t="s">
        <v>115</v>
      </c>
      <c r="K42" s="7">
        <v>98158.22</v>
      </c>
      <c r="L42" s="5">
        <v>35</v>
      </c>
    </row>
    <row r="43" spans="1:12" s="5" customFormat="1" x14ac:dyDescent="0.25">
      <c r="A43" s="5">
        <f t="shared" si="0"/>
        <v>2013</v>
      </c>
      <c r="B43" s="2">
        <v>55382</v>
      </c>
      <c r="C43" s="5" t="s">
        <v>16</v>
      </c>
      <c r="D43" s="5" t="s">
        <v>116</v>
      </c>
      <c r="E43" s="18">
        <v>41608</v>
      </c>
      <c r="F43" s="18">
        <v>41608</v>
      </c>
      <c r="G43" s="2" t="s">
        <v>64</v>
      </c>
      <c r="H43" s="5" t="s">
        <v>114</v>
      </c>
      <c r="J43" s="5" t="s">
        <v>115</v>
      </c>
      <c r="K43" s="7">
        <v>98158.22</v>
      </c>
      <c r="L43" s="5">
        <v>35</v>
      </c>
    </row>
    <row r="44" spans="1:12" s="5" customFormat="1" x14ac:dyDescent="0.25">
      <c r="A44" s="5">
        <f t="shared" si="0"/>
        <v>2013</v>
      </c>
      <c r="B44" s="2">
        <v>55383</v>
      </c>
      <c r="C44" s="5" t="s">
        <v>16</v>
      </c>
      <c r="D44" s="5" t="s">
        <v>117</v>
      </c>
      <c r="E44" s="18">
        <v>41608</v>
      </c>
      <c r="F44" s="18">
        <v>41608</v>
      </c>
      <c r="G44" s="2" t="s">
        <v>64</v>
      </c>
      <c r="H44" s="5" t="s">
        <v>114</v>
      </c>
      <c r="J44" s="5" t="s">
        <v>115</v>
      </c>
      <c r="K44" s="7">
        <v>98158.22</v>
      </c>
      <c r="L44" s="5">
        <v>35</v>
      </c>
    </row>
    <row r="45" spans="1:12" s="5" customFormat="1" x14ac:dyDescent="0.25">
      <c r="A45" s="5">
        <f t="shared" si="0"/>
        <v>2013</v>
      </c>
      <c r="B45" s="2">
        <v>55384</v>
      </c>
      <c r="C45" s="5" t="s">
        <v>16</v>
      </c>
      <c r="D45" s="5" t="s">
        <v>118</v>
      </c>
      <c r="E45" s="18">
        <v>41608</v>
      </c>
      <c r="F45" s="18">
        <v>41608</v>
      </c>
      <c r="G45" s="2" t="s">
        <v>64</v>
      </c>
      <c r="H45" s="5" t="s">
        <v>114</v>
      </c>
      <c r="J45" s="5" t="s">
        <v>115</v>
      </c>
      <c r="K45" s="7">
        <v>98158.22</v>
      </c>
      <c r="L45" s="5">
        <v>35</v>
      </c>
    </row>
    <row r="46" spans="1:12" s="5" customFormat="1" x14ac:dyDescent="0.25">
      <c r="A46" s="5">
        <f t="shared" si="0"/>
        <v>2013</v>
      </c>
      <c r="B46" s="2">
        <v>55385</v>
      </c>
      <c r="C46" s="5" t="s">
        <v>16</v>
      </c>
      <c r="D46" s="5" t="s">
        <v>119</v>
      </c>
      <c r="E46" s="18">
        <v>41608</v>
      </c>
      <c r="F46" s="18">
        <v>41608</v>
      </c>
      <c r="G46" s="2" t="s">
        <v>64</v>
      </c>
      <c r="H46" s="5" t="s">
        <v>114</v>
      </c>
      <c r="J46" s="5" t="s">
        <v>115</v>
      </c>
      <c r="K46" s="7">
        <v>98158.2</v>
      </c>
      <c r="L46" s="5">
        <v>35</v>
      </c>
    </row>
    <row r="47" spans="1:12" x14ac:dyDescent="0.25">
      <c r="A47">
        <f t="shared" si="0"/>
        <v>2014</v>
      </c>
      <c r="B47" s="8" t="s">
        <v>120</v>
      </c>
      <c r="C47" t="s">
        <v>16</v>
      </c>
      <c r="D47" t="s">
        <v>121</v>
      </c>
      <c r="E47" s="11">
        <v>41698</v>
      </c>
      <c r="F47" s="11">
        <v>41698</v>
      </c>
      <c r="G47" s="8" t="s">
        <v>65</v>
      </c>
      <c r="H47" t="s">
        <v>122</v>
      </c>
      <c r="J47" t="s">
        <v>123</v>
      </c>
      <c r="K47" s="4">
        <v>48319.26</v>
      </c>
      <c r="L47">
        <v>35</v>
      </c>
    </row>
    <row r="48" spans="1:12" x14ac:dyDescent="0.25">
      <c r="A48">
        <f t="shared" si="0"/>
        <v>2014</v>
      </c>
      <c r="B48" s="8" t="s">
        <v>124</v>
      </c>
      <c r="C48" t="s">
        <v>16</v>
      </c>
      <c r="D48" t="s">
        <v>125</v>
      </c>
      <c r="E48" s="11">
        <v>41698</v>
      </c>
      <c r="F48" s="11">
        <v>41698</v>
      </c>
      <c r="G48" s="8" t="s">
        <v>65</v>
      </c>
      <c r="H48" t="s">
        <v>122</v>
      </c>
      <c r="J48" t="s">
        <v>123</v>
      </c>
      <c r="K48" s="4">
        <v>44594.65</v>
      </c>
      <c r="L48">
        <v>35</v>
      </c>
    </row>
    <row r="49" spans="1:12" x14ac:dyDescent="0.25">
      <c r="A49">
        <f t="shared" si="0"/>
        <v>2014</v>
      </c>
      <c r="B49" s="8" t="s">
        <v>126</v>
      </c>
      <c r="C49" t="s">
        <v>16</v>
      </c>
      <c r="D49" t="s">
        <v>125</v>
      </c>
      <c r="E49" s="11">
        <v>41698</v>
      </c>
      <c r="F49" s="11">
        <v>41698</v>
      </c>
      <c r="G49" s="8" t="s">
        <v>65</v>
      </c>
      <c r="H49" t="s">
        <v>122</v>
      </c>
      <c r="J49" t="s">
        <v>123</v>
      </c>
      <c r="K49" s="4">
        <v>44594.65</v>
      </c>
      <c r="L49">
        <v>35</v>
      </c>
    </row>
    <row r="50" spans="1:12" x14ac:dyDescent="0.25">
      <c r="A50">
        <f t="shared" si="0"/>
        <v>2014</v>
      </c>
      <c r="B50" s="8" t="s">
        <v>127</v>
      </c>
      <c r="C50" t="s">
        <v>16</v>
      </c>
      <c r="D50" t="s">
        <v>125</v>
      </c>
      <c r="E50" s="11">
        <v>41698</v>
      </c>
      <c r="F50" s="11">
        <v>41698</v>
      </c>
      <c r="G50" s="8" t="s">
        <v>65</v>
      </c>
      <c r="H50" t="s">
        <v>122</v>
      </c>
      <c r="J50" t="s">
        <v>123</v>
      </c>
      <c r="K50" s="4">
        <v>44594.67</v>
      </c>
      <c r="L50">
        <v>35</v>
      </c>
    </row>
    <row r="51" spans="1:12" x14ac:dyDescent="0.25">
      <c r="A51">
        <f t="shared" si="0"/>
        <v>2014</v>
      </c>
      <c r="B51" s="8" t="s">
        <v>128</v>
      </c>
      <c r="C51" t="s">
        <v>16</v>
      </c>
      <c r="D51" t="s">
        <v>129</v>
      </c>
      <c r="E51" s="11">
        <v>41698</v>
      </c>
      <c r="F51" s="11">
        <v>41698</v>
      </c>
      <c r="G51" s="8" t="s">
        <v>65</v>
      </c>
      <c r="H51" t="s">
        <v>122</v>
      </c>
      <c r="J51" t="s">
        <v>123</v>
      </c>
      <c r="K51" s="4">
        <v>116163.64</v>
      </c>
      <c r="L51">
        <v>35</v>
      </c>
    </row>
    <row r="52" spans="1:12" x14ac:dyDescent="0.25">
      <c r="A52">
        <f t="shared" si="0"/>
        <v>2014</v>
      </c>
      <c r="B52" s="8" t="s">
        <v>130</v>
      </c>
      <c r="C52" t="s">
        <v>16</v>
      </c>
      <c r="D52" t="s">
        <v>131</v>
      </c>
      <c r="E52" s="11">
        <v>41699</v>
      </c>
      <c r="F52" s="11">
        <v>41699</v>
      </c>
      <c r="G52" s="8" t="s">
        <v>65</v>
      </c>
      <c r="H52" t="s">
        <v>122</v>
      </c>
      <c r="J52" t="s">
        <v>123</v>
      </c>
      <c r="K52" s="4">
        <v>84277.81</v>
      </c>
      <c r="L52">
        <v>35</v>
      </c>
    </row>
    <row r="53" spans="1:12" x14ac:dyDescent="0.25">
      <c r="A53">
        <f t="shared" si="0"/>
        <v>2014</v>
      </c>
      <c r="B53" s="8" t="s">
        <v>132</v>
      </c>
      <c r="C53" t="s">
        <v>16</v>
      </c>
      <c r="D53" t="s">
        <v>131</v>
      </c>
      <c r="E53" s="11">
        <v>41699</v>
      </c>
      <c r="F53" s="11">
        <v>41699</v>
      </c>
      <c r="G53" s="8" t="s">
        <v>65</v>
      </c>
      <c r="H53" t="s">
        <v>122</v>
      </c>
      <c r="J53" t="s">
        <v>123</v>
      </c>
      <c r="K53" s="4">
        <v>84277.82</v>
      </c>
      <c r="L53">
        <v>35</v>
      </c>
    </row>
    <row r="54" spans="1:12" x14ac:dyDescent="0.25">
      <c r="A54">
        <f t="shared" si="0"/>
        <v>2014</v>
      </c>
      <c r="B54" s="8" t="s">
        <v>133</v>
      </c>
      <c r="C54" t="s">
        <v>16</v>
      </c>
      <c r="D54" t="s">
        <v>134</v>
      </c>
      <c r="E54" s="11">
        <v>41699</v>
      </c>
      <c r="F54" s="11">
        <v>41699</v>
      </c>
      <c r="G54" s="8" t="s">
        <v>65</v>
      </c>
      <c r="H54" t="s">
        <v>122</v>
      </c>
      <c r="J54" t="s">
        <v>123</v>
      </c>
      <c r="K54" s="4">
        <v>30932</v>
      </c>
      <c r="L54">
        <v>35</v>
      </c>
    </row>
    <row r="55" spans="1:12" x14ac:dyDescent="0.25">
      <c r="A55">
        <f t="shared" si="0"/>
        <v>2014</v>
      </c>
      <c r="B55" s="8" t="s">
        <v>135</v>
      </c>
      <c r="C55" t="s">
        <v>16</v>
      </c>
      <c r="D55" t="s">
        <v>129</v>
      </c>
      <c r="E55" s="11">
        <v>41698</v>
      </c>
      <c r="F55" s="11">
        <v>41698</v>
      </c>
      <c r="G55" s="8" t="s">
        <v>65</v>
      </c>
      <c r="H55" t="s">
        <v>122</v>
      </c>
      <c r="J55" t="s">
        <v>123</v>
      </c>
      <c r="K55" s="4">
        <v>116163.64</v>
      </c>
      <c r="L55">
        <v>35</v>
      </c>
    </row>
    <row r="56" spans="1:12" x14ac:dyDescent="0.25">
      <c r="A56">
        <f t="shared" si="0"/>
        <v>2014</v>
      </c>
      <c r="B56" s="8" t="s">
        <v>136</v>
      </c>
      <c r="C56" t="s">
        <v>16</v>
      </c>
      <c r="D56" t="s">
        <v>134</v>
      </c>
      <c r="E56" s="11">
        <v>41699</v>
      </c>
      <c r="F56" s="11">
        <v>41699</v>
      </c>
      <c r="G56" s="8" t="s">
        <v>65</v>
      </c>
      <c r="H56" t="s">
        <v>122</v>
      </c>
      <c r="J56" t="s">
        <v>123</v>
      </c>
      <c r="K56" s="4">
        <v>30932</v>
      </c>
      <c r="L56">
        <v>35</v>
      </c>
    </row>
    <row r="57" spans="1:12" x14ac:dyDescent="0.25">
      <c r="A57">
        <f t="shared" si="0"/>
        <v>2014</v>
      </c>
      <c r="B57" s="8" t="s">
        <v>137</v>
      </c>
      <c r="C57" t="s">
        <v>16</v>
      </c>
      <c r="D57" t="s">
        <v>138</v>
      </c>
      <c r="E57" s="11">
        <v>41698</v>
      </c>
      <c r="F57" s="11">
        <v>41698</v>
      </c>
      <c r="G57" s="8" t="s">
        <v>65</v>
      </c>
      <c r="H57" t="s">
        <v>122</v>
      </c>
      <c r="J57" t="s">
        <v>123</v>
      </c>
      <c r="K57" s="4">
        <v>22327.7</v>
      </c>
      <c r="L57">
        <v>35</v>
      </c>
    </row>
    <row r="58" spans="1:12" x14ac:dyDescent="0.25">
      <c r="A58">
        <f t="shared" si="0"/>
        <v>2014</v>
      </c>
      <c r="B58" s="8" t="s">
        <v>139</v>
      </c>
      <c r="C58" t="s">
        <v>16</v>
      </c>
      <c r="D58" t="s">
        <v>134</v>
      </c>
      <c r="E58" s="11">
        <v>41699</v>
      </c>
      <c r="F58" s="11">
        <v>41699</v>
      </c>
      <c r="G58" s="8" t="s">
        <v>65</v>
      </c>
      <c r="H58" t="s">
        <v>122</v>
      </c>
      <c r="J58" t="s">
        <v>123</v>
      </c>
      <c r="K58" s="4">
        <v>30932</v>
      </c>
      <c r="L58">
        <v>35</v>
      </c>
    </row>
    <row r="59" spans="1:12" x14ac:dyDescent="0.25">
      <c r="A59">
        <f t="shared" si="0"/>
        <v>2014</v>
      </c>
      <c r="B59" s="8" t="s">
        <v>140</v>
      </c>
      <c r="C59" t="s">
        <v>16</v>
      </c>
      <c r="D59" t="s">
        <v>134</v>
      </c>
      <c r="E59" s="11">
        <v>41699</v>
      </c>
      <c r="F59" s="11">
        <v>41699</v>
      </c>
      <c r="G59" s="8" t="s">
        <v>65</v>
      </c>
      <c r="H59" t="s">
        <v>122</v>
      </c>
      <c r="J59" t="s">
        <v>123</v>
      </c>
      <c r="K59" s="4">
        <v>30932</v>
      </c>
      <c r="L59">
        <v>35</v>
      </c>
    </row>
    <row r="60" spans="1:12" x14ac:dyDescent="0.25">
      <c r="A60">
        <f t="shared" si="0"/>
        <v>2014</v>
      </c>
      <c r="B60" s="8" t="s">
        <v>141</v>
      </c>
      <c r="C60" t="s">
        <v>16</v>
      </c>
      <c r="D60" t="s">
        <v>138</v>
      </c>
      <c r="E60" s="11">
        <v>41698</v>
      </c>
      <c r="F60" s="11">
        <v>41698</v>
      </c>
      <c r="G60" s="8" t="s">
        <v>65</v>
      </c>
      <c r="H60" t="s">
        <v>122</v>
      </c>
      <c r="J60" t="s">
        <v>123</v>
      </c>
      <c r="K60" s="4">
        <v>22327.69</v>
      </c>
      <c r="L60">
        <v>35</v>
      </c>
    </row>
    <row r="61" spans="1:12" x14ac:dyDescent="0.25">
      <c r="A61">
        <f t="shared" si="0"/>
        <v>2014</v>
      </c>
      <c r="B61" s="8" t="s">
        <v>142</v>
      </c>
      <c r="C61" t="s">
        <v>16</v>
      </c>
      <c r="D61" t="s">
        <v>134</v>
      </c>
      <c r="E61" s="11">
        <v>41699</v>
      </c>
      <c r="F61" s="11">
        <v>41699</v>
      </c>
      <c r="G61" s="8" t="s">
        <v>65</v>
      </c>
      <c r="H61" t="s">
        <v>122</v>
      </c>
      <c r="J61" t="s">
        <v>123</v>
      </c>
      <c r="K61" s="4">
        <v>30932</v>
      </c>
      <c r="L61">
        <v>35</v>
      </c>
    </row>
    <row r="62" spans="1:12" x14ac:dyDescent="0.25">
      <c r="A62">
        <f t="shared" si="0"/>
        <v>2014</v>
      </c>
      <c r="B62" s="8" t="s">
        <v>143</v>
      </c>
      <c r="C62" t="s">
        <v>16</v>
      </c>
      <c r="D62" t="s">
        <v>144</v>
      </c>
      <c r="E62" s="11">
        <v>41698</v>
      </c>
      <c r="F62" s="11">
        <v>41698</v>
      </c>
      <c r="G62" s="8" t="s">
        <v>65</v>
      </c>
      <c r="H62" t="s">
        <v>122</v>
      </c>
      <c r="J62" t="s">
        <v>123</v>
      </c>
      <c r="K62" s="4">
        <v>20881.09</v>
      </c>
      <c r="L62">
        <v>35</v>
      </c>
    </row>
    <row r="63" spans="1:12" x14ac:dyDescent="0.25">
      <c r="A63">
        <f t="shared" si="0"/>
        <v>2014</v>
      </c>
      <c r="B63" s="8" t="s">
        <v>145</v>
      </c>
      <c r="C63" t="s">
        <v>16</v>
      </c>
      <c r="D63" t="s">
        <v>134</v>
      </c>
      <c r="E63" s="11">
        <v>41699</v>
      </c>
      <c r="F63" s="11">
        <v>41699</v>
      </c>
      <c r="G63" s="8" t="s">
        <v>65</v>
      </c>
      <c r="H63" t="s">
        <v>122</v>
      </c>
      <c r="J63" t="s">
        <v>123</v>
      </c>
      <c r="K63" s="4">
        <v>30931.940000000002</v>
      </c>
      <c r="L63">
        <v>35</v>
      </c>
    </row>
    <row r="64" spans="1:12" x14ac:dyDescent="0.25">
      <c r="A64">
        <f t="shared" si="0"/>
        <v>2014</v>
      </c>
      <c r="B64" s="8" t="s">
        <v>146</v>
      </c>
      <c r="C64" t="s">
        <v>16</v>
      </c>
      <c r="D64" t="s">
        <v>144</v>
      </c>
      <c r="E64" s="11">
        <v>41698</v>
      </c>
      <c r="F64" s="11">
        <v>41698</v>
      </c>
      <c r="G64" s="8" t="s">
        <v>65</v>
      </c>
      <c r="H64" t="s">
        <v>122</v>
      </c>
      <c r="J64" t="s">
        <v>123</v>
      </c>
      <c r="K64" s="4">
        <v>20881.09</v>
      </c>
      <c r="L64">
        <v>35</v>
      </c>
    </row>
    <row r="65" spans="1:12" x14ac:dyDescent="0.25">
      <c r="A65">
        <f t="shared" si="0"/>
        <v>2014</v>
      </c>
      <c r="B65" s="8" t="s">
        <v>147</v>
      </c>
      <c r="C65" t="s">
        <v>16</v>
      </c>
      <c r="D65" t="s">
        <v>125</v>
      </c>
      <c r="E65" s="11">
        <v>41698</v>
      </c>
      <c r="F65" s="11">
        <v>41698</v>
      </c>
      <c r="G65" s="8" t="s">
        <v>65</v>
      </c>
      <c r="H65" t="s">
        <v>122</v>
      </c>
      <c r="J65" t="s">
        <v>123</v>
      </c>
      <c r="K65" s="4">
        <v>44594.65</v>
      </c>
      <c r="L65">
        <v>35</v>
      </c>
    </row>
    <row r="66" spans="1:12" x14ac:dyDescent="0.25">
      <c r="A66">
        <f t="shared" si="0"/>
        <v>2014</v>
      </c>
      <c r="B66" s="8" t="s">
        <v>148</v>
      </c>
      <c r="C66" t="s">
        <v>16</v>
      </c>
      <c r="D66" t="s">
        <v>125</v>
      </c>
      <c r="E66" s="11">
        <v>41698</v>
      </c>
      <c r="F66" s="11">
        <v>41698</v>
      </c>
      <c r="G66" s="8" t="s">
        <v>65</v>
      </c>
      <c r="H66" t="s">
        <v>122</v>
      </c>
      <c r="J66" t="s">
        <v>123</v>
      </c>
      <c r="K66" s="4">
        <v>44594.65</v>
      </c>
      <c r="L66">
        <v>35</v>
      </c>
    </row>
    <row r="67" spans="1:12" x14ac:dyDescent="0.25">
      <c r="A67">
        <f t="shared" si="0"/>
        <v>2014</v>
      </c>
      <c r="B67" s="8" t="s">
        <v>149</v>
      </c>
      <c r="C67" t="s">
        <v>16</v>
      </c>
      <c r="D67" t="s">
        <v>125</v>
      </c>
      <c r="E67" s="11">
        <v>41698</v>
      </c>
      <c r="F67" s="11">
        <v>41698</v>
      </c>
      <c r="G67" s="8" t="s">
        <v>65</v>
      </c>
      <c r="H67" t="s">
        <v>122</v>
      </c>
      <c r="J67" t="s">
        <v>123</v>
      </c>
      <c r="K67" s="4">
        <v>44594.65</v>
      </c>
      <c r="L67">
        <v>35</v>
      </c>
    </row>
    <row r="68" spans="1:12" x14ac:dyDescent="0.25">
      <c r="A68">
        <f t="shared" si="0"/>
        <v>2014</v>
      </c>
      <c r="B68" s="8" t="s">
        <v>150</v>
      </c>
      <c r="C68" t="s">
        <v>16</v>
      </c>
      <c r="D68" t="s">
        <v>151</v>
      </c>
      <c r="E68" s="11">
        <v>41698</v>
      </c>
      <c r="F68" s="11">
        <v>41698</v>
      </c>
      <c r="G68" s="8" t="s">
        <v>65</v>
      </c>
      <c r="H68" t="s">
        <v>122</v>
      </c>
      <c r="J68" t="s">
        <v>123</v>
      </c>
      <c r="K68" s="4">
        <v>147692.87</v>
      </c>
      <c r="L68">
        <v>35</v>
      </c>
    </row>
    <row r="69" spans="1:12" x14ac:dyDescent="0.25">
      <c r="A69">
        <f t="shared" si="0"/>
        <v>2014</v>
      </c>
      <c r="B69" s="8" t="s">
        <v>152</v>
      </c>
      <c r="C69" t="s">
        <v>16</v>
      </c>
      <c r="D69" t="s">
        <v>151</v>
      </c>
      <c r="E69" s="11">
        <v>41698</v>
      </c>
      <c r="F69" s="11">
        <v>41698</v>
      </c>
      <c r="G69" s="8" t="s">
        <v>65</v>
      </c>
      <c r="H69" t="s">
        <v>122</v>
      </c>
      <c r="J69" t="s">
        <v>123</v>
      </c>
      <c r="K69" s="4">
        <v>147692.87</v>
      </c>
      <c r="L69">
        <v>35</v>
      </c>
    </row>
    <row r="70" spans="1:12" x14ac:dyDescent="0.25">
      <c r="A70">
        <f t="shared" si="0"/>
        <v>2014</v>
      </c>
      <c r="B70" s="8" t="s">
        <v>153</v>
      </c>
      <c r="C70" t="s">
        <v>16</v>
      </c>
      <c r="D70" t="s">
        <v>131</v>
      </c>
      <c r="E70" s="11">
        <v>41699</v>
      </c>
      <c r="F70" s="11">
        <v>41699</v>
      </c>
      <c r="G70" s="8" t="s">
        <v>65</v>
      </c>
      <c r="H70" t="s">
        <v>122</v>
      </c>
      <c r="J70" t="s">
        <v>123</v>
      </c>
      <c r="K70" s="4">
        <v>84277.81</v>
      </c>
      <c r="L70">
        <v>35</v>
      </c>
    </row>
    <row r="71" spans="1:12" x14ac:dyDescent="0.25">
      <c r="A71">
        <f t="shared" si="0"/>
        <v>2014</v>
      </c>
      <c r="B71" s="8" t="s">
        <v>154</v>
      </c>
      <c r="C71" t="s">
        <v>16</v>
      </c>
      <c r="D71" t="s">
        <v>131</v>
      </c>
      <c r="E71" s="11">
        <v>41699</v>
      </c>
      <c r="F71" s="11">
        <v>41699</v>
      </c>
      <c r="G71" s="8" t="s">
        <v>65</v>
      </c>
      <c r="H71" t="s">
        <v>122</v>
      </c>
      <c r="J71" t="s">
        <v>123</v>
      </c>
      <c r="K71" s="4">
        <v>84277.81</v>
      </c>
      <c r="L71">
        <v>35</v>
      </c>
    </row>
    <row r="72" spans="1:12" x14ac:dyDescent="0.25">
      <c r="A72">
        <f t="shared" si="0"/>
        <v>2014</v>
      </c>
      <c r="B72" s="8" t="s">
        <v>155</v>
      </c>
      <c r="C72" t="s">
        <v>16</v>
      </c>
      <c r="D72" t="s">
        <v>134</v>
      </c>
      <c r="E72" s="11">
        <v>41699</v>
      </c>
      <c r="F72" s="11">
        <v>41699</v>
      </c>
      <c r="G72" s="8" t="s">
        <v>65</v>
      </c>
      <c r="H72" t="s">
        <v>122</v>
      </c>
      <c r="J72" t="s">
        <v>123</v>
      </c>
      <c r="K72" s="4">
        <v>30932</v>
      </c>
      <c r="L72">
        <v>35</v>
      </c>
    </row>
    <row r="73" spans="1:12" x14ac:dyDescent="0.25">
      <c r="A73">
        <f t="shared" si="0"/>
        <v>2014</v>
      </c>
      <c r="B73" s="8" t="s">
        <v>156</v>
      </c>
      <c r="C73" t="s">
        <v>16</v>
      </c>
      <c r="D73" t="s">
        <v>134</v>
      </c>
      <c r="E73" s="11">
        <v>41699</v>
      </c>
      <c r="F73" s="11">
        <v>41699</v>
      </c>
      <c r="G73" s="8" t="s">
        <v>65</v>
      </c>
      <c r="H73" t="s">
        <v>122</v>
      </c>
      <c r="J73" t="s">
        <v>123</v>
      </c>
      <c r="K73" s="4">
        <v>30932</v>
      </c>
      <c r="L73">
        <v>35</v>
      </c>
    </row>
    <row r="74" spans="1:12" x14ac:dyDescent="0.25">
      <c r="A74">
        <f t="shared" si="0"/>
        <v>2014</v>
      </c>
      <c r="B74" s="8" t="s">
        <v>157</v>
      </c>
      <c r="C74" t="s">
        <v>16</v>
      </c>
      <c r="D74" t="s">
        <v>134</v>
      </c>
      <c r="E74" s="11">
        <v>41699</v>
      </c>
      <c r="F74" s="11">
        <v>41699</v>
      </c>
      <c r="G74" s="8" t="s">
        <v>65</v>
      </c>
      <c r="H74" t="s">
        <v>122</v>
      </c>
      <c r="J74" t="s">
        <v>123</v>
      </c>
      <c r="K74" s="4">
        <v>30932</v>
      </c>
      <c r="L74">
        <v>35</v>
      </c>
    </row>
    <row r="75" spans="1:12" x14ac:dyDescent="0.25">
      <c r="A75">
        <f t="shared" si="0"/>
        <v>2014</v>
      </c>
      <c r="B75" s="8" t="s">
        <v>158</v>
      </c>
      <c r="C75" t="s">
        <v>16</v>
      </c>
      <c r="D75" t="s">
        <v>134</v>
      </c>
      <c r="E75" s="11">
        <v>41699</v>
      </c>
      <c r="F75" s="11">
        <v>41699</v>
      </c>
      <c r="G75" s="8" t="s">
        <v>65</v>
      </c>
      <c r="H75" t="s">
        <v>122</v>
      </c>
      <c r="J75" t="s">
        <v>123</v>
      </c>
      <c r="K75" s="4">
        <v>30932</v>
      </c>
      <c r="L75">
        <v>35</v>
      </c>
    </row>
    <row r="76" spans="1:12" x14ac:dyDescent="0.25">
      <c r="A76">
        <f t="shared" ref="A76:A139" si="1">+YEAR(E76)</f>
        <v>2014</v>
      </c>
      <c r="B76" s="8" t="s">
        <v>159</v>
      </c>
      <c r="C76" t="s">
        <v>16</v>
      </c>
      <c r="D76" t="s">
        <v>134</v>
      </c>
      <c r="E76" s="11">
        <v>41699</v>
      </c>
      <c r="F76" s="11">
        <v>41699</v>
      </c>
      <c r="G76" s="8" t="s">
        <v>65</v>
      </c>
      <c r="H76" t="s">
        <v>122</v>
      </c>
      <c r="J76" t="s">
        <v>123</v>
      </c>
      <c r="K76" s="4">
        <v>30932</v>
      </c>
      <c r="L76">
        <v>35</v>
      </c>
    </row>
    <row r="77" spans="1:12" x14ac:dyDescent="0.25">
      <c r="A77">
        <f t="shared" si="1"/>
        <v>2014</v>
      </c>
      <c r="B77" s="8" t="s">
        <v>160</v>
      </c>
      <c r="C77" t="s">
        <v>16</v>
      </c>
      <c r="D77" t="s">
        <v>134</v>
      </c>
      <c r="E77" s="11">
        <v>41699</v>
      </c>
      <c r="F77" s="11">
        <v>41699</v>
      </c>
      <c r="G77" s="8" t="s">
        <v>65</v>
      </c>
      <c r="H77" t="s">
        <v>122</v>
      </c>
      <c r="J77" t="s">
        <v>123</v>
      </c>
      <c r="K77" s="4">
        <v>30932</v>
      </c>
      <c r="L77">
        <v>35</v>
      </c>
    </row>
    <row r="78" spans="1:12" x14ac:dyDescent="0.25">
      <c r="A78">
        <f t="shared" si="1"/>
        <v>2014</v>
      </c>
      <c r="B78" s="8" t="s">
        <v>161</v>
      </c>
      <c r="C78" t="s">
        <v>16</v>
      </c>
      <c r="D78" t="s">
        <v>162</v>
      </c>
      <c r="E78" s="11">
        <v>41699</v>
      </c>
      <c r="F78" s="11">
        <v>41699</v>
      </c>
      <c r="G78" s="8" t="s">
        <v>65</v>
      </c>
      <c r="H78" t="s">
        <v>122</v>
      </c>
      <c r="J78" t="s">
        <v>123</v>
      </c>
      <c r="K78" s="4">
        <v>7103.88</v>
      </c>
      <c r="L78">
        <v>35</v>
      </c>
    </row>
    <row r="79" spans="1:12" x14ac:dyDescent="0.25">
      <c r="A79">
        <f t="shared" si="1"/>
        <v>2014</v>
      </c>
      <c r="B79" s="8" t="s">
        <v>163</v>
      </c>
      <c r="C79" t="s">
        <v>16</v>
      </c>
      <c r="D79" t="s">
        <v>162</v>
      </c>
      <c r="E79" s="11">
        <v>41699</v>
      </c>
      <c r="F79" s="11">
        <v>41699</v>
      </c>
      <c r="G79" s="8" t="s">
        <v>65</v>
      </c>
      <c r="H79" t="s">
        <v>122</v>
      </c>
      <c r="J79" t="s">
        <v>123</v>
      </c>
      <c r="K79" s="4">
        <v>7103.88</v>
      </c>
      <c r="L79">
        <v>35</v>
      </c>
    </row>
    <row r="80" spans="1:12" x14ac:dyDescent="0.25">
      <c r="A80">
        <f t="shared" si="1"/>
        <v>2014</v>
      </c>
      <c r="B80" s="8" t="s">
        <v>164</v>
      </c>
      <c r="C80" t="s">
        <v>16</v>
      </c>
      <c r="D80" t="s">
        <v>162</v>
      </c>
      <c r="E80" s="11">
        <v>41699</v>
      </c>
      <c r="F80" s="11">
        <v>41699</v>
      </c>
      <c r="G80" s="8" t="s">
        <v>65</v>
      </c>
      <c r="H80" t="s">
        <v>122</v>
      </c>
      <c r="J80" t="s">
        <v>123</v>
      </c>
      <c r="K80" s="4">
        <v>7103.88</v>
      </c>
      <c r="L80">
        <v>35</v>
      </c>
    </row>
    <row r="81" spans="1:12" x14ac:dyDescent="0.25">
      <c r="A81">
        <f t="shared" si="1"/>
        <v>2014</v>
      </c>
      <c r="B81" s="8" t="s">
        <v>165</v>
      </c>
      <c r="C81" t="s">
        <v>16</v>
      </c>
      <c r="D81" t="s">
        <v>162</v>
      </c>
      <c r="E81" s="11">
        <v>41699</v>
      </c>
      <c r="F81" s="11">
        <v>41699</v>
      </c>
      <c r="G81" s="8" t="s">
        <v>65</v>
      </c>
      <c r="H81" t="s">
        <v>122</v>
      </c>
      <c r="J81" t="s">
        <v>123</v>
      </c>
      <c r="K81" s="4">
        <v>7103.8600000000006</v>
      </c>
      <c r="L81">
        <v>35</v>
      </c>
    </row>
    <row r="82" spans="1:12" x14ac:dyDescent="0.25">
      <c r="A82">
        <f t="shared" si="1"/>
        <v>2014</v>
      </c>
      <c r="B82" s="8" t="s">
        <v>166</v>
      </c>
      <c r="C82" t="s">
        <v>16</v>
      </c>
      <c r="D82" t="s">
        <v>167</v>
      </c>
      <c r="E82" s="11">
        <v>41759</v>
      </c>
      <c r="F82" s="11">
        <v>41759</v>
      </c>
      <c r="G82" s="8" t="s">
        <v>65</v>
      </c>
      <c r="H82" t="s">
        <v>168</v>
      </c>
      <c r="J82" t="s">
        <v>169</v>
      </c>
      <c r="K82" s="4">
        <v>408505.97000000003</v>
      </c>
      <c r="L82">
        <v>35</v>
      </c>
    </row>
    <row r="83" spans="1:12" x14ac:dyDescent="0.25">
      <c r="A83">
        <f t="shared" si="1"/>
        <v>2014</v>
      </c>
      <c r="B83" s="8" t="s">
        <v>170</v>
      </c>
      <c r="C83" t="s">
        <v>16</v>
      </c>
      <c r="D83" t="s">
        <v>171</v>
      </c>
      <c r="E83" s="11">
        <v>41759</v>
      </c>
      <c r="F83" s="11">
        <v>41759</v>
      </c>
      <c r="G83" s="8" t="s">
        <v>65</v>
      </c>
      <c r="H83" t="s">
        <v>168</v>
      </c>
      <c r="J83" t="s">
        <v>169</v>
      </c>
      <c r="K83" s="4">
        <v>196156.13</v>
      </c>
      <c r="L83">
        <v>35</v>
      </c>
    </row>
    <row r="84" spans="1:12" x14ac:dyDescent="0.25">
      <c r="A84">
        <f t="shared" si="1"/>
        <v>2014</v>
      </c>
      <c r="B84" s="8" t="s">
        <v>172</v>
      </c>
      <c r="C84" t="s">
        <v>16</v>
      </c>
      <c r="D84" t="s">
        <v>171</v>
      </c>
      <c r="E84" s="11">
        <v>41759</v>
      </c>
      <c r="F84" s="11">
        <v>41759</v>
      </c>
      <c r="G84" s="8" t="s">
        <v>65</v>
      </c>
      <c r="H84" t="s">
        <v>168</v>
      </c>
      <c r="J84" t="s">
        <v>169</v>
      </c>
      <c r="K84" s="4">
        <v>196156.13</v>
      </c>
      <c r="L84">
        <v>35</v>
      </c>
    </row>
    <row r="85" spans="1:12" x14ac:dyDescent="0.25">
      <c r="A85">
        <f t="shared" si="1"/>
        <v>2014</v>
      </c>
      <c r="B85" s="8" t="s">
        <v>173</v>
      </c>
      <c r="C85" t="s">
        <v>16</v>
      </c>
      <c r="D85" t="s">
        <v>171</v>
      </c>
      <c r="E85" s="11">
        <v>41759</v>
      </c>
      <c r="F85" s="11">
        <v>41759</v>
      </c>
      <c r="G85" s="8" t="s">
        <v>65</v>
      </c>
      <c r="H85" t="s">
        <v>168</v>
      </c>
      <c r="J85" t="s">
        <v>169</v>
      </c>
      <c r="K85" s="4">
        <v>196156.14</v>
      </c>
      <c r="L85">
        <v>35</v>
      </c>
    </row>
    <row r="86" spans="1:12" x14ac:dyDescent="0.25">
      <c r="A86">
        <f t="shared" si="1"/>
        <v>2014</v>
      </c>
      <c r="B86" s="8" t="s">
        <v>174</v>
      </c>
      <c r="C86" t="s">
        <v>16</v>
      </c>
      <c r="D86" t="s">
        <v>175</v>
      </c>
      <c r="E86" s="11">
        <v>41759</v>
      </c>
      <c r="F86" s="11">
        <v>41759</v>
      </c>
      <c r="G86" s="8" t="s">
        <v>65</v>
      </c>
      <c r="H86" t="s">
        <v>168</v>
      </c>
      <c r="J86" t="s">
        <v>169</v>
      </c>
      <c r="K86" s="4">
        <v>217257.54</v>
      </c>
      <c r="L86">
        <v>35</v>
      </c>
    </row>
    <row r="87" spans="1:12" x14ac:dyDescent="0.25">
      <c r="A87">
        <f t="shared" si="1"/>
        <v>2014</v>
      </c>
      <c r="B87" s="8" t="s">
        <v>176</v>
      </c>
      <c r="C87" t="s">
        <v>16</v>
      </c>
      <c r="D87" t="s">
        <v>175</v>
      </c>
      <c r="E87" s="11">
        <v>41759</v>
      </c>
      <c r="F87" s="11">
        <v>41759</v>
      </c>
      <c r="G87" s="8" t="s">
        <v>65</v>
      </c>
      <c r="H87" t="s">
        <v>168</v>
      </c>
      <c r="J87" t="s">
        <v>169</v>
      </c>
      <c r="K87" s="4">
        <v>217257.54</v>
      </c>
      <c r="L87">
        <v>35</v>
      </c>
    </row>
    <row r="88" spans="1:12" x14ac:dyDescent="0.25">
      <c r="A88">
        <f t="shared" si="1"/>
        <v>2014</v>
      </c>
      <c r="B88" s="8" t="s">
        <v>177</v>
      </c>
      <c r="C88" t="s">
        <v>16</v>
      </c>
      <c r="D88" t="s">
        <v>178</v>
      </c>
      <c r="E88" s="11">
        <v>41759</v>
      </c>
      <c r="F88" s="11">
        <v>41759</v>
      </c>
      <c r="G88" s="8" t="s">
        <v>65</v>
      </c>
      <c r="H88" t="s">
        <v>168</v>
      </c>
      <c r="J88" t="s">
        <v>169</v>
      </c>
      <c r="K88" s="4">
        <v>30251.9</v>
      </c>
      <c r="L88">
        <v>35</v>
      </c>
    </row>
    <row r="89" spans="1:12" x14ac:dyDescent="0.25">
      <c r="A89">
        <f t="shared" si="1"/>
        <v>2014</v>
      </c>
      <c r="B89" s="8" t="s">
        <v>179</v>
      </c>
      <c r="C89" t="s">
        <v>16</v>
      </c>
      <c r="D89" t="s">
        <v>178</v>
      </c>
      <c r="E89" s="11">
        <v>41759</v>
      </c>
      <c r="F89" s="11">
        <v>41759</v>
      </c>
      <c r="G89" s="8" t="s">
        <v>65</v>
      </c>
      <c r="H89" t="s">
        <v>168</v>
      </c>
      <c r="J89" t="s">
        <v>169</v>
      </c>
      <c r="K89" s="4">
        <v>30251.9</v>
      </c>
      <c r="L89">
        <v>35</v>
      </c>
    </row>
    <row r="90" spans="1:12" x14ac:dyDescent="0.25">
      <c r="A90">
        <f t="shared" si="1"/>
        <v>2014</v>
      </c>
      <c r="B90" s="8" t="s">
        <v>180</v>
      </c>
      <c r="C90" t="s">
        <v>16</v>
      </c>
      <c r="D90" t="s">
        <v>178</v>
      </c>
      <c r="E90" s="11">
        <v>41759</v>
      </c>
      <c r="F90" s="11">
        <v>41759</v>
      </c>
      <c r="G90" s="8" t="s">
        <v>65</v>
      </c>
      <c r="H90" t="s">
        <v>168</v>
      </c>
      <c r="J90" t="s">
        <v>169</v>
      </c>
      <c r="K90" s="4">
        <v>30251.9</v>
      </c>
      <c r="L90">
        <v>35</v>
      </c>
    </row>
    <row r="91" spans="1:12" x14ac:dyDescent="0.25">
      <c r="A91">
        <f t="shared" si="1"/>
        <v>2014</v>
      </c>
      <c r="B91" s="8" t="s">
        <v>181</v>
      </c>
      <c r="C91" t="s">
        <v>16</v>
      </c>
      <c r="D91" t="s">
        <v>178</v>
      </c>
      <c r="E91" s="11">
        <v>41759</v>
      </c>
      <c r="F91" s="11">
        <v>41759</v>
      </c>
      <c r="G91" s="8" t="s">
        <v>65</v>
      </c>
      <c r="H91" t="s">
        <v>168</v>
      </c>
      <c r="J91" t="s">
        <v>169</v>
      </c>
      <c r="K91" s="4">
        <v>30251.9</v>
      </c>
      <c r="L91">
        <v>35</v>
      </c>
    </row>
    <row r="92" spans="1:12" x14ac:dyDescent="0.25">
      <c r="A92">
        <f t="shared" si="1"/>
        <v>2014</v>
      </c>
      <c r="B92" s="8" t="s">
        <v>182</v>
      </c>
      <c r="C92" t="s">
        <v>16</v>
      </c>
      <c r="D92" t="s">
        <v>178</v>
      </c>
      <c r="E92" s="11">
        <v>41759</v>
      </c>
      <c r="F92" s="11">
        <v>41759</v>
      </c>
      <c r="G92" s="8" t="s">
        <v>65</v>
      </c>
      <c r="H92" t="s">
        <v>168</v>
      </c>
      <c r="J92" t="s">
        <v>169</v>
      </c>
      <c r="K92" s="4">
        <v>30251.9</v>
      </c>
      <c r="L92">
        <v>35</v>
      </c>
    </row>
    <row r="93" spans="1:12" x14ac:dyDescent="0.25">
      <c r="A93">
        <f t="shared" si="1"/>
        <v>2014</v>
      </c>
      <c r="B93" s="8" t="s">
        <v>183</v>
      </c>
      <c r="C93" t="s">
        <v>16</v>
      </c>
      <c r="D93" t="s">
        <v>178</v>
      </c>
      <c r="E93" s="11">
        <v>41759</v>
      </c>
      <c r="F93" s="11">
        <v>41759</v>
      </c>
      <c r="G93" s="8" t="s">
        <v>65</v>
      </c>
      <c r="H93" t="s">
        <v>168</v>
      </c>
      <c r="J93" t="s">
        <v>169</v>
      </c>
      <c r="K93" s="4">
        <v>30251.9</v>
      </c>
      <c r="L93">
        <v>35</v>
      </c>
    </row>
    <row r="94" spans="1:12" x14ac:dyDescent="0.25">
      <c r="A94">
        <f t="shared" si="1"/>
        <v>2014</v>
      </c>
      <c r="B94" s="8" t="s">
        <v>184</v>
      </c>
      <c r="C94" t="s">
        <v>16</v>
      </c>
      <c r="D94" t="s">
        <v>178</v>
      </c>
      <c r="E94" s="11">
        <v>41759</v>
      </c>
      <c r="F94" s="11">
        <v>41759</v>
      </c>
      <c r="G94" s="8" t="s">
        <v>65</v>
      </c>
      <c r="H94" t="s">
        <v>168</v>
      </c>
      <c r="J94" t="s">
        <v>169</v>
      </c>
      <c r="K94" s="4">
        <v>30251.9</v>
      </c>
      <c r="L94">
        <v>35</v>
      </c>
    </row>
    <row r="95" spans="1:12" x14ac:dyDescent="0.25">
      <c r="A95">
        <f t="shared" si="1"/>
        <v>2014</v>
      </c>
      <c r="B95" s="8" t="s">
        <v>185</v>
      </c>
      <c r="C95" t="s">
        <v>16</v>
      </c>
      <c r="D95" t="s">
        <v>178</v>
      </c>
      <c r="E95" s="11">
        <v>41759</v>
      </c>
      <c r="F95" s="11">
        <v>41759</v>
      </c>
      <c r="G95" s="8" t="s">
        <v>65</v>
      </c>
      <c r="H95" t="s">
        <v>168</v>
      </c>
      <c r="J95" t="s">
        <v>169</v>
      </c>
      <c r="K95" s="4">
        <v>30251.9</v>
      </c>
      <c r="L95">
        <v>35</v>
      </c>
    </row>
    <row r="96" spans="1:12" x14ac:dyDescent="0.25">
      <c r="A96">
        <f t="shared" si="1"/>
        <v>2014</v>
      </c>
      <c r="B96" s="8" t="s">
        <v>186</v>
      </c>
      <c r="C96" t="s">
        <v>16</v>
      </c>
      <c r="D96" t="s">
        <v>178</v>
      </c>
      <c r="E96" s="11">
        <v>41759</v>
      </c>
      <c r="F96" s="11">
        <v>41759</v>
      </c>
      <c r="G96" s="8" t="s">
        <v>65</v>
      </c>
      <c r="H96" t="s">
        <v>168</v>
      </c>
      <c r="J96" t="s">
        <v>169</v>
      </c>
      <c r="K96" s="4">
        <v>30251.9</v>
      </c>
      <c r="L96">
        <v>35</v>
      </c>
    </row>
    <row r="97" spans="1:12" x14ac:dyDescent="0.25">
      <c r="A97">
        <f t="shared" si="1"/>
        <v>2014</v>
      </c>
      <c r="B97" s="8" t="s">
        <v>187</v>
      </c>
      <c r="C97" t="s">
        <v>16</v>
      </c>
      <c r="D97" t="s">
        <v>178</v>
      </c>
      <c r="E97" s="11">
        <v>41759</v>
      </c>
      <c r="F97" s="11">
        <v>41759</v>
      </c>
      <c r="G97" s="8" t="s">
        <v>65</v>
      </c>
      <c r="H97" t="s">
        <v>168</v>
      </c>
      <c r="J97" t="s">
        <v>169</v>
      </c>
      <c r="K97" s="4">
        <v>30251.940000000002</v>
      </c>
      <c r="L97">
        <v>35</v>
      </c>
    </row>
    <row r="98" spans="1:12" x14ac:dyDescent="0.25">
      <c r="A98">
        <f t="shared" si="1"/>
        <v>2014</v>
      </c>
      <c r="B98" s="8" t="s">
        <v>188</v>
      </c>
      <c r="C98" t="s">
        <v>16</v>
      </c>
      <c r="D98" t="s">
        <v>189</v>
      </c>
      <c r="E98" s="11">
        <v>41759</v>
      </c>
      <c r="F98" s="11">
        <v>41759</v>
      </c>
      <c r="G98" s="8" t="s">
        <v>65</v>
      </c>
      <c r="H98" t="s">
        <v>168</v>
      </c>
      <c r="J98" t="s">
        <v>169</v>
      </c>
      <c r="K98" s="4">
        <v>40325.75</v>
      </c>
      <c r="L98">
        <v>35</v>
      </c>
    </row>
    <row r="99" spans="1:12" x14ac:dyDescent="0.25">
      <c r="A99">
        <f t="shared" si="1"/>
        <v>2014</v>
      </c>
      <c r="B99" s="8" t="s">
        <v>190</v>
      </c>
      <c r="C99" t="s">
        <v>16</v>
      </c>
      <c r="D99" t="s">
        <v>189</v>
      </c>
      <c r="E99" s="11">
        <v>41759</v>
      </c>
      <c r="F99" s="11">
        <v>41759</v>
      </c>
      <c r="G99" s="8" t="s">
        <v>65</v>
      </c>
      <c r="H99" t="s">
        <v>168</v>
      </c>
      <c r="J99" t="s">
        <v>169</v>
      </c>
      <c r="K99" s="4">
        <v>40325.75</v>
      </c>
      <c r="L99">
        <v>35</v>
      </c>
    </row>
    <row r="100" spans="1:12" x14ac:dyDescent="0.25">
      <c r="A100">
        <f t="shared" si="1"/>
        <v>2014</v>
      </c>
      <c r="B100" s="8" t="s">
        <v>191</v>
      </c>
      <c r="C100" t="s">
        <v>16</v>
      </c>
      <c r="D100" t="s">
        <v>192</v>
      </c>
      <c r="E100" s="11">
        <v>41759</v>
      </c>
      <c r="F100" s="11">
        <v>41759</v>
      </c>
      <c r="G100" s="8" t="s">
        <v>65</v>
      </c>
      <c r="H100" t="s">
        <v>168</v>
      </c>
      <c r="J100" t="s">
        <v>169</v>
      </c>
      <c r="K100" s="4">
        <v>35721.89</v>
      </c>
      <c r="L100">
        <v>35</v>
      </c>
    </row>
    <row r="101" spans="1:12" x14ac:dyDescent="0.25">
      <c r="A101">
        <f t="shared" si="1"/>
        <v>2014</v>
      </c>
      <c r="B101" s="8" t="s">
        <v>193</v>
      </c>
      <c r="C101" t="s">
        <v>16</v>
      </c>
      <c r="D101" t="s">
        <v>192</v>
      </c>
      <c r="E101" s="11">
        <v>41759</v>
      </c>
      <c r="F101" s="11">
        <v>41759</v>
      </c>
      <c r="G101" s="8" t="s">
        <v>65</v>
      </c>
      <c r="H101" t="s">
        <v>168</v>
      </c>
      <c r="J101" t="s">
        <v>169</v>
      </c>
      <c r="K101" s="4">
        <v>35721.89</v>
      </c>
      <c r="L101">
        <v>35</v>
      </c>
    </row>
    <row r="102" spans="1:12" x14ac:dyDescent="0.25">
      <c r="A102">
        <f t="shared" si="1"/>
        <v>2014</v>
      </c>
      <c r="B102" s="8" t="s">
        <v>194</v>
      </c>
      <c r="C102" t="s">
        <v>16</v>
      </c>
      <c r="D102" t="s">
        <v>192</v>
      </c>
      <c r="E102" s="11">
        <v>41759</v>
      </c>
      <c r="F102" s="11">
        <v>41759</v>
      </c>
      <c r="G102" s="8" t="s">
        <v>65</v>
      </c>
      <c r="H102" t="s">
        <v>168</v>
      </c>
      <c r="J102" t="s">
        <v>169</v>
      </c>
      <c r="K102" s="4">
        <v>35721.89</v>
      </c>
      <c r="L102">
        <v>35</v>
      </c>
    </row>
    <row r="103" spans="1:12" x14ac:dyDescent="0.25">
      <c r="A103">
        <f t="shared" si="1"/>
        <v>2014</v>
      </c>
      <c r="B103" s="8" t="s">
        <v>195</v>
      </c>
      <c r="C103" t="s">
        <v>16</v>
      </c>
      <c r="D103" t="s">
        <v>192</v>
      </c>
      <c r="E103" s="11">
        <v>41759</v>
      </c>
      <c r="F103" s="11">
        <v>41759</v>
      </c>
      <c r="G103" s="8" t="s">
        <v>65</v>
      </c>
      <c r="H103" t="s">
        <v>168</v>
      </c>
      <c r="J103" t="s">
        <v>169</v>
      </c>
      <c r="K103" s="4">
        <v>35721.870000000003</v>
      </c>
      <c r="L103">
        <v>35</v>
      </c>
    </row>
    <row r="104" spans="1:12" x14ac:dyDescent="0.25">
      <c r="A104">
        <f t="shared" si="1"/>
        <v>2014</v>
      </c>
      <c r="B104" s="8" t="s">
        <v>196</v>
      </c>
      <c r="C104" t="s">
        <v>16</v>
      </c>
      <c r="D104" t="s">
        <v>197</v>
      </c>
      <c r="E104" s="11">
        <v>41759</v>
      </c>
      <c r="F104" s="11">
        <v>41759</v>
      </c>
      <c r="G104" s="8" t="s">
        <v>65</v>
      </c>
      <c r="H104" t="s">
        <v>168</v>
      </c>
      <c r="J104" t="s">
        <v>169</v>
      </c>
      <c r="K104" s="4">
        <v>96004.61</v>
      </c>
      <c r="L104">
        <v>35</v>
      </c>
    </row>
    <row r="105" spans="1:12" x14ac:dyDescent="0.25">
      <c r="A105">
        <f t="shared" si="1"/>
        <v>2014</v>
      </c>
      <c r="B105" s="8" t="s">
        <v>198</v>
      </c>
      <c r="C105" t="s">
        <v>16</v>
      </c>
      <c r="D105" t="s">
        <v>197</v>
      </c>
      <c r="E105" s="11">
        <v>41759</v>
      </c>
      <c r="F105" s="11">
        <v>41759</v>
      </c>
      <c r="G105" s="8" t="s">
        <v>65</v>
      </c>
      <c r="H105" t="s">
        <v>168</v>
      </c>
      <c r="J105" t="s">
        <v>169</v>
      </c>
      <c r="K105" s="4">
        <v>96004.61</v>
      </c>
      <c r="L105">
        <v>35</v>
      </c>
    </row>
    <row r="106" spans="1:12" x14ac:dyDescent="0.25">
      <c r="A106">
        <f t="shared" si="1"/>
        <v>2014</v>
      </c>
      <c r="B106" s="8" t="s">
        <v>199</v>
      </c>
      <c r="C106" t="s">
        <v>16</v>
      </c>
      <c r="D106" t="s">
        <v>197</v>
      </c>
      <c r="E106" s="11">
        <v>41759</v>
      </c>
      <c r="F106" s="11">
        <v>41759</v>
      </c>
      <c r="G106" s="8" t="s">
        <v>65</v>
      </c>
      <c r="H106" t="s">
        <v>168</v>
      </c>
      <c r="J106" t="s">
        <v>169</v>
      </c>
      <c r="K106" s="4">
        <v>96004.61</v>
      </c>
      <c r="L106">
        <v>35</v>
      </c>
    </row>
    <row r="107" spans="1:12" x14ac:dyDescent="0.25">
      <c r="A107">
        <f t="shared" si="1"/>
        <v>2014</v>
      </c>
      <c r="B107" s="8" t="s">
        <v>200</v>
      </c>
      <c r="C107" t="s">
        <v>16</v>
      </c>
      <c r="D107" t="s">
        <v>197</v>
      </c>
      <c r="E107" s="11">
        <v>41759</v>
      </c>
      <c r="F107" s="11">
        <v>41759</v>
      </c>
      <c r="G107" s="8" t="s">
        <v>65</v>
      </c>
      <c r="H107" t="s">
        <v>168</v>
      </c>
      <c r="J107" t="s">
        <v>169</v>
      </c>
      <c r="K107" s="4">
        <v>96004.61</v>
      </c>
      <c r="L107">
        <v>35</v>
      </c>
    </row>
    <row r="108" spans="1:12" x14ac:dyDescent="0.25">
      <c r="A108">
        <f t="shared" si="1"/>
        <v>2014</v>
      </c>
      <c r="B108" s="8" t="s">
        <v>201</v>
      </c>
      <c r="C108" t="s">
        <v>16</v>
      </c>
      <c r="D108" t="s">
        <v>197</v>
      </c>
      <c r="E108" s="11">
        <v>41759</v>
      </c>
      <c r="F108" s="11">
        <v>41759</v>
      </c>
      <c r="G108" s="8" t="s">
        <v>65</v>
      </c>
      <c r="H108" t="s">
        <v>168</v>
      </c>
      <c r="J108" t="s">
        <v>169</v>
      </c>
      <c r="K108" s="4">
        <v>96004.61</v>
      </c>
      <c r="L108">
        <v>35</v>
      </c>
    </row>
    <row r="109" spans="1:12" x14ac:dyDescent="0.25">
      <c r="A109">
        <f t="shared" si="1"/>
        <v>2014</v>
      </c>
      <c r="B109" s="8" t="s">
        <v>202</v>
      </c>
      <c r="C109" t="s">
        <v>16</v>
      </c>
      <c r="D109" t="s">
        <v>197</v>
      </c>
      <c r="E109" s="11">
        <v>41759</v>
      </c>
      <c r="F109" s="11">
        <v>41759</v>
      </c>
      <c r="G109" s="8" t="s">
        <v>65</v>
      </c>
      <c r="H109" t="s">
        <v>168</v>
      </c>
      <c r="J109" t="s">
        <v>169</v>
      </c>
      <c r="K109" s="4">
        <v>96004.61</v>
      </c>
      <c r="L109">
        <v>35</v>
      </c>
    </row>
    <row r="110" spans="1:12" x14ac:dyDescent="0.25">
      <c r="A110">
        <f t="shared" si="1"/>
        <v>2014</v>
      </c>
      <c r="B110" s="8" t="s">
        <v>203</v>
      </c>
      <c r="C110" t="s">
        <v>16</v>
      </c>
      <c r="D110" t="s">
        <v>204</v>
      </c>
      <c r="E110" s="11">
        <v>41759</v>
      </c>
      <c r="F110" s="11">
        <v>41759</v>
      </c>
      <c r="G110" s="8" t="s">
        <v>65</v>
      </c>
      <c r="H110" t="s">
        <v>168</v>
      </c>
      <c r="J110" t="s">
        <v>169</v>
      </c>
      <c r="K110" s="4">
        <v>45331.87</v>
      </c>
      <c r="L110">
        <v>35</v>
      </c>
    </row>
    <row r="111" spans="1:12" x14ac:dyDescent="0.25">
      <c r="A111">
        <f t="shared" si="1"/>
        <v>2014</v>
      </c>
      <c r="B111" s="8" t="s">
        <v>205</v>
      </c>
      <c r="C111" t="s">
        <v>16</v>
      </c>
      <c r="D111" t="s">
        <v>204</v>
      </c>
      <c r="E111" s="11">
        <v>41759</v>
      </c>
      <c r="F111" s="11">
        <v>41759</v>
      </c>
      <c r="G111" s="8" t="s">
        <v>65</v>
      </c>
      <c r="H111" t="s">
        <v>168</v>
      </c>
      <c r="J111" t="s">
        <v>169</v>
      </c>
      <c r="K111" s="4">
        <v>45331.87</v>
      </c>
      <c r="L111">
        <v>35</v>
      </c>
    </row>
    <row r="112" spans="1:12" x14ac:dyDescent="0.25">
      <c r="A112">
        <f t="shared" si="1"/>
        <v>2014</v>
      </c>
      <c r="B112" s="8" t="s">
        <v>206</v>
      </c>
      <c r="C112" t="s">
        <v>16</v>
      </c>
      <c r="D112" t="s">
        <v>204</v>
      </c>
      <c r="E112" s="11">
        <v>41759</v>
      </c>
      <c r="F112" s="11">
        <v>41759</v>
      </c>
      <c r="G112" s="8" t="s">
        <v>65</v>
      </c>
      <c r="H112" t="s">
        <v>168</v>
      </c>
      <c r="J112" t="s">
        <v>169</v>
      </c>
      <c r="K112" s="4">
        <v>45331.87</v>
      </c>
      <c r="L112">
        <v>35</v>
      </c>
    </row>
    <row r="113" spans="1:12" x14ac:dyDescent="0.25">
      <c r="A113">
        <f t="shared" si="1"/>
        <v>2014</v>
      </c>
      <c r="B113" s="8" t="s">
        <v>207</v>
      </c>
      <c r="C113" t="s">
        <v>16</v>
      </c>
      <c r="D113" t="s">
        <v>204</v>
      </c>
      <c r="E113" s="11">
        <v>41759</v>
      </c>
      <c r="F113" s="11">
        <v>41759</v>
      </c>
      <c r="G113" s="8" t="s">
        <v>65</v>
      </c>
      <c r="H113" t="s">
        <v>168</v>
      </c>
      <c r="J113" t="s">
        <v>169</v>
      </c>
      <c r="K113" s="4">
        <v>45331.87</v>
      </c>
      <c r="L113">
        <v>35</v>
      </c>
    </row>
    <row r="114" spans="1:12" x14ac:dyDescent="0.25">
      <c r="A114">
        <f t="shared" si="1"/>
        <v>2014</v>
      </c>
      <c r="B114" s="8" t="s">
        <v>208</v>
      </c>
      <c r="C114" t="s">
        <v>16</v>
      </c>
      <c r="D114" t="s">
        <v>209</v>
      </c>
      <c r="E114" s="11">
        <v>41759</v>
      </c>
      <c r="F114" s="11">
        <v>41759</v>
      </c>
      <c r="G114" s="8" t="s">
        <v>65</v>
      </c>
      <c r="H114" t="s">
        <v>168</v>
      </c>
      <c r="J114" t="s">
        <v>169</v>
      </c>
      <c r="K114" s="4">
        <v>18654.96</v>
      </c>
      <c r="L114">
        <v>35</v>
      </c>
    </row>
    <row r="115" spans="1:12" x14ac:dyDescent="0.25">
      <c r="A115">
        <f t="shared" si="1"/>
        <v>2014</v>
      </c>
      <c r="B115" s="8" t="s">
        <v>210</v>
      </c>
      <c r="C115" t="s">
        <v>16</v>
      </c>
      <c r="D115" t="s">
        <v>209</v>
      </c>
      <c r="E115" s="11">
        <v>41759</v>
      </c>
      <c r="F115" s="11">
        <v>41759</v>
      </c>
      <c r="G115" s="8" t="s">
        <v>65</v>
      </c>
      <c r="H115" t="s">
        <v>168</v>
      </c>
      <c r="J115" t="s">
        <v>169</v>
      </c>
      <c r="K115" s="4">
        <v>18654.96</v>
      </c>
      <c r="L115">
        <v>35</v>
      </c>
    </row>
    <row r="116" spans="1:12" x14ac:dyDescent="0.25">
      <c r="A116">
        <f t="shared" si="1"/>
        <v>2014</v>
      </c>
      <c r="B116" s="8" t="s">
        <v>211</v>
      </c>
      <c r="C116" t="s">
        <v>16</v>
      </c>
      <c r="D116" t="s">
        <v>209</v>
      </c>
      <c r="E116" s="11">
        <v>41759</v>
      </c>
      <c r="F116" s="11">
        <v>41759</v>
      </c>
      <c r="G116" s="8" t="s">
        <v>65</v>
      </c>
      <c r="H116" t="s">
        <v>168</v>
      </c>
      <c r="J116" t="s">
        <v>169</v>
      </c>
      <c r="K116" s="4">
        <v>18654.96</v>
      </c>
      <c r="L116">
        <v>35</v>
      </c>
    </row>
    <row r="117" spans="1:12" x14ac:dyDescent="0.25">
      <c r="A117">
        <f t="shared" si="1"/>
        <v>2014</v>
      </c>
      <c r="B117" s="8" t="s">
        <v>212</v>
      </c>
      <c r="C117" t="s">
        <v>16</v>
      </c>
      <c r="D117" t="s">
        <v>209</v>
      </c>
      <c r="E117" s="11">
        <v>41759</v>
      </c>
      <c r="F117" s="11">
        <v>41759</v>
      </c>
      <c r="G117" s="8" t="s">
        <v>65</v>
      </c>
      <c r="H117" t="s">
        <v>168</v>
      </c>
      <c r="J117" t="s">
        <v>169</v>
      </c>
      <c r="K117" s="4">
        <v>18654.96</v>
      </c>
      <c r="L117">
        <v>35</v>
      </c>
    </row>
    <row r="118" spans="1:12" x14ac:dyDescent="0.25">
      <c r="A118">
        <f t="shared" si="1"/>
        <v>2014</v>
      </c>
      <c r="B118" s="8" t="s">
        <v>213</v>
      </c>
      <c r="C118" t="s">
        <v>16</v>
      </c>
      <c r="D118" t="s">
        <v>209</v>
      </c>
      <c r="E118" s="11">
        <v>41759</v>
      </c>
      <c r="F118" s="11">
        <v>41759</v>
      </c>
      <c r="G118" s="8" t="s">
        <v>65</v>
      </c>
      <c r="H118" t="s">
        <v>168</v>
      </c>
      <c r="J118" t="s">
        <v>169</v>
      </c>
      <c r="K118" s="4">
        <v>18654.96</v>
      </c>
      <c r="L118">
        <v>35</v>
      </c>
    </row>
    <row r="119" spans="1:12" x14ac:dyDescent="0.25">
      <c r="A119">
        <f t="shared" si="1"/>
        <v>2014</v>
      </c>
      <c r="B119" s="8" t="s">
        <v>214</v>
      </c>
      <c r="C119" t="s">
        <v>16</v>
      </c>
      <c r="D119" t="s">
        <v>209</v>
      </c>
      <c r="E119" s="11">
        <v>41759</v>
      </c>
      <c r="F119" s="11">
        <v>41759</v>
      </c>
      <c r="G119" s="8" t="s">
        <v>65</v>
      </c>
      <c r="H119" t="s">
        <v>168</v>
      </c>
      <c r="J119" t="s">
        <v>169</v>
      </c>
      <c r="K119" s="4">
        <v>18654.96</v>
      </c>
      <c r="L119">
        <v>35</v>
      </c>
    </row>
    <row r="120" spans="1:12" x14ac:dyDescent="0.25">
      <c r="A120">
        <f t="shared" si="1"/>
        <v>2014</v>
      </c>
      <c r="B120" s="8" t="s">
        <v>215</v>
      </c>
      <c r="C120" t="s">
        <v>16</v>
      </c>
      <c r="D120" t="s">
        <v>209</v>
      </c>
      <c r="E120" s="11">
        <v>41759</v>
      </c>
      <c r="F120" s="11">
        <v>41759</v>
      </c>
      <c r="G120" s="8" t="s">
        <v>65</v>
      </c>
      <c r="H120" t="s">
        <v>168</v>
      </c>
      <c r="J120" t="s">
        <v>169</v>
      </c>
      <c r="K120" s="4">
        <v>18654.96</v>
      </c>
      <c r="L120">
        <v>35</v>
      </c>
    </row>
    <row r="121" spans="1:12" x14ac:dyDescent="0.25">
      <c r="A121">
        <f t="shared" si="1"/>
        <v>2014</v>
      </c>
      <c r="B121" s="8" t="s">
        <v>216</v>
      </c>
      <c r="C121" t="s">
        <v>16</v>
      </c>
      <c r="D121" t="s">
        <v>209</v>
      </c>
      <c r="E121" s="11">
        <v>41759</v>
      </c>
      <c r="F121" s="11">
        <v>41759</v>
      </c>
      <c r="G121" s="8" t="s">
        <v>65</v>
      </c>
      <c r="H121" t="s">
        <v>168</v>
      </c>
      <c r="J121" t="s">
        <v>169</v>
      </c>
      <c r="K121" s="4">
        <v>18654.96</v>
      </c>
      <c r="L121">
        <v>35</v>
      </c>
    </row>
    <row r="122" spans="1:12" x14ac:dyDescent="0.25">
      <c r="A122">
        <f t="shared" si="1"/>
        <v>2014</v>
      </c>
      <c r="B122" s="8" t="s">
        <v>217</v>
      </c>
      <c r="C122" t="s">
        <v>16</v>
      </c>
      <c r="D122" t="s">
        <v>209</v>
      </c>
      <c r="E122" s="11">
        <v>41759</v>
      </c>
      <c r="F122" s="11">
        <v>41759</v>
      </c>
      <c r="G122" s="8" t="s">
        <v>65</v>
      </c>
      <c r="H122" t="s">
        <v>168</v>
      </c>
      <c r="J122" t="s">
        <v>169</v>
      </c>
      <c r="K122" s="4">
        <v>18654.96</v>
      </c>
      <c r="L122">
        <v>35</v>
      </c>
    </row>
    <row r="123" spans="1:12" x14ac:dyDescent="0.25">
      <c r="A123">
        <f t="shared" si="1"/>
        <v>2014</v>
      </c>
      <c r="B123" s="8" t="s">
        <v>218</v>
      </c>
      <c r="C123" t="s">
        <v>16</v>
      </c>
      <c r="D123" t="s">
        <v>209</v>
      </c>
      <c r="E123" s="11">
        <v>41759</v>
      </c>
      <c r="F123" s="11">
        <v>41759</v>
      </c>
      <c r="G123" s="8" t="s">
        <v>65</v>
      </c>
      <c r="H123" t="s">
        <v>168</v>
      </c>
      <c r="J123" t="s">
        <v>169</v>
      </c>
      <c r="K123" s="4">
        <v>18654.96</v>
      </c>
      <c r="L123">
        <v>35</v>
      </c>
    </row>
    <row r="124" spans="1:12" x14ac:dyDescent="0.25">
      <c r="A124">
        <f t="shared" si="1"/>
        <v>2014</v>
      </c>
      <c r="B124" s="8" t="s">
        <v>219</v>
      </c>
      <c r="C124" t="s">
        <v>16</v>
      </c>
      <c r="D124" t="s">
        <v>209</v>
      </c>
      <c r="E124" s="11">
        <v>41759</v>
      </c>
      <c r="F124" s="11">
        <v>41759</v>
      </c>
      <c r="G124" s="8" t="s">
        <v>65</v>
      </c>
      <c r="H124" t="s">
        <v>168</v>
      </c>
      <c r="J124" t="s">
        <v>169</v>
      </c>
      <c r="K124" s="4">
        <v>18654.96</v>
      </c>
      <c r="L124">
        <v>35</v>
      </c>
    </row>
    <row r="125" spans="1:12" x14ac:dyDescent="0.25">
      <c r="A125">
        <f t="shared" si="1"/>
        <v>2014</v>
      </c>
      <c r="B125" s="8" t="s">
        <v>220</v>
      </c>
      <c r="C125" t="s">
        <v>16</v>
      </c>
      <c r="D125" t="s">
        <v>209</v>
      </c>
      <c r="E125" s="11">
        <v>41759</v>
      </c>
      <c r="F125" s="11">
        <v>41759</v>
      </c>
      <c r="G125" s="8" t="s">
        <v>65</v>
      </c>
      <c r="H125" t="s">
        <v>168</v>
      </c>
      <c r="J125" t="s">
        <v>169</v>
      </c>
      <c r="K125" s="4">
        <v>18654.96</v>
      </c>
      <c r="L125">
        <v>35</v>
      </c>
    </row>
    <row r="126" spans="1:12" x14ac:dyDescent="0.25">
      <c r="A126">
        <f t="shared" si="1"/>
        <v>2014</v>
      </c>
      <c r="B126" s="8" t="s">
        <v>221</v>
      </c>
      <c r="C126" t="s">
        <v>16</v>
      </c>
      <c r="D126" t="s">
        <v>209</v>
      </c>
      <c r="E126" s="11">
        <v>41759</v>
      </c>
      <c r="F126" s="11">
        <v>41759</v>
      </c>
      <c r="G126" s="8" t="s">
        <v>65</v>
      </c>
      <c r="H126" t="s">
        <v>168</v>
      </c>
      <c r="J126" t="s">
        <v>169</v>
      </c>
      <c r="K126" s="4">
        <v>18654.939999999999</v>
      </c>
      <c r="L126">
        <v>35</v>
      </c>
    </row>
    <row r="127" spans="1:12" x14ac:dyDescent="0.25">
      <c r="A127">
        <f t="shared" si="1"/>
        <v>2014</v>
      </c>
      <c r="B127" s="8" t="s">
        <v>222</v>
      </c>
      <c r="C127" t="s">
        <v>16</v>
      </c>
      <c r="D127" t="s">
        <v>223</v>
      </c>
      <c r="E127" s="11">
        <v>41759</v>
      </c>
      <c r="F127" s="11">
        <v>41759</v>
      </c>
      <c r="G127" s="8" t="s">
        <v>65</v>
      </c>
      <c r="H127" t="s">
        <v>168</v>
      </c>
      <c r="J127" t="s">
        <v>169</v>
      </c>
      <c r="K127" s="4">
        <v>9762.27</v>
      </c>
      <c r="L127">
        <v>35</v>
      </c>
    </row>
    <row r="128" spans="1:12" x14ac:dyDescent="0.25">
      <c r="A128">
        <f t="shared" si="1"/>
        <v>2014</v>
      </c>
      <c r="B128" s="8" t="s">
        <v>224</v>
      </c>
      <c r="C128" t="s">
        <v>16</v>
      </c>
      <c r="D128" t="s">
        <v>223</v>
      </c>
      <c r="E128" s="11">
        <v>41759</v>
      </c>
      <c r="F128" s="11">
        <v>41759</v>
      </c>
      <c r="G128" s="8" t="s">
        <v>65</v>
      </c>
      <c r="H128" t="s">
        <v>168</v>
      </c>
      <c r="J128" t="s">
        <v>169</v>
      </c>
      <c r="K128" s="4">
        <v>9762.27</v>
      </c>
      <c r="L128">
        <v>35</v>
      </c>
    </row>
    <row r="129" spans="1:12" x14ac:dyDescent="0.25">
      <c r="A129">
        <f t="shared" si="1"/>
        <v>2014</v>
      </c>
      <c r="B129" s="8" t="s">
        <v>225</v>
      </c>
      <c r="C129" t="s">
        <v>16</v>
      </c>
      <c r="D129" t="s">
        <v>223</v>
      </c>
      <c r="E129" s="11">
        <v>41759</v>
      </c>
      <c r="F129" s="11">
        <v>41759</v>
      </c>
      <c r="G129" s="8" t="s">
        <v>65</v>
      </c>
      <c r="H129" t="s">
        <v>168</v>
      </c>
      <c r="J129" t="s">
        <v>169</v>
      </c>
      <c r="K129" s="4">
        <v>9762.27</v>
      </c>
      <c r="L129">
        <v>35</v>
      </c>
    </row>
    <row r="130" spans="1:12" x14ac:dyDescent="0.25">
      <c r="A130">
        <f t="shared" si="1"/>
        <v>2014</v>
      </c>
      <c r="B130" s="8" t="s">
        <v>226</v>
      </c>
      <c r="C130" t="s">
        <v>16</v>
      </c>
      <c r="D130" t="s">
        <v>223</v>
      </c>
      <c r="E130" s="11">
        <v>41759</v>
      </c>
      <c r="F130" s="11">
        <v>41759</v>
      </c>
      <c r="G130" s="8" t="s">
        <v>65</v>
      </c>
      <c r="H130" t="s">
        <v>168</v>
      </c>
      <c r="J130" t="s">
        <v>169</v>
      </c>
      <c r="K130" s="4">
        <v>9762.27</v>
      </c>
      <c r="L130">
        <v>35</v>
      </c>
    </row>
    <row r="131" spans="1:12" x14ac:dyDescent="0.25">
      <c r="A131">
        <f t="shared" si="1"/>
        <v>2014</v>
      </c>
      <c r="B131" s="8" t="s">
        <v>227</v>
      </c>
      <c r="C131" t="s">
        <v>16</v>
      </c>
      <c r="D131" t="s">
        <v>223</v>
      </c>
      <c r="E131" s="11">
        <v>41759</v>
      </c>
      <c r="F131" s="11">
        <v>41759</v>
      </c>
      <c r="G131" s="8" t="s">
        <v>65</v>
      </c>
      <c r="H131" t="s">
        <v>168</v>
      </c>
      <c r="J131" t="s">
        <v>169</v>
      </c>
      <c r="K131" s="4">
        <v>9762.27</v>
      </c>
      <c r="L131">
        <v>35</v>
      </c>
    </row>
    <row r="132" spans="1:12" x14ac:dyDescent="0.25">
      <c r="A132">
        <f t="shared" si="1"/>
        <v>2014</v>
      </c>
      <c r="B132" s="8" t="s">
        <v>228</v>
      </c>
      <c r="C132" t="s">
        <v>16</v>
      </c>
      <c r="D132" t="s">
        <v>223</v>
      </c>
      <c r="E132" s="11">
        <v>41759</v>
      </c>
      <c r="F132" s="11">
        <v>41759</v>
      </c>
      <c r="G132" s="8" t="s">
        <v>65</v>
      </c>
      <c r="H132" t="s">
        <v>168</v>
      </c>
      <c r="J132" t="s">
        <v>169</v>
      </c>
      <c r="K132" s="4">
        <v>9762.27</v>
      </c>
      <c r="L132">
        <v>35</v>
      </c>
    </row>
    <row r="133" spans="1:12" x14ac:dyDescent="0.25">
      <c r="A133">
        <f t="shared" si="1"/>
        <v>2014</v>
      </c>
      <c r="B133" s="8" t="s">
        <v>229</v>
      </c>
      <c r="C133" t="s">
        <v>16</v>
      </c>
      <c r="D133" t="s">
        <v>223</v>
      </c>
      <c r="E133" s="11">
        <v>41759</v>
      </c>
      <c r="F133" s="11">
        <v>41759</v>
      </c>
      <c r="G133" s="8" t="s">
        <v>65</v>
      </c>
      <c r="H133" t="s">
        <v>168</v>
      </c>
      <c r="J133" t="s">
        <v>169</v>
      </c>
      <c r="K133" s="4">
        <v>9762.27</v>
      </c>
      <c r="L133">
        <v>35</v>
      </c>
    </row>
    <row r="134" spans="1:12" x14ac:dyDescent="0.25">
      <c r="A134">
        <f t="shared" si="1"/>
        <v>2014</v>
      </c>
      <c r="B134" s="8" t="s">
        <v>230</v>
      </c>
      <c r="C134" t="s">
        <v>16</v>
      </c>
      <c r="D134" t="s">
        <v>223</v>
      </c>
      <c r="E134" s="11">
        <v>41759</v>
      </c>
      <c r="F134" s="11">
        <v>41759</v>
      </c>
      <c r="G134" s="8" t="s">
        <v>65</v>
      </c>
      <c r="H134" t="s">
        <v>168</v>
      </c>
      <c r="J134" t="s">
        <v>169</v>
      </c>
      <c r="K134" s="4">
        <v>9762.27</v>
      </c>
      <c r="L134">
        <v>35</v>
      </c>
    </row>
    <row r="135" spans="1:12" x14ac:dyDescent="0.25">
      <c r="A135">
        <f t="shared" si="1"/>
        <v>2014</v>
      </c>
      <c r="B135" s="8" t="s">
        <v>231</v>
      </c>
      <c r="C135" t="s">
        <v>16</v>
      </c>
      <c r="D135" t="s">
        <v>223</v>
      </c>
      <c r="E135" s="11">
        <v>41759</v>
      </c>
      <c r="F135" s="11">
        <v>41759</v>
      </c>
      <c r="G135" s="8" t="s">
        <v>65</v>
      </c>
      <c r="H135" t="s">
        <v>168</v>
      </c>
      <c r="J135" t="s">
        <v>169</v>
      </c>
      <c r="K135" s="4">
        <v>9762.27</v>
      </c>
      <c r="L135">
        <v>35</v>
      </c>
    </row>
    <row r="136" spans="1:12" x14ac:dyDescent="0.25">
      <c r="A136">
        <f t="shared" si="1"/>
        <v>2014</v>
      </c>
      <c r="B136" s="8" t="s">
        <v>232</v>
      </c>
      <c r="C136" t="s">
        <v>16</v>
      </c>
      <c r="D136" t="s">
        <v>223</v>
      </c>
      <c r="E136" s="11">
        <v>41759</v>
      </c>
      <c r="F136" s="11">
        <v>41759</v>
      </c>
      <c r="G136" s="8" t="s">
        <v>65</v>
      </c>
      <c r="H136" t="s">
        <v>168</v>
      </c>
      <c r="J136" t="s">
        <v>169</v>
      </c>
      <c r="K136" s="4">
        <v>9762.27</v>
      </c>
      <c r="L136">
        <v>35</v>
      </c>
    </row>
    <row r="137" spans="1:12" x14ac:dyDescent="0.25">
      <c r="A137">
        <f t="shared" si="1"/>
        <v>2014</v>
      </c>
      <c r="B137" s="8" t="s">
        <v>233</v>
      </c>
      <c r="C137" t="s">
        <v>16</v>
      </c>
      <c r="D137" t="s">
        <v>223</v>
      </c>
      <c r="E137" s="11">
        <v>41759</v>
      </c>
      <c r="F137" s="11">
        <v>41759</v>
      </c>
      <c r="G137" s="8" t="s">
        <v>65</v>
      </c>
      <c r="H137" t="s">
        <v>168</v>
      </c>
      <c r="J137" t="s">
        <v>169</v>
      </c>
      <c r="K137" s="4">
        <v>9762.3000000000011</v>
      </c>
      <c r="L137">
        <v>35</v>
      </c>
    </row>
    <row r="138" spans="1:12" x14ac:dyDescent="0.25">
      <c r="A138">
        <f t="shared" si="1"/>
        <v>2014</v>
      </c>
      <c r="B138" s="8" t="s">
        <v>234</v>
      </c>
      <c r="C138" t="s">
        <v>81</v>
      </c>
      <c r="D138" t="s">
        <v>235</v>
      </c>
      <c r="E138" s="11">
        <v>41759</v>
      </c>
      <c r="F138" s="11">
        <v>41759</v>
      </c>
      <c r="G138" s="8" t="s">
        <v>65</v>
      </c>
      <c r="H138" t="s">
        <v>168</v>
      </c>
      <c r="J138" t="s">
        <v>169</v>
      </c>
      <c r="K138" s="4">
        <v>22230.49</v>
      </c>
      <c r="L138">
        <v>35</v>
      </c>
    </row>
    <row r="139" spans="1:12" x14ac:dyDescent="0.25">
      <c r="A139">
        <f t="shared" si="1"/>
        <v>2014</v>
      </c>
      <c r="B139" s="8" t="s">
        <v>236</v>
      </c>
      <c r="C139" t="s">
        <v>81</v>
      </c>
      <c r="D139" t="s">
        <v>235</v>
      </c>
      <c r="E139" s="11">
        <v>41759</v>
      </c>
      <c r="F139" s="11">
        <v>41759</v>
      </c>
      <c r="G139" s="8" t="s">
        <v>65</v>
      </c>
      <c r="H139" t="s">
        <v>168</v>
      </c>
      <c r="J139" t="s">
        <v>169</v>
      </c>
      <c r="K139" s="4">
        <v>22230.49</v>
      </c>
      <c r="L139">
        <v>35</v>
      </c>
    </row>
    <row r="140" spans="1:12" x14ac:dyDescent="0.25">
      <c r="A140">
        <f t="shared" ref="A140:A203" si="2">+YEAR(E140)</f>
        <v>2014</v>
      </c>
      <c r="B140" s="8" t="s">
        <v>237</v>
      </c>
      <c r="C140" t="s">
        <v>81</v>
      </c>
      <c r="D140" t="s">
        <v>235</v>
      </c>
      <c r="E140" s="11">
        <v>41759</v>
      </c>
      <c r="F140" s="11">
        <v>41759</v>
      </c>
      <c r="G140" s="8" t="s">
        <v>65</v>
      </c>
      <c r="H140" t="s">
        <v>168</v>
      </c>
      <c r="J140" t="s">
        <v>169</v>
      </c>
      <c r="K140" s="4">
        <v>22230.49</v>
      </c>
      <c r="L140">
        <v>35</v>
      </c>
    </row>
    <row r="141" spans="1:12" x14ac:dyDescent="0.25">
      <c r="A141">
        <f t="shared" si="2"/>
        <v>2014</v>
      </c>
      <c r="B141" s="8" t="s">
        <v>238</v>
      </c>
      <c r="C141" t="s">
        <v>16</v>
      </c>
      <c r="D141" t="s">
        <v>175</v>
      </c>
      <c r="E141" s="11">
        <v>41759</v>
      </c>
      <c r="F141" s="11">
        <v>41759</v>
      </c>
      <c r="G141" s="8" t="s">
        <v>65</v>
      </c>
      <c r="H141" t="s">
        <v>168</v>
      </c>
      <c r="J141" t="s">
        <v>169</v>
      </c>
      <c r="K141" s="4">
        <v>217257.54</v>
      </c>
      <c r="L141">
        <v>35</v>
      </c>
    </row>
    <row r="142" spans="1:12" x14ac:dyDescent="0.25">
      <c r="A142">
        <f t="shared" si="2"/>
        <v>2014</v>
      </c>
      <c r="B142" s="8" t="s">
        <v>239</v>
      </c>
      <c r="C142" t="s">
        <v>16</v>
      </c>
      <c r="D142" t="s">
        <v>175</v>
      </c>
      <c r="E142" s="11">
        <v>41759</v>
      </c>
      <c r="F142" s="11">
        <v>41759</v>
      </c>
      <c r="G142" s="8" t="s">
        <v>65</v>
      </c>
      <c r="H142" t="s">
        <v>168</v>
      </c>
      <c r="J142" t="s">
        <v>169</v>
      </c>
      <c r="K142" s="4">
        <v>217257.55000000002</v>
      </c>
      <c r="L142">
        <v>35</v>
      </c>
    </row>
    <row r="143" spans="1:12" x14ac:dyDescent="0.25">
      <c r="A143">
        <f t="shared" si="2"/>
        <v>2014</v>
      </c>
      <c r="B143" s="8" t="s">
        <v>240</v>
      </c>
      <c r="C143" t="s">
        <v>16</v>
      </c>
      <c r="D143" t="s">
        <v>197</v>
      </c>
      <c r="E143" s="11">
        <v>41759</v>
      </c>
      <c r="F143" s="11">
        <v>41759</v>
      </c>
      <c r="G143" s="8" t="s">
        <v>65</v>
      </c>
      <c r="H143" t="s">
        <v>168</v>
      </c>
      <c r="J143" t="s">
        <v>169</v>
      </c>
      <c r="K143" s="4">
        <v>96004.61</v>
      </c>
      <c r="L143">
        <v>35</v>
      </c>
    </row>
    <row r="144" spans="1:12" x14ac:dyDescent="0.25">
      <c r="A144">
        <f t="shared" si="2"/>
        <v>2014</v>
      </c>
      <c r="B144" s="8" t="s">
        <v>241</v>
      </c>
      <c r="C144" t="s">
        <v>16</v>
      </c>
      <c r="D144" t="s">
        <v>242</v>
      </c>
      <c r="E144" s="11">
        <v>41759</v>
      </c>
      <c r="F144" s="11">
        <v>41759</v>
      </c>
      <c r="G144" s="8" t="s">
        <v>65</v>
      </c>
      <c r="H144" t="s">
        <v>168</v>
      </c>
      <c r="J144" t="s">
        <v>169</v>
      </c>
      <c r="K144" s="4">
        <v>11694.44</v>
      </c>
      <c r="L144">
        <v>35</v>
      </c>
    </row>
    <row r="145" spans="1:12" x14ac:dyDescent="0.25">
      <c r="A145">
        <f t="shared" si="2"/>
        <v>2014</v>
      </c>
      <c r="B145" s="8" t="s">
        <v>243</v>
      </c>
      <c r="C145" t="s">
        <v>16</v>
      </c>
      <c r="D145" t="s">
        <v>242</v>
      </c>
      <c r="E145" s="11">
        <v>41759</v>
      </c>
      <c r="F145" s="11">
        <v>41759</v>
      </c>
      <c r="G145" s="8" t="s">
        <v>65</v>
      </c>
      <c r="H145" t="s">
        <v>168</v>
      </c>
      <c r="J145" t="s">
        <v>169</v>
      </c>
      <c r="K145" s="4">
        <v>11694.44</v>
      </c>
      <c r="L145">
        <v>35</v>
      </c>
    </row>
    <row r="146" spans="1:12" x14ac:dyDescent="0.25">
      <c r="A146">
        <f t="shared" si="2"/>
        <v>2014</v>
      </c>
      <c r="B146" s="8" t="s">
        <v>244</v>
      </c>
      <c r="C146" t="s">
        <v>16</v>
      </c>
      <c r="D146" t="s">
        <v>197</v>
      </c>
      <c r="E146" s="11">
        <v>41759</v>
      </c>
      <c r="F146" s="11">
        <v>41759</v>
      </c>
      <c r="G146" s="8" t="s">
        <v>65</v>
      </c>
      <c r="H146" t="s">
        <v>168</v>
      </c>
      <c r="J146" t="s">
        <v>169</v>
      </c>
      <c r="K146" s="4">
        <v>96004.61</v>
      </c>
      <c r="L146">
        <v>35</v>
      </c>
    </row>
    <row r="147" spans="1:12" x14ac:dyDescent="0.25">
      <c r="A147">
        <f t="shared" si="2"/>
        <v>2014</v>
      </c>
      <c r="B147" s="8" t="s">
        <v>245</v>
      </c>
      <c r="C147" t="s">
        <v>16</v>
      </c>
      <c r="D147" t="s">
        <v>242</v>
      </c>
      <c r="E147" s="11">
        <v>41759</v>
      </c>
      <c r="F147" s="11">
        <v>41759</v>
      </c>
      <c r="G147" s="8" t="s">
        <v>65</v>
      </c>
      <c r="H147" t="s">
        <v>168</v>
      </c>
      <c r="J147" t="s">
        <v>169</v>
      </c>
      <c r="K147" s="4">
        <v>11694.44</v>
      </c>
      <c r="L147">
        <v>35</v>
      </c>
    </row>
    <row r="148" spans="1:12" x14ac:dyDescent="0.25">
      <c r="A148">
        <f t="shared" si="2"/>
        <v>2014</v>
      </c>
      <c r="B148" s="8" t="s">
        <v>246</v>
      </c>
      <c r="C148" t="s">
        <v>16</v>
      </c>
      <c r="D148" t="s">
        <v>242</v>
      </c>
      <c r="E148" s="11">
        <v>41759</v>
      </c>
      <c r="F148" s="11">
        <v>41759</v>
      </c>
      <c r="G148" s="8" t="s">
        <v>65</v>
      </c>
      <c r="H148" t="s">
        <v>168</v>
      </c>
      <c r="J148" t="s">
        <v>169</v>
      </c>
      <c r="K148" s="4">
        <v>11694.44</v>
      </c>
      <c r="L148">
        <v>35</v>
      </c>
    </row>
    <row r="149" spans="1:12" x14ac:dyDescent="0.25">
      <c r="A149">
        <f t="shared" si="2"/>
        <v>2014</v>
      </c>
      <c r="B149" s="8" t="s">
        <v>247</v>
      </c>
      <c r="C149" t="s">
        <v>16</v>
      </c>
      <c r="D149" t="s">
        <v>197</v>
      </c>
      <c r="E149" s="11">
        <v>41759</v>
      </c>
      <c r="F149" s="11">
        <v>41759</v>
      </c>
      <c r="G149" s="8" t="s">
        <v>65</v>
      </c>
      <c r="H149" t="s">
        <v>168</v>
      </c>
      <c r="J149" t="s">
        <v>169</v>
      </c>
      <c r="K149" s="4">
        <v>96004.61</v>
      </c>
      <c r="L149">
        <v>35</v>
      </c>
    </row>
    <row r="150" spans="1:12" x14ac:dyDescent="0.25">
      <c r="A150">
        <f t="shared" si="2"/>
        <v>2014</v>
      </c>
      <c r="B150" s="8" t="s">
        <v>248</v>
      </c>
      <c r="C150" t="s">
        <v>16</v>
      </c>
      <c r="D150" t="s">
        <v>242</v>
      </c>
      <c r="E150" s="11">
        <v>41759</v>
      </c>
      <c r="F150" s="11">
        <v>41759</v>
      </c>
      <c r="G150" s="8" t="s">
        <v>65</v>
      </c>
      <c r="H150" t="s">
        <v>168</v>
      </c>
      <c r="J150" t="s">
        <v>169</v>
      </c>
      <c r="K150" s="4">
        <v>11694.44</v>
      </c>
      <c r="L150">
        <v>35</v>
      </c>
    </row>
    <row r="151" spans="1:12" x14ac:dyDescent="0.25">
      <c r="A151">
        <f t="shared" si="2"/>
        <v>2014</v>
      </c>
      <c r="B151" s="8" t="s">
        <v>249</v>
      </c>
      <c r="C151" t="s">
        <v>16</v>
      </c>
      <c r="D151" t="s">
        <v>242</v>
      </c>
      <c r="E151" s="11">
        <v>41759</v>
      </c>
      <c r="F151" s="11">
        <v>41759</v>
      </c>
      <c r="G151" s="8" t="s">
        <v>65</v>
      </c>
      <c r="H151" t="s">
        <v>168</v>
      </c>
      <c r="J151" t="s">
        <v>169</v>
      </c>
      <c r="K151" s="4">
        <v>11694.44</v>
      </c>
      <c r="L151">
        <v>35</v>
      </c>
    </row>
    <row r="152" spans="1:12" x14ac:dyDescent="0.25">
      <c r="A152">
        <f t="shared" si="2"/>
        <v>2014</v>
      </c>
      <c r="B152" s="8" t="s">
        <v>250</v>
      </c>
      <c r="C152" t="s">
        <v>16</v>
      </c>
      <c r="D152" t="s">
        <v>197</v>
      </c>
      <c r="E152" s="11">
        <v>41759</v>
      </c>
      <c r="F152" s="11">
        <v>41759</v>
      </c>
      <c r="G152" s="8" t="s">
        <v>65</v>
      </c>
      <c r="H152" t="s">
        <v>168</v>
      </c>
      <c r="J152" t="s">
        <v>169</v>
      </c>
      <c r="K152" s="4">
        <v>96004.61</v>
      </c>
      <c r="L152">
        <v>35</v>
      </c>
    </row>
    <row r="153" spans="1:12" x14ac:dyDescent="0.25">
      <c r="A153">
        <f t="shared" si="2"/>
        <v>2014</v>
      </c>
      <c r="B153" s="8" t="s">
        <v>251</v>
      </c>
      <c r="C153" t="s">
        <v>16</v>
      </c>
      <c r="D153" t="s">
        <v>197</v>
      </c>
      <c r="E153" s="11">
        <v>41759</v>
      </c>
      <c r="F153" s="11">
        <v>41759</v>
      </c>
      <c r="G153" s="8" t="s">
        <v>65</v>
      </c>
      <c r="H153" t="s">
        <v>168</v>
      </c>
      <c r="J153" t="s">
        <v>169</v>
      </c>
      <c r="K153" s="4">
        <v>96004.61</v>
      </c>
      <c r="L153">
        <v>35</v>
      </c>
    </row>
    <row r="154" spans="1:12" x14ac:dyDescent="0.25">
      <c r="A154">
        <f t="shared" si="2"/>
        <v>2014</v>
      </c>
      <c r="B154" s="8" t="s">
        <v>252</v>
      </c>
      <c r="C154" t="s">
        <v>16</v>
      </c>
      <c r="D154" t="s">
        <v>197</v>
      </c>
      <c r="E154" s="11">
        <v>41759</v>
      </c>
      <c r="F154" s="11">
        <v>41759</v>
      </c>
      <c r="G154" s="8" t="s">
        <v>65</v>
      </c>
      <c r="H154" t="s">
        <v>168</v>
      </c>
      <c r="J154" t="s">
        <v>169</v>
      </c>
      <c r="K154" s="4">
        <v>96004.55</v>
      </c>
      <c r="L154">
        <v>35</v>
      </c>
    </row>
    <row r="155" spans="1:12" x14ac:dyDescent="0.25">
      <c r="A155">
        <f t="shared" si="2"/>
        <v>2014</v>
      </c>
      <c r="B155" s="8" t="s">
        <v>253</v>
      </c>
      <c r="C155" t="s">
        <v>81</v>
      </c>
      <c r="D155" t="s">
        <v>235</v>
      </c>
      <c r="E155" s="11">
        <v>41759</v>
      </c>
      <c r="F155" s="11">
        <v>41759</v>
      </c>
      <c r="G155" s="8" t="s">
        <v>65</v>
      </c>
      <c r="H155" t="s">
        <v>168</v>
      </c>
      <c r="J155" t="s">
        <v>169</v>
      </c>
      <c r="K155" s="4">
        <v>22230.49</v>
      </c>
      <c r="L155">
        <v>35</v>
      </c>
    </row>
    <row r="156" spans="1:12" x14ac:dyDescent="0.25">
      <c r="A156">
        <f t="shared" si="2"/>
        <v>2014</v>
      </c>
      <c r="B156" s="8" t="s">
        <v>254</v>
      </c>
      <c r="C156" t="s">
        <v>81</v>
      </c>
      <c r="D156" t="s">
        <v>235</v>
      </c>
      <c r="E156" s="11">
        <v>41759</v>
      </c>
      <c r="F156" s="11">
        <v>41759</v>
      </c>
      <c r="G156" s="8" t="s">
        <v>65</v>
      </c>
      <c r="H156" t="s">
        <v>168</v>
      </c>
      <c r="J156" t="s">
        <v>169</v>
      </c>
      <c r="K156" s="4">
        <v>22230.49</v>
      </c>
      <c r="L156">
        <v>35</v>
      </c>
    </row>
    <row r="157" spans="1:12" x14ac:dyDescent="0.25">
      <c r="A157">
        <f t="shared" si="2"/>
        <v>2014</v>
      </c>
      <c r="B157" s="8" t="s">
        <v>255</v>
      </c>
      <c r="C157" t="s">
        <v>81</v>
      </c>
      <c r="D157" t="s">
        <v>235</v>
      </c>
      <c r="E157" s="11">
        <v>41759</v>
      </c>
      <c r="F157" s="11">
        <v>41759</v>
      </c>
      <c r="G157" s="8" t="s">
        <v>65</v>
      </c>
      <c r="H157" t="s">
        <v>168</v>
      </c>
      <c r="J157" t="s">
        <v>169</v>
      </c>
      <c r="K157" s="4">
        <v>22230.5</v>
      </c>
      <c r="L157">
        <v>35</v>
      </c>
    </row>
    <row r="158" spans="1:12" s="3" customFormat="1" x14ac:dyDescent="0.25">
      <c r="A158">
        <f t="shared" si="2"/>
        <v>2013</v>
      </c>
      <c r="B158" s="12">
        <v>55152</v>
      </c>
      <c r="C158" s="3" t="s">
        <v>81</v>
      </c>
      <c r="D158" s="3" t="s">
        <v>94</v>
      </c>
      <c r="E158" s="13">
        <v>41608</v>
      </c>
      <c r="F158" s="13">
        <v>41608</v>
      </c>
      <c r="G158" s="12" t="s">
        <v>65</v>
      </c>
      <c r="H158" s="3" t="s">
        <v>95</v>
      </c>
      <c r="J158" s="3" t="s">
        <v>88</v>
      </c>
      <c r="K158" s="6">
        <v>-149817.49</v>
      </c>
      <c r="L158" s="3">
        <v>35</v>
      </c>
    </row>
    <row r="159" spans="1:12" s="3" customFormat="1" x14ac:dyDescent="0.25">
      <c r="A159">
        <f t="shared" si="2"/>
        <v>2013</v>
      </c>
      <c r="B159" s="12">
        <v>55153</v>
      </c>
      <c r="C159" s="3" t="s">
        <v>81</v>
      </c>
      <c r="D159" s="3" t="s">
        <v>96</v>
      </c>
      <c r="E159" s="13">
        <v>41608</v>
      </c>
      <c r="F159" s="13">
        <v>41608</v>
      </c>
      <c r="G159" s="12" t="s">
        <v>65</v>
      </c>
      <c r="H159" s="3" t="s">
        <v>90</v>
      </c>
      <c r="J159" s="3" t="s">
        <v>91</v>
      </c>
      <c r="K159" s="6">
        <v>-200000</v>
      </c>
      <c r="L159" s="3">
        <v>35</v>
      </c>
    </row>
    <row r="160" spans="1:12" s="3" customFormat="1" x14ac:dyDescent="0.25">
      <c r="A160">
        <f t="shared" si="2"/>
        <v>2014</v>
      </c>
      <c r="B160" s="12">
        <v>60515</v>
      </c>
      <c r="C160" s="3" t="s">
        <v>16</v>
      </c>
      <c r="D160" s="3" t="s">
        <v>256</v>
      </c>
      <c r="E160" s="13">
        <v>42004</v>
      </c>
      <c r="F160" s="13">
        <v>42004</v>
      </c>
      <c r="G160" s="12" t="s">
        <v>65</v>
      </c>
      <c r="H160" s="3" t="s">
        <v>122</v>
      </c>
      <c r="J160" s="3" t="s">
        <v>123</v>
      </c>
      <c r="K160" s="6">
        <v>0</v>
      </c>
      <c r="L160" s="3">
        <v>35</v>
      </c>
    </row>
    <row r="161" spans="1:12" s="3" customFormat="1" x14ac:dyDescent="0.25">
      <c r="A161">
        <f t="shared" si="2"/>
        <v>2014</v>
      </c>
      <c r="B161" s="12">
        <v>60515</v>
      </c>
      <c r="C161" s="3" t="s">
        <v>16</v>
      </c>
      <c r="D161" s="3" t="s">
        <v>257</v>
      </c>
      <c r="E161" s="13">
        <v>42004</v>
      </c>
      <c r="F161" s="13">
        <v>42004</v>
      </c>
      <c r="G161" s="12" t="s">
        <v>65</v>
      </c>
      <c r="H161" s="3" t="s">
        <v>258</v>
      </c>
      <c r="J161" s="3" t="s">
        <v>123</v>
      </c>
      <c r="K161" s="6">
        <v>-114606.89</v>
      </c>
    </row>
    <row r="162" spans="1:12" s="3" customFormat="1" x14ac:dyDescent="0.25">
      <c r="A162">
        <f t="shared" si="2"/>
        <v>2014</v>
      </c>
      <c r="B162" s="12">
        <v>60516</v>
      </c>
      <c r="C162" s="3" t="s">
        <v>16</v>
      </c>
      <c r="D162" s="3" t="s">
        <v>259</v>
      </c>
      <c r="E162" s="13">
        <v>42004</v>
      </c>
      <c r="F162" s="13">
        <v>42004</v>
      </c>
      <c r="G162" s="12" t="s">
        <v>65</v>
      </c>
      <c r="H162" s="3" t="s">
        <v>122</v>
      </c>
      <c r="J162" s="3" t="s">
        <v>123</v>
      </c>
      <c r="K162" s="6">
        <v>0</v>
      </c>
      <c r="L162" s="3">
        <v>35</v>
      </c>
    </row>
    <row r="163" spans="1:12" s="3" customFormat="1" x14ac:dyDescent="0.25">
      <c r="A163">
        <f t="shared" si="2"/>
        <v>2014</v>
      </c>
      <c r="B163" s="12">
        <v>60516</v>
      </c>
      <c r="C163" s="3" t="s">
        <v>16</v>
      </c>
      <c r="D163" s="3" t="s">
        <v>257</v>
      </c>
      <c r="E163" s="13">
        <v>42004</v>
      </c>
      <c r="F163" s="13">
        <v>42004</v>
      </c>
      <c r="G163" s="12" t="s">
        <v>65</v>
      </c>
      <c r="H163" s="3" t="s">
        <v>260</v>
      </c>
      <c r="J163" s="3" t="s">
        <v>123</v>
      </c>
      <c r="K163" s="6">
        <v>-375578.4</v>
      </c>
    </row>
    <row r="164" spans="1:12" x14ac:dyDescent="0.25">
      <c r="A164">
        <f t="shared" si="2"/>
        <v>2015</v>
      </c>
      <c r="B164" s="8">
        <v>63515</v>
      </c>
      <c r="C164" t="s">
        <v>16</v>
      </c>
      <c r="D164" t="s">
        <v>261</v>
      </c>
      <c r="E164" s="11">
        <v>42035</v>
      </c>
      <c r="F164" s="11">
        <v>42035</v>
      </c>
      <c r="G164" s="11">
        <v>42506</v>
      </c>
      <c r="H164" t="s">
        <v>262</v>
      </c>
      <c r="J164" s="4" t="s">
        <v>263</v>
      </c>
      <c r="K164" s="4">
        <v>56536.53</v>
      </c>
      <c r="L164">
        <v>35</v>
      </c>
    </row>
    <row r="165" spans="1:12" x14ac:dyDescent="0.25">
      <c r="A165">
        <f t="shared" si="2"/>
        <v>2015</v>
      </c>
      <c r="B165" s="8">
        <v>63517</v>
      </c>
      <c r="C165" t="s">
        <v>16</v>
      </c>
      <c r="D165" t="s">
        <v>264</v>
      </c>
      <c r="E165" s="11">
        <v>42035</v>
      </c>
      <c r="F165" s="11">
        <v>42035</v>
      </c>
      <c r="G165" s="11">
        <v>42506</v>
      </c>
      <c r="H165" t="s">
        <v>262</v>
      </c>
      <c r="J165" s="4" t="s">
        <v>263</v>
      </c>
      <c r="K165" s="4">
        <v>65315.92</v>
      </c>
      <c r="L165">
        <v>35</v>
      </c>
    </row>
    <row r="166" spans="1:12" x14ac:dyDescent="0.25">
      <c r="A166">
        <f t="shared" si="2"/>
        <v>2015</v>
      </c>
      <c r="B166" s="8">
        <v>63520</v>
      </c>
      <c r="C166" t="s">
        <v>16</v>
      </c>
      <c r="D166" t="s">
        <v>265</v>
      </c>
      <c r="E166" s="11">
        <v>42035</v>
      </c>
      <c r="F166" s="11">
        <v>42035</v>
      </c>
      <c r="G166" s="11">
        <v>42506</v>
      </c>
      <c r="H166" t="s">
        <v>262</v>
      </c>
      <c r="J166" s="4" t="s">
        <v>263</v>
      </c>
      <c r="K166" s="4">
        <v>479578.27</v>
      </c>
      <c r="L166">
        <v>35</v>
      </c>
    </row>
    <row r="167" spans="1:12" x14ac:dyDescent="0.25">
      <c r="A167">
        <f t="shared" si="2"/>
        <v>2015</v>
      </c>
      <c r="B167" s="8">
        <v>63524</v>
      </c>
      <c r="C167" t="s">
        <v>16</v>
      </c>
      <c r="D167" t="s">
        <v>266</v>
      </c>
      <c r="E167" s="11">
        <v>42035</v>
      </c>
      <c r="F167" s="11">
        <v>42035</v>
      </c>
      <c r="G167" s="11">
        <v>42506</v>
      </c>
      <c r="H167" t="s">
        <v>262</v>
      </c>
      <c r="J167" s="4" t="s">
        <v>263</v>
      </c>
      <c r="K167" s="4">
        <v>68452.820000000007</v>
      </c>
      <c r="L167">
        <v>35</v>
      </c>
    </row>
    <row r="168" spans="1:12" x14ac:dyDescent="0.25">
      <c r="A168">
        <f t="shared" si="2"/>
        <v>2015</v>
      </c>
      <c r="B168" s="8">
        <v>63526</v>
      </c>
      <c r="C168" t="s">
        <v>16</v>
      </c>
      <c r="D168" t="s">
        <v>267</v>
      </c>
      <c r="E168" s="11">
        <v>42035</v>
      </c>
      <c r="F168" s="11">
        <v>42035</v>
      </c>
      <c r="G168" s="11">
        <v>42506</v>
      </c>
      <c r="H168" t="s">
        <v>262</v>
      </c>
      <c r="J168" s="4" t="s">
        <v>263</v>
      </c>
      <c r="K168" s="4">
        <v>58200</v>
      </c>
      <c r="L168">
        <v>35</v>
      </c>
    </row>
    <row r="169" spans="1:12" x14ac:dyDescent="0.25">
      <c r="A169">
        <f t="shared" si="2"/>
        <v>2015</v>
      </c>
      <c r="B169" s="8">
        <v>63528</v>
      </c>
      <c r="C169" t="s">
        <v>16</v>
      </c>
      <c r="D169" t="s">
        <v>268</v>
      </c>
      <c r="E169" s="11">
        <v>42035</v>
      </c>
      <c r="F169" s="11">
        <v>42035</v>
      </c>
      <c r="G169" s="11">
        <v>42506</v>
      </c>
      <c r="H169" t="s">
        <v>262</v>
      </c>
      <c r="J169" s="4" t="s">
        <v>263</v>
      </c>
      <c r="K169" s="4">
        <v>253672.9</v>
      </c>
      <c r="L169">
        <v>35</v>
      </c>
    </row>
    <row r="170" spans="1:12" x14ac:dyDescent="0.25">
      <c r="A170">
        <f t="shared" si="2"/>
        <v>2015</v>
      </c>
      <c r="B170" s="8">
        <v>63531</v>
      </c>
      <c r="C170" t="s">
        <v>16</v>
      </c>
      <c r="D170" t="s">
        <v>269</v>
      </c>
      <c r="E170" s="11">
        <v>42035</v>
      </c>
      <c r="F170" s="11">
        <v>42035</v>
      </c>
      <c r="G170" s="11">
        <v>42506</v>
      </c>
      <c r="H170" t="s">
        <v>262</v>
      </c>
      <c r="J170" s="4" t="s">
        <v>263</v>
      </c>
      <c r="K170" s="4">
        <v>12685.95</v>
      </c>
      <c r="L170">
        <v>35</v>
      </c>
    </row>
    <row r="171" spans="1:12" x14ac:dyDescent="0.25">
      <c r="A171">
        <f t="shared" si="2"/>
        <v>2015</v>
      </c>
      <c r="B171" s="8">
        <v>63532</v>
      </c>
      <c r="C171" t="s">
        <v>16</v>
      </c>
      <c r="D171" t="s">
        <v>269</v>
      </c>
      <c r="E171" s="11">
        <v>42035</v>
      </c>
      <c r="F171" s="11">
        <v>42035</v>
      </c>
      <c r="G171" s="11">
        <v>42506</v>
      </c>
      <c r="H171" t="s">
        <v>262</v>
      </c>
      <c r="J171" s="4" t="s">
        <v>263</v>
      </c>
      <c r="K171" s="4">
        <v>12685.95</v>
      </c>
      <c r="L171">
        <v>35</v>
      </c>
    </row>
    <row r="172" spans="1:12" x14ac:dyDescent="0.25">
      <c r="A172">
        <f t="shared" si="2"/>
        <v>2015</v>
      </c>
      <c r="B172" s="8">
        <v>63533</v>
      </c>
      <c r="C172" t="s">
        <v>16</v>
      </c>
      <c r="D172" t="s">
        <v>269</v>
      </c>
      <c r="E172" s="11">
        <v>42035</v>
      </c>
      <c r="F172" s="11">
        <v>42035</v>
      </c>
      <c r="G172" s="11">
        <v>42506</v>
      </c>
      <c r="H172" t="s">
        <v>262</v>
      </c>
      <c r="J172" s="4" t="s">
        <v>263</v>
      </c>
      <c r="K172" s="4">
        <v>12685.94</v>
      </c>
      <c r="L172">
        <v>35</v>
      </c>
    </row>
    <row r="173" spans="1:12" x14ac:dyDescent="0.25">
      <c r="A173">
        <f t="shared" si="2"/>
        <v>2015</v>
      </c>
      <c r="B173" s="8">
        <v>63534</v>
      </c>
      <c r="C173" t="s">
        <v>16</v>
      </c>
      <c r="D173" t="s">
        <v>270</v>
      </c>
      <c r="E173" s="11">
        <v>42035</v>
      </c>
      <c r="F173" s="11">
        <v>42035</v>
      </c>
      <c r="G173" s="11">
        <v>42506</v>
      </c>
      <c r="H173" t="s">
        <v>262</v>
      </c>
      <c r="J173" s="4" t="s">
        <v>263</v>
      </c>
      <c r="K173" s="4">
        <v>59214.16</v>
      </c>
      <c r="L173">
        <v>35</v>
      </c>
    </row>
    <row r="174" spans="1:12" x14ac:dyDescent="0.25">
      <c r="A174">
        <f t="shared" si="2"/>
        <v>2015</v>
      </c>
      <c r="B174" s="8">
        <v>63535</v>
      </c>
      <c r="C174" t="s">
        <v>16</v>
      </c>
      <c r="D174" t="s">
        <v>271</v>
      </c>
      <c r="E174" s="11">
        <v>42035</v>
      </c>
      <c r="F174" s="11">
        <v>42035</v>
      </c>
      <c r="G174" s="11">
        <v>42506</v>
      </c>
      <c r="H174" t="s">
        <v>262</v>
      </c>
      <c r="J174" s="4" t="s">
        <v>263</v>
      </c>
      <c r="K174" s="4">
        <v>59214.16</v>
      </c>
      <c r="L174">
        <v>35</v>
      </c>
    </row>
    <row r="175" spans="1:12" x14ac:dyDescent="0.25">
      <c r="A175">
        <f t="shared" si="2"/>
        <v>2015</v>
      </c>
      <c r="B175" s="8">
        <v>63536</v>
      </c>
      <c r="C175" t="s">
        <v>16</v>
      </c>
      <c r="D175" t="s">
        <v>271</v>
      </c>
      <c r="E175" s="11">
        <v>42035</v>
      </c>
      <c r="F175" s="11">
        <v>42035</v>
      </c>
      <c r="G175" s="11">
        <v>42506</v>
      </c>
      <c r="H175" t="s">
        <v>262</v>
      </c>
      <c r="J175" s="4" t="s">
        <v>263</v>
      </c>
      <c r="K175" s="4">
        <v>59214.17</v>
      </c>
      <c r="L175">
        <v>35</v>
      </c>
    </row>
    <row r="176" spans="1:12" x14ac:dyDescent="0.25">
      <c r="A176">
        <f t="shared" si="2"/>
        <v>2015</v>
      </c>
      <c r="B176" s="8">
        <v>63537</v>
      </c>
      <c r="C176" t="s">
        <v>16</v>
      </c>
      <c r="D176" t="s">
        <v>272</v>
      </c>
      <c r="E176" s="11">
        <v>42035</v>
      </c>
      <c r="F176" s="11">
        <v>42035</v>
      </c>
      <c r="G176" s="11">
        <v>42506</v>
      </c>
      <c r="H176" t="s">
        <v>262</v>
      </c>
      <c r="J176" s="4" t="s">
        <v>263</v>
      </c>
      <c r="K176" s="4">
        <v>34383.82</v>
      </c>
      <c r="L176">
        <v>35</v>
      </c>
    </row>
    <row r="177" spans="1:12" x14ac:dyDescent="0.25">
      <c r="A177">
        <f t="shared" si="2"/>
        <v>2015</v>
      </c>
      <c r="B177" s="8">
        <v>63538</v>
      </c>
      <c r="C177" t="s">
        <v>16</v>
      </c>
      <c r="D177" t="s">
        <v>272</v>
      </c>
      <c r="E177" s="11">
        <v>42035</v>
      </c>
      <c r="F177" s="11">
        <v>42035</v>
      </c>
      <c r="G177" s="11">
        <v>42506</v>
      </c>
      <c r="H177" t="s">
        <v>262</v>
      </c>
      <c r="J177" s="4" t="s">
        <v>263</v>
      </c>
      <c r="K177" s="4">
        <v>34383.82</v>
      </c>
      <c r="L177">
        <v>35</v>
      </c>
    </row>
    <row r="178" spans="1:12" x14ac:dyDescent="0.25">
      <c r="A178">
        <f t="shared" si="2"/>
        <v>2015</v>
      </c>
      <c r="B178" s="8">
        <v>63539</v>
      </c>
      <c r="C178" t="s">
        <v>16</v>
      </c>
      <c r="D178" t="s">
        <v>272</v>
      </c>
      <c r="E178" s="11">
        <v>42035</v>
      </c>
      <c r="F178" s="11">
        <v>42035</v>
      </c>
      <c r="G178" s="11">
        <v>42506</v>
      </c>
      <c r="H178" t="s">
        <v>262</v>
      </c>
      <c r="J178" s="4" t="s">
        <v>263</v>
      </c>
      <c r="K178" s="4">
        <v>34383.82</v>
      </c>
      <c r="L178">
        <v>35</v>
      </c>
    </row>
    <row r="179" spans="1:12" x14ac:dyDescent="0.25">
      <c r="A179">
        <f t="shared" si="2"/>
        <v>2015</v>
      </c>
      <c r="B179" s="8">
        <v>63540</v>
      </c>
      <c r="C179" t="s">
        <v>16</v>
      </c>
      <c r="D179" t="s">
        <v>272</v>
      </c>
      <c r="E179" s="11">
        <v>42035</v>
      </c>
      <c r="F179" s="11">
        <v>42035</v>
      </c>
      <c r="G179" s="11">
        <v>42506</v>
      </c>
      <c r="H179" t="s">
        <v>262</v>
      </c>
      <c r="J179" s="4" t="s">
        <v>263</v>
      </c>
      <c r="K179" s="4">
        <v>34383.82</v>
      </c>
      <c r="L179">
        <v>35</v>
      </c>
    </row>
    <row r="180" spans="1:12" x14ac:dyDescent="0.25">
      <c r="A180">
        <f t="shared" si="2"/>
        <v>2015</v>
      </c>
      <c r="B180" s="8">
        <v>63541</v>
      </c>
      <c r="C180" t="s">
        <v>16</v>
      </c>
      <c r="D180" t="s">
        <v>272</v>
      </c>
      <c r="E180" s="11">
        <v>42035</v>
      </c>
      <c r="F180" s="11">
        <v>42035</v>
      </c>
      <c r="G180" s="11">
        <v>42506</v>
      </c>
      <c r="H180" t="s">
        <v>262</v>
      </c>
      <c r="J180" s="4" t="s">
        <v>263</v>
      </c>
      <c r="K180" s="4">
        <v>34383.82</v>
      </c>
      <c r="L180">
        <v>35</v>
      </c>
    </row>
    <row r="181" spans="1:12" x14ac:dyDescent="0.25">
      <c r="A181">
        <f t="shared" si="2"/>
        <v>2015</v>
      </c>
      <c r="B181" s="8">
        <v>63542</v>
      </c>
      <c r="C181" t="s">
        <v>16</v>
      </c>
      <c r="D181" t="s">
        <v>272</v>
      </c>
      <c r="E181" s="11">
        <v>42035</v>
      </c>
      <c r="F181" s="11">
        <v>42035</v>
      </c>
      <c r="G181" s="11">
        <v>42506</v>
      </c>
      <c r="H181" t="s">
        <v>262</v>
      </c>
      <c r="J181" s="4" t="s">
        <v>263</v>
      </c>
      <c r="K181" s="4">
        <v>34383.82</v>
      </c>
      <c r="L181">
        <v>35</v>
      </c>
    </row>
    <row r="182" spans="1:12" x14ac:dyDescent="0.25">
      <c r="A182">
        <f t="shared" si="2"/>
        <v>2015</v>
      </c>
      <c r="B182" s="8">
        <v>63543</v>
      </c>
      <c r="C182" t="s">
        <v>16</v>
      </c>
      <c r="D182" t="s">
        <v>272</v>
      </c>
      <c r="E182" s="11">
        <v>42035</v>
      </c>
      <c r="F182" s="11">
        <v>42035</v>
      </c>
      <c r="G182" s="11">
        <v>42506</v>
      </c>
      <c r="H182" t="s">
        <v>262</v>
      </c>
      <c r="J182" s="4" t="s">
        <v>263</v>
      </c>
      <c r="K182" s="4">
        <v>34383.82</v>
      </c>
      <c r="L182">
        <v>35</v>
      </c>
    </row>
    <row r="183" spans="1:12" x14ac:dyDescent="0.25">
      <c r="A183">
        <f t="shared" si="2"/>
        <v>2015</v>
      </c>
      <c r="B183" s="8">
        <v>63544</v>
      </c>
      <c r="C183" t="s">
        <v>16</v>
      </c>
      <c r="D183" t="s">
        <v>272</v>
      </c>
      <c r="E183" s="11">
        <v>42035</v>
      </c>
      <c r="F183" s="11">
        <v>42035</v>
      </c>
      <c r="G183" s="11">
        <v>42506</v>
      </c>
      <c r="H183" t="s">
        <v>262</v>
      </c>
      <c r="J183" s="4" t="s">
        <v>263</v>
      </c>
      <c r="K183" s="4">
        <v>34383.82</v>
      </c>
      <c r="L183">
        <v>35</v>
      </c>
    </row>
    <row r="184" spans="1:12" x14ac:dyDescent="0.25">
      <c r="A184">
        <f t="shared" si="2"/>
        <v>2015</v>
      </c>
      <c r="B184" s="8">
        <v>63545</v>
      </c>
      <c r="C184" t="s">
        <v>16</v>
      </c>
      <c r="D184" t="s">
        <v>272</v>
      </c>
      <c r="E184" s="11">
        <v>42035</v>
      </c>
      <c r="F184" s="11">
        <v>42035</v>
      </c>
      <c r="G184" s="11">
        <v>42506</v>
      </c>
      <c r="H184" t="s">
        <v>262</v>
      </c>
      <c r="J184" s="4" t="s">
        <v>263</v>
      </c>
      <c r="K184" s="4">
        <v>34383.82</v>
      </c>
      <c r="L184">
        <v>35</v>
      </c>
    </row>
    <row r="185" spans="1:12" x14ac:dyDescent="0.25">
      <c r="A185">
        <f t="shared" si="2"/>
        <v>2015</v>
      </c>
      <c r="B185" s="8">
        <v>63546</v>
      </c>
      <c r="C185" t="s">
        <v>16</v>
      </c>
      <c r="D185" t="s">
        <v>272</v>
      </c>
      <c r="E185" s="11">
        <v>42035</v>
      </c>
      <c r="F185" s="11">
        <v>42035</v>
      </c>
      <c r="G185" s="11">
        <v>42506</v>
      </c>
      <c r="H185" t="s">
        <v>262</v>
      </c>
      <c r="J185" s="4" t="s">
        <v>263</v>
      </c>
      <c r="K185" s="4">
        <v>34383.82</v>
      </c>
      <c r="L185">
        <v>35</v>
      </c>
    </row>
    <row r="186" spans="1:12" x14ac:dyDescent="0.25">
      <c r="A186">
        <f t="shared" si="2"/>
        <v>2015</v>
      </c>
      <c r="B186" s="8">
        <v>63547</v>
      </c>
      <c r="C186" t="s">
        <v>16</v>
      </c>
      <c r="D186" t="s">
        <v>272</v>
      </c>
      <c r="E186" s="11">
        <v>42035</v>
      </c>
      <c r="F186" s="11">
        <v>42035</v>
      </c>
      <c r="G186" s="11">
        <v>42506</v>
      </c>
      <c r="H186" t="s">
        <v>262</v>
      </c>
      <c r="J186" s="4" t="s">
        <v>263</v>
      </c>
      <c r="K186" s="4">
        <v>34383.82</v>
      </c>
      <c r="L186">
        <v>35</v>
      </c>
    </row>
    <row r="187" spans="1:12" x14ac:dyDescent="0.25">
      <c r="A187">
        <f t="shared" si="2"/>
        <v>2015</v>
      </c>
      <c r="B187" s="8">
        <v>63548</v>
      </c>
      <c r="C187" t="s">
        <v>16</v>
      </c>
      <c r="D187" t="s">
        <v>272</v>
      </c>
      <c r="E187" s="11">
        <v>42035</v>
      </c>
      <c r="F187" s="11">
        <v>42035</v>
      </c>
      <c r="G187" s="11">
        <v>42506</v>
      </c>
      <c r="H187" t="s">
        <v>262</v>
      </c>
      <c r="J187" s="4" t="s">
        <v>263</v>
      </c>
      <c r="K187" s="4">
        <v>34383.870000000003</v>
      </c>
      <c r="L187">
        <v>35</v>
      </c>
    </row>
    <row r="188" spans="1:12" x14ac:dyDescent="0.25">
      <c r="A188">
        <f t="shared" si="2"/>
        <v>2015</v>
      </c>
      <c r="B188" s="8">
        <v>63549</v>
      </c>
      <c r="C188" t="s">
        <v>16</v>
      </c>
      <c r="D188" t="s">
        <v>273</v>
      </c>
      <c r="E188" s="11">
        <v>42035</v>
      </c>
      <c r="F188" s="11">
        <v>42035</v>
      </c>
      <c r="G188" s="11">
        <v>42506</v>
      </c>
      <c r="H188" t="s">
        <v>262</v>
      </c>
      <c r="J188" s="4" t="s">
        <v>263</v>
      </c>
      <c r="K188" s="4">
        <v>10654.91</v>
      </c>
      <c r="L188">
        <v>35</v>
      </c>
    </row>
    <row r="189" spans="1:12" x14ac:dyDescent="0.25">
      <c r="A189">
        <f t="shared" si="2"/>
        <v>2015</v>
      </c>
      <c r="B189" s="8">
        <v>63550</v>
      </c>
      <c r="C189" t="s">
        <v>16</v>
      </c>
      <c r="D189" t="s">
        <v>273</v>
      </c>
      <c r="E189" s="11">
        <v>42035</v>
      </c>
      <c r="F189" s="11">
        <v>42035</v>
      </c>
      <c r="G189" s="11">
        <v>42506</v>
      </c>
      <c r="H189" t="s">
        <v>262</v>
      </c>
      <c r="J189" s="4" t="s">
        <v>263</v>
      </c>
      <c r="K189" s="4">
        <v>10654.91</v>
      </c>
      <c r="L189">
        <v>35</v>
      </c>
    </row>
    <row r="190" spans="1:12" x14ac:dyDescent="0.25">
      <c r="A190">
        <f t="shared" si="2"/>
        <v>2015</v>
      </c>
      <c r="B190" s="8">
        <v>63551</v>
      </c>
      <c r="C190" t="s">
        <v>16</v>
      </c>
      <c r="D190" t="s">
        <v>273</v>
      </c>
      <c r="E190" s="11">
        <v>42035</v>
      </c>
      <c r="F190" s="11">
        <v>42035</v>
      </c>
      <c r="G190" s="11">
        <v>42506</v>
      </c>
      <c r="H190" t="s">
        <v>262</v>
      </c>
      <c r="J190" s="4" t="s">
        <v>263</v>
      </c>
      <c r="K190" s="4">
        <v>10654.91</v>
      </c>
      <c r="L190">
        <v>35</v>
      </c>
    </row>
    <row r="191" spans="1:12" x14ac:dyDescent="0.25">
      <c r="A191">
        <f t="shared" si="2"/>
        <v>2015</v>
      </c>
      <c r="B191" s="8">
        <v>63552</v>
      </c>
      <c r="C191" t="s">
        <v>16</v>
      </c>
      <c r="D191" t="s">
        <v>273</v>
      </c>
      <c r="E191" s="11">
        <v>42035</v>
      </c>
      <c r="F191" s="11">
        <v>42035</v>
      </c>
      <c r="G191" s="11">
        <v>42506</v>
      </c>
      <c r="H191" t="s">
        <v>262</v>
      </c>
      <c r="J191" s="4" t="s">
        <v>263</v>
      </c>
      <c r="K191" s="4">
        <v>10654.91</v>
      </c>
      <c r="L191">
        <v>35</v>
      </c>
    </row>
    <row r="192" spans="1:12" x14ac:dyDescent="0.25">
      <c r="A192">
        <f t="shared" si="2"/>
        <v>2015</v>
      </c>
      <c r="B192" s="8">
        <v>63553</v>
      </c>
      <c r="C192" t="s">
        <v>16</v>
      </c>
      <c r="D192" t="s">
        <v>273</v>
      </c>
      <c r="E192" s="11">
        <v>42035</v>
      </c>
      <c r="F192" s="11">
        <v>42035</v>
      </c>
      <c r="G192" s="11">
        <v>42506</v>
      </c>
      <c r="H192" t="s">
        <v>262</v>
      </c>
      <c r="J192" s="4" t="s">
        <v>263</v>
      </c>
      <c r="K192" s="4">
        <v>10654.91</v>
      </c>
      <c r="L192">
        <v>35</v>
      </c>
    </row>
    <row r="193" spans="1:12" x14ac:dyDescent="0.25">
      <c r="A193">
        <f t="shared" si="2"/>
        <v>2015</v>
      </c>
      <c r="B193" s="8">
        <v>63554</v>
      </c>
      <c r="C193" t="s">
        <v>16</v>
      </c>
      <c r="D193" t="s">
        <v>273</v>
      </c>
      <c r="E193" s="11">
        <v>42035</v>
      </c>
      <c r="F193" s="11">
        <v>42035</v>
      </c>
      <c r="G193" s="11">
        <v>42506</v>
      </c>
      <c r="H193" t="s">
        <v>262</v>
      </c>
      <c r="J193" s="4" t="s">
        <v>263</v>
      </c>
      <c r="K193" s="4">
        <v>10654.91</v>
      </c>
      <c r="L193">
        <v>35</v>
      </c>
    </row>
    <row r="194" spans="1:12" x14ac:dyDescent="0.25">
      <c r="A194">
        <f t="shared" si="2"/>
        <v>2015</v>
      </c>
      <c r="B194" s="8">
        <v>63555</v>
      </c>
      <c r="C194" t="s">
        <v>16</v>
      </c>
      <c r="D194" t="s">
        <v>273</v>
      </c>
      <c r="E194" s="11">
        <v>42035</v>
      </c>
      <c r="F194" s="11">
        <v>42035</v>
      </c>
      <c r="G194" s="11">
        <v>42506</v>
      </c>
      <c r="H194" t="s">
        <v>262</v>
      </c>
      <c r="J194" s="4" t="s">
        <v>263</v>
      </c>
      <c r="K194" s="4">
        <v>10654.91</v>
      </c>
      <c r="L194">
        <v>35</v>
      </c>
    </row>
    <row r="195" spans="1:12" x14ac:dyDescent="0.25">
      <c r="A195">
        <f t="shared" si="2"/>
        <v>2015</v>
      </c>
      <c r="B195" s="8">
        <v>63556</v>
      </c>
      <c r="C195" t="s">
        <v>16</v>
      </c>
      <c r="D195" t="s">
        <v>273</v>
      </c>
      <c r="E195" s="11">
        <v>42035</v>
      </c>
      <c r="F195" s="11">
        <v>42035</v>
      </c>
      <c r="G195" s="11">
        <v>42506</v>
      </c>
      <c r="H195" t="s">
        <v>262</v>
      </c>
      <c r="J195" s="4" t="s">
        <v>263</v>
      </c>
      <c r="K195" s="4">
        <v>10654.91</v>
      </c>
      <c r="L195">
        <v>35</v>
      </c>
    </row>
    <row r="196" spans="1:12" x14ac:dyDescent="0.25">
      <c r="A196">
        <f t="shared" si="2"/>
        <v>2015</v>
      </c>
      <c r="B196" s="8">
        <v>63557</v>
      </c>
      <c r="C196" t="s">
        <v>16</v>
      </c>
      <c r="D196" t="s">
        <v>273</v>
      </c>
      <c r="E196" s="11">
        <v>42035</v>
      </c>
      <c r="F196" s="11">
        <v>42035</v>
      </c>
      <c r="G196" s="11">
        <v>42506</v>
      </c>
      <c r="H196" t="s">
        <v>262</v>
      </c>
      <c r="J196" s="4" t="s">
        <v>263</v>
      </c>
      <c r="K196" s="4">
        <v>10654.91</v>
      </c>
      <c r="L196">
        <v>35</v>
      </c>
    </row>
    <row r="197" spans="1:12" x14ac:dyDescent="0.25">
      <c r="A197">
        <f t="shared" si="2"/>
        <v>2015</v>
      </c>
      <c r="B197" s="8">
        <v>63558</v>
      </c>
      <c r="C197" t="s">
        <v>16</v>
      </c>
      <c r="D197" t="s">
        <v>273</v>
      </c>
      <c r="E197" s="11">
        <v>42035</v>
      </c>
      <c r="F197" s="11">
        <v>42035</v>
      </c>
      <c r="G197" s="11">
        <v>42506</v>
      </c>
      <c r="H197" t="s">
        <v>262</v>
      </c>
      <c r="J197" s="4" t="s">
        <v>263</v>
      </c>
      <c r="K197" s="4">
        <v>10654.91</v>
      </c>
      <c r="L197">
        <v>35</v>
      </c>
    </row>
    <row r="198" spans="1:12" x14ac:dyDescent="0.25">
      <c r="A198">
        <f t="shared" si="2"/>
        <v>2015</v>
      </c>
      <c r="B198" s="8">
        <v>63559</v>
      </c>
      <c r="C198" t="s">
        <v>16</v>
      </c>
      <c r="D198" t="s">
        <v>273</v>
      </c>
      <c r="E198" s="11">
        <v>42035</v>
      </c>
      <c r="F198" s="11">
        <v>42035</v>
      </c>
      <c r="G198" s="11">
        <v>42506</v>
      </c>
      <c r="H198" t="s">
        <v>262</v>
      </c>
      <c r="J198" s="4" t="s">
        <v>263</v>
      </c>
      <c r="K198" s="4">
        <v>10654.91</v>
      </c>
      <c r="L198">
        <v>35</v>
      </c>
    </row>
    <row r="199" spans="1:12" x14ac:dyDescent="0.25">
      <c r="A199">
        <f t="shared" si="2"/>
        <v>2015</v>
      </c>
      <c r="B199" s="8">
        <v>63560</v>
      </c>
      <c r="C199" t="s">
        <v>16</v>
      </c>
      <c r="D199" t="s">
        <v>273</v>
      </c>
      <c r="E199" s="11">
        <v>42035</v>
      </c>
      <c r="F199" s="11">
        <v>42035</v>
      </c>
      <c r="G199" s="11">
        <v>42506</v>
      </c>
      <c r="H199" t="s">
        <v>262</v>
      </c>
      <c r="J199" s="4" t="s">
        <v>263</v>
      </c>
      <c r="K199" s="4">
        <v>10654.88</v>
      </c>
      <c r="L199">
        <v>35</v>
      </c>
    </row>
    <row r="200" spans="1:12" x14ac:dyDescent="0.25">
      <c r="A200">
        <f t="shared" si="2"/>
        <v>2015</v>
      </c>
      <c r="B200" s="8">
        <v>63561</v>
      </c>
      <c r="C200" t="s">
        <v>81</v>
      </c>
      <c r="D200" t="s">
        <v>274</v>
      </c>
      <c r="E200" s="11">
        <v>42035</v>
      </c>
      <c r="F200" s="11">
        <v>42035</v>
      </c>
      <c r="G200" s="11">
        <v>42506</v>
      </c>
      <c r="H200" t="s">
        <v>262</v>
      </c>
      <c r="J200" s="4" t="s">
        <v>263</v>
      </c>
      <c r="K200" s="4">
        <v>32678.84</v>
      </c>
      <c r="L200">
        <v>35</v>
      </c>
    </row>
    <row r="201" spans="1:12" x14ac:dyDescent="0.25">
      <c r="A201">
        <f t="shared" si="2"/>
        <v>2015</v>
      </c>
      <c r="B201" s="8">
        <v>63562</v>
      </c>
      <c r="C201" t="s">
        <v>81</v>
      </c>
      <c r="D201" t="s">
        <v>274</v>
      </c>
      <c r="E201" s="11">
        <v>42035</v>
      </c>
      <c r="F201" s="11">
        <v>42035</v>
      </c>
      <c r="G201" s="11">
        <v>42506</v>
      </c>
      <c r="H201" t="s">
        <v>262</v>
      </c>
      <c r="J201" s="4" t="s">
        <v>263</v>
      </c>
      <c r="K201" s="4">
        <v>32678.84</v>
      </c>
      <c r="L201">
        <v>35</v>
      </c>
    </row>
    <row r="202" spans="1:12" x14ac:dyDescent="0.25">
      <c r="A202">
        <f t="shared" si="2"/>
        <v>2015</v>
      </c>
      <c r="B202" s="8">
        <v>63563</v>
      </c>
      <c r="C202" t="s">
        <v>81</v>
      </c>
      <c r="D202" t="s">
        <v>274</v>
      </c>
      <c r="E202" s="11">
        <v>42035</v>
      </c>
      <c r="F202" s="11">
        <v>42035</v>
      </c>
      <c r="G202" s="11">
        <v>42506</v>
      </c>
      <c r="H202" t="s">
        <v>262</v>
      </c>
      <c r="J202" s="4" t="s">
        <v>263</v>
      </c>
      <c r="K202" s="4">
        <v>32678.84</v>
      </c>
      <c r="L202">
        <v>35</v>
      </c>
    </row>
    <row r="203" spans="1:12" x14ac:dyDescent="0.25">
      <c r="A203">
        <f t="shared" si="2"/>
        <v>2015</v>
      </c>
      <c r="B203" s="8">
        <v>63564</v>
      </c>
      <c r="C203" t="s">
        <v>81</v>
      </c>
      <c r="D203" t="s">
        <v>274</v>
      </c>
      <c r="E203" s="11">
        <v>42035</v>
      </c>
      <c r="F203" s="11">
        <v>42035</v>
      </c>
      <c r="G203" s="11">
        <v>42506</v>
      </c>
      <c r="H203" t="s">
        <v>262</v>
      </c>
      <c r="J203" s="4" t="s">
        <v>263</v>
      </c>
      <c r="K203" s="4">
        <v>32678.84</v>
      </c>
      <c r="L203">
        <v>35</v>
      </c>
    </row>
    <row r="204" spans="1:12" x14ac:dyDescent="0.25">
      <c r="A204">
        <f t="shared" ref="A204:A267" si="3">+YEAR(E204)</f>
        <v>2015</v>
      </c>
      <c r="B204" s="8">
        <v>63565</v>
      </c>
      <c r="C204" t="s">
        <v>81</v>
      </c>
      <c r="D204" t="s">
        <v>274</v>
      </c>
      <c r="E204" s="11">
        <v>42035</v>
      </c>
      <c r="F204" s="11">
        <v>42035</v>
      </c>
      <c r="G204" s="11">
        <v>42506</v>
      </c>
      <c r="H204" t="s">
        <v>262</v>
      </c>
      <c r="J204" s="4" t="s">
        <v>263</v>
      </c>
      <c r="K204" s="4">
        <v>32678.84</v>
      </c>
      <c r="L204">
        <v>35</v>
      </c>
    </row>
    <row r="205" spans="1:12" x14ac:dyDescent="0.25">
      <c r="A205">
        <f t="shared" si="3"/>
        <v>2015</v>
      </c>
      <c r="B205" s="8">
        <v>63566</v>
      </c>
      <c r="C205" t="s">
        <v>81</v>
      </c>
      <c r="D205" t="s">
        <v>274</v>
      </c>
      <c r="E205" s="11">
        <v>42035</v>
      </c>
      <c r="F205" s="11">
        <v>42035</v>
      </c>
      <c r="G205" s="11">
        <v>42506</v>
      </c>
      <c r="H205" t="s">
        <v>262</v>
      </c>
      <c r="J205" s="4" t="s">
        <v>263</v>
      </c>
      <c r="K205" s="4">
        <v>32678.84</v>
      </c>
      <c r="L205">
        <v>35</v>
      </c>
    </row>
    <row r="206" spans="1:12" x14ac:dyDescent="0.25">
      <c r="A206">
        <f t="shared" si="3"/>
        <v>2015</v>
      </c>
      <c r="B206" s="8">
        <v>63567</v>
      </c>
      <c r="C206" t="s">
        <v>81</v>
      </c>
      <c r="D206" t="s">
        <v>274</v>
      </c>
      <c r="E206" s="11">
        <v>42035</v>
      </c>
      <c r="F206" s="11">
        <v>42035</v>
      </c>
      <c r="G206" s="11">
        <v>42506</v>
      </c>
      <c r="H206" t="s">
        <v>262</v>
      </c>
      <c r="J206" s="4" t="s">
        <v>263</v>
      </c>
      <c r="K206" s="4">
        <v>32678.84</v>
      </c>
      <c r="L206">
        <v>35</v>
      </c>
    </row>
    <row r="207" spans="1:12" x14ac:dyDescent="0.25">
      <c r="A207">
        <f t="shared" si="3"/>
        <v>2015</v>
      </c>
      <c r="B207" s="8">
        <v>63568</v>
      </c>
      <c r="C207" t="s">
        <v>81</v>
      </c>
      <c r="D207" t="s">
        <v>274</v>
      </c>
      <c r="E207" s="11">
        <v>42035</v>
      </c>
      <c r="F207" s="11">
        <v>42035</v>
      </c>
      <c r="G207" s="11">
        <v>42506</v>
      </c>
      <c r="H207" t="s">
        <v>262</v>
      </c>
      <c r="J207" s="4" t="s">
        <v>263</v>
      </c>
      <c r="K207" s="4">
        <v>32678.84</v>
      </c>
      <c r="L207">
        <v>35</v>
      </c>
    </row>
    <row r="208" spans="1:12" x14ac:dyDescent="0.25">
      <c r="A208">
        <f t="shared" si="3"/>
        <v>2015</v>
      </c>
      <c r="B208" s="8">
        <v>63569</v>
      </c>
      <c r="C208" t="s">
        <v>81</v>
      </c>
      <c r="D208" t="s">
        <v>274</v>
      </c>
      <c r="E208" s="11">
        <v>42035</v>
      </c>
      <c r="F208" s="11">
        <v>42035</v>
      </c>
      <c r="G208" s="11">
        <v>42506</v>
      </c>
      <c r="H208" t="s">
        <v>262</v>
      </c>
      <c r="J208" s="4" t="s">
        <v>263</v>
      </c>
      <c r="K208" s="4">
        <v>32678.84</v>
      </c>
      <c r="L208">
        <v>35</v>
      </c>
    </row>
    <row r="209" spans="1:12" x14ac:dyDescent="0.25">
      <c r="A209">
        <f t="shared" si="3"/>
        <v>2015</v>
      </c>
      <c r="B209" s="8">
        <v>63570</v>
      </c>
      <c r="C209" t="s">
        <v>81</v>
      </c>
      <c r="D209" t="s">
        <v>274</v>
      </c>
      <c r="E209" s="11">
        <v>42035</v>
      </c>
      <c r="F209" s="11">
        <v>42035</v>
      </c>
      <c r="G209" s="11">
        <v>42506</v>
      </c>
      <c r="H209" t="s">
        <v>262</v>
      </c>
      <c r="J209" s="4" t="s">
        <v>263</v>
      </c>
      <c r="K209" s="4">
        <v>32678.84</v>
      </c>
      <c r="L209">
        <v>35</v>
      </c>
    </row>
    <row r="210" spans="1:12" x14ac:dyDescent="0.25">
      <c r="A210">
        <f t="shared" si="3"/>
        <v>2015</v>
      </c>
      <c r="B210" s="8">
        <v>63571</v>
      </c>
      <c r="C210" t="s">
        <v>81</v>
      </c>
      <c r="D210" t="s">
        <v>274</v>
      </c>
      <c r="E210" s="11">
        <v>42035</v>
      </c>
      <c r="F210" s="11">
        <v>42035</v>
      </c>
      <c r="G210" s="11">
        <v>42506</v>
      </c>
      <c r="H210" t="s">
        <v>262</v>
      </c>
      <c r="J210" s="4" t="s">
        <v>263</v>
      </c>
      <c r="K210" s="4">
        <v>32678.84</v>
      </c>
      <c r="L210">
        <v>35</v>
      </c>
    </row>
    <row r="211" spans="1:12" x14ac:dyDescent="0.25">
      <c r="A211">
        <f t="shared" si="3"/>
        <v>2015</v>
      </c>
      <c r="B211" s="8">
        <v>63572</v>
      </c>
      <c r="C211" t="s">
        <v>81</v>
      </c>
      <c r="D211" t="s">
        <v>274</v>
      </c>
      <c r="E211" s="11">
        <v>42035</v>
      </c>
      <c r="F211" s="11">
        <v>42035</v>
      </c>
      <c r="G211" s="11">
        <v>42506</v>
      </c>
      <c r="H211" t="s">
        <v>262</v>
      </c>
      <c r="J211" s="4" t="s">
        <v>263</v>
      </c>
      <c r="K211" s="4">
        <v>32678.83</v>
      </c>
      <c r="L211">
        <v>35</v>
      </c>
    </row>
    <row r="212" spans="1:12" x14ac:dyDescent="0.25">
      <c r="A212">
        <f t="shared" si="3"/>
        <v>2015</v>
      </c>
      <c r="B212" s="8">
        <v>63576</v>
      </c>
      <c r="C212" t="s">
        <v>16</v>
      </c>
      <c r="D212" t="s">
        <v>275</v>
      </c>
      <c r="E212" s="11">
        <v>42035</v>
      </c>
      <c r="F212" s="11">
        <v>42035</v>
      </c>
      <c r="G212" s="11">
        <v>42506</v>
      </c>
      <c r="H212" t="s">
        <v>262</v>
      </c>
      <c r="J212" s="4" t="s">
        <v>263</v>
      </c>
      <c r="K212" s="4">
        <v>369290.52</v>
      </c>
      <c r="L212">
        <v>35</v>
      </c>
    </row>
    <row r="213" spans="1:12" x14ac:dyDescent="0.25">
      <c r="A213">
        <f t="shared" si="3"/>
        <v>2015</v>
      </c>
      <c r="B213" s="8">
        <v>63577</v>
      </c>
      <c r="C213" t="s">
        <v>16</v>
      </c>
      <c r="D213" t="s">
        <v>275</v>
      </c>
      <c r="E213" s="11">
        <v>42035</v>
      </c>
      <c r="F213" s="11">
        <v>42035</v>
      </c>
      <c r="G213" s="11">
        <v>42506</v>
      </c>
      <c r="H213" t="s">
        <v>262</v>
      </c>
      <c r="J213" s="4" t="s">
        <v>263</v>
      </c>
      <c r="K213" s="4">
        <v>369290.52</v>
      </c>
      <c r="L213">
        <v>35</v>
      </c>
    </row>
    <row r="214" spans="1:12" x14ac:dyDescent="0.25">
      <c r="A214">
        <f t="shared" si="3"/>
        <v>2015</v>
      </c>
      <c r="B214" s="8">
        <v>63578</v>
      </c>
      <c r="C214" t="s">
        <v>16</v>
      </c>
      <c r="D214" t="s">
        <v>275</v>
      </c>
      <c r="E214" s="11">
        <v>42035</v>
      </c>
      <c r="F214" s="11">
        <v>42035</v>
      </c>
      <c r="G214" s="11">
        <v>42506</v>
      </c>
      <c r="H214" t="s">
        <v>262</v>
      </c>
      <c r="J214" s="4" t="s">
        <v>263</v>
      </c>
      <c r="K214" s="4">
        <v>369290.52</v>
      </c>
      <c r="L214">
        <v>35</v>
      </c>
    </row>
    <row r="215" spans="1:12" x14ac:dyDescent="0.25">
      <c r="A215">
        <f t="shared" si="3"/>
        <v>2015</v>
      </c>
      <c r="B215" s="8">
        <v>63579</v>
      </c>
      <c r="C215" t="s">
        <v>16</v>
      </c>
      <c r="D215" t="s">
        <v>275</v>
      </c>
      <c r="E215" s="11">
        <v>42035</v>
      </c>
      <c r="F215" s="11">
        <v>42035</v>
      </c>
      <c r="G215" s="11">
        <v>42506</v>
      </c>
      <c r="H215" t="s">
        <v>262</v>
      </c>
      <c r="J215" s="4" t="s">
        <v>263</v>
      </c>
      <c r="K215" s="4">
        <v>369290.52</v>
      </c>
      <c r="L215">
        <v>35</v>
      </c>
    </row>
    <row r="216" spans="1:12" x14ac:dyDescent="0.25">
      <c r="A216">
        <f t="shared" si="3"/>
        <v>2015</v>
      </c>
      <c r="B216" s="8">
        <v>63580</v>
      </c>
      <c r="C216" t="s">
        <v>16</v>
      </c>
      <c r="D216" t="s">
        <v>275</v>
      </c>
      <c r="E216" s="11">
        <v>42035</v>
      </c>
      <c r="F216" s="11">
        <v>42035</v>
      </c>
      <c r="G216" s="11">
        <v>42506</v>
      </c>
      <c r="H216" t="s">
        <v>262</v>
      </c>
      <c r="J216" s="4" t="s">
        <v>263</v>
      </c>
      <c r="K216" s="4">
        <v>369290.52</v>
      </c>
      <c r="L216">
        <v>35</v>
      </c>
    </row>
    <row r="217" spans="1:12" x14ac:dyDescent="0.25">
      <c r="A217">
        <f t="shared" si="3"/>
        <v>2015</v>
      </c>
      <c r="B217" s="8">
        <v>63581</v>
      </c>
      <c r="C217" t="s">
        <v>16</v>
      </c>
      <c r="D217" t="s">
        <v>275</v>
      </c>
      <c r="E217" s="11">
        <v>42035</v>
      </c>
      <c r="F217" s="11">
        <v>42035</v>
      </c>
      <c r="G217" s="11">
        <v>42506</v>
      </c>
      <c r="H217" t="s">
        <v>262</v>
      </c>
      <c r="J217" s="4" t="s">
        <v>263</v>
      </c>
      <c r="K217" s="4">
        <v>369290.54</v>
      </c>
      <c r="L217">
        <v>35</v>
      </c>
    </row>
    <row r="218" spans="1:12" x14ac:dyDescent="0.25">
      <c r="A218">
        <f t="shared" si="3"/>
        <v>2015</v>
      </c>
      <c r="B218" s="8">
        <v>63582</v>
      </c>
      <c r="C218" t="s">
        <v>16</v>
      </c>
      <c r="D218" t="s">
        <v>276</v>
      </c>
      <c r="E218" s="11">
        <v>42035</v>
      </c>
      <c r="F218" s="11">
        <v>42035</v>
      </c>
      <c r="G218" s="11">
        <v>42506</v>
      </c>
      <c r="H218" t="s">
        <v>262</v>
      </c>
      <c r="J218" s="4" t="s">
        <v>263</v>
      </c>
      <c r="K218" s="4">
        <v>345215.71</v>
      </c>
      <c r="L218">
        <v>35</v>
      </c>
    </row>
    <row r="219" spans="1:12" x14ac:dyDescent="0.25">
      <c r="A219">
        <f t="shared" si="3"/>
        <v>2015</v>
      </c>
      <c r="B219" s="8">
        <v>63583</v>
      </c>
      <c r="C219" t="s">
        <v>16</v>
      </c>
      <c r="D219" t="s">
        <v>276</v>
      </c>
      <c r="E219" s="11">
        <v>42035</v>
      </c>
      <c r="F219" s="11">
        <v>42035</v>
      </c>
      <c r="G219" s="11">
        <v>42506</v>
      </c>
      <c r="H219" t="s">
        <v>262</v>
      </c>
      <c r="J219" s="4" t="s">
        <v>263</v>
      </c>
      <c r="K219" s="4">
        <v>345215.7</v>
      </c>
      <c r="L219">
        <v>35</v>
      </c>
    </row>
    <row r="220" spans="1:12" x14ac:dyDescent="0.25">
      <c r="A220">
        <f t="shared" si="3"/>
        <v>2015</v>
      </c>
      <c r="B220" s="8">
        <v>63584</v>
      </c>
      <c r="C220" t="s">
        <v>16</v>
      </c>
      <c r="D220" t="s">
        <v>277</v>
      </c>
      <c r="E220" s="11">
        <v>42035</v>
      </c>
      <c r="F220" s="11">
        <v>42035</v>
      </c>
      <c r="G220" s="11">
        <v>42506</v>
      </c>
      <c r="H220" t="s">
        <v>262</v>
      </c>
      <c r="J220" s="4" t="s">
        <v>263</v>
      </c>
      <c r="K220" s="4">
        <v>40077.31</v>
      </c>
      <c r="L220">
        <v>35</v>
      </c>
    </row>
    <row r="221" spans="1:12" x14ac:dyDescent="0.25">
      <c r="A221">
        <f t="shared" si="3"/>
        <v>2015</v>
      </c>
      <c r="B221" s="8">
        <v>63585</v>
      </c>
      <c r="C221" t="s">
        <v>16</v>
      </c>
      <c r="D221" t="s">
        <v>277</v>
      </c>
      <c r="E221" s="11">
        <v>42035</v>
      </c>
      <c r="F221" s="11">
        <v>42035</v>
      </c>
      <c r="G221" s="11">
        <v>42506</v>
      </c>
      <c r="H221" t="s">
        <v>262</v>
      </c>
      <c r="J221" s="4" t="s">
        <v>263</v>
      </c>
      <c r="K221" s="4">
        <v>40077.31</v>
      </c>
      <c r="L221">
        <v>35</v>
      </c>
    </row>
    <row r="222" spans="1:12" x14ac:dyDescent="0.25">
      <c r="A222">
        <f t="shared" si="3"/>
        <v>2015</v>
      </c>
      <c r="B222" s="8">
        <v>63586</v>
      </c>
      <c r="C222" t="s">
        <v>16</v>
      </c>
      <c r="D222" t="s">
        <v>277</v>
      </c>
      <c r="E222" s="11">
        <v>42035</v>
      </c>
      <c r="F222" s="11">
        <v>42035</v>
      </c>
      <c r="G222" s="11">
        <v>42506</v>
      </c>
      <c r="H222" t="s">
        <v>262</v>
      </c>
      <c r="J222" s="4" t="s">
        <v>263</v>
      </c>
      <c r="K222" s="4">
        <v>40077.31</v>
      </c>
      <c r="L222">
        <v>35</v>
      </c>
    </row>
    <row r="223" spans="1:12" x14ac:dyDescent="0.25">
      <c r="A223">
        <f t="shared" si="3"/>
        <v>2015</v>
      </c>
      <c r="B223" s="8">
        <v>63587</v>
      </c>
      <c r="C223" t="s">
        <v>16</v>
      </c>
      <c r="D223" t="s">
        <v>277</v>
      </c>
      <c r="E223" s="11">
        <v>42035</v>
      </c>
      <c r="F223" s="11">
        <v>42035</v>
      </c>
      <c r="G223" s="11">
        <v>42506</v>
      </c>
      <c r="H223" t="s">
        <v>262</v>
      </c>
      <c r="J223" s="4" t="s">
        <v>263</v>
      </c>
      <c r="K223" s="4">
        <v>40077.32</v>
      </c>
      <c r="L223">
        <v>35</v>
      </c>
    </row>
    <row r="224" spans="1:12" x14ac:dyDescent="0.25">
      <c r="A224">
        <f t="shared" si="3"/>
        <v>2015</v>
      </c>
      <c r="B224" s="8">
        <v>63588</v>
      </c>
      <c r="C224" t="s">
        <v>81</v>
      </c>
      <c r="D224" t="s">
        <v>274</v>
      </c>
      <c r="E224" s="11">
        <v>42035</v>
      </c>
      <c r="F224" s="11">
        <v>42035</v>
      </c>
      <c r="G224" s="11">
        <v>42506</v>
      </c>
      <c r="H224" t="s">
        <v>262</v>
      </c>
      <c r="J224" s="4" t="s">
        <v>263</v>
      </c>
      <c r="K224" s="4">
        <v>37376.699999999997</v>
      </c>
      <c r="L224">
        <v>35</v>
      </c>
    </row>
    <row r="225" spans="1:12" x14ac:dyDescent="0.25">
      <c r="A225">
        <f t="shared" si="3"/>
        <v>2015</v>
      </c>
      <c r="B225" s="8">
        <v>63589</v>
      </c>
      <c r="C225" t="s">
        <v>81</v>
      </c>
      <c r="D225" t="s">
        <v>278</v>
      </c>
      <c r="E225" s="11">
        <v>42035</v>
      </c>
      <c r="F225" s="11">
        <v>42035</v>
      </c>
      <c r="G225" s="11">
        <v>42506</v>
      </c>
      <c r="H225" t="s">
        <v>262</v>
      </c>
      <c r="J225" s="4" t="s">
        <v>263</v>
      </c>
      <c r="K225" s="4">
        <v>37376.699999999997</v>
      </c>
      <c r="L225">
        <v>35</v>
      </c>
    </row>
    <row r="226" spans="1:12" x14ac:dyDescent="0.25">
      <c r="A226">
        <f t="shared" si="3"/>
        <v>2015</v>
      </c>
      <c r="B226" s="8">
        <v>63590</v>
      </c>
      <c r="C226" t="s">
        <v>81</v>
      </c>
      <c r="D226" t="s">
        <v>278</v>
      </c>
      <c r="E226" s="11">
        <v>42035</v>
      </c>
      <c r="F226" s="11">
        <v>42035</v>
      </c>
      <c r="G226" s="11">
        <v>42506</v>
      </c>
      <c r="H226" t="s">
        <v>262</v>
      </c>
      <c r="J226" s="4" t="s">
        <v>263</v>
      </c>
      <c r="K226" s="4">
        <v>37376.699999999997</v>
      </c>
      <c r="L226">
        <v>35</v>
      </c>
    </row>
    <row r="227" spans="1:12" x14ac:dyDescent="0.25">
      <c r="A227">
        <f t="shared" si="3"/>
        <v>2015</v>
      </c>
      <c r="B227" s="8">
        <v>63591</v>
      </c>
      <c r="C227" t="s">
        <v>81</v>
      </c>
      <c r="D227" t="s">
        <v>278</v>
      </c>
      <c r="E227" s="11">
        <v>42035</v>
      </c>
      <c r="F227" s="11">
        <v>42035</v>
      </c>
      <c r="G227" s="11">
        <v>42506</v>
      </c>
      <c r="H227" t="s">
        <v>262</v>
      </c>
      <c r="J227" s="4" t="s">
        <v>263</v>
      </c>
      <c r="K227" s="4">
        <v>37376.699999999997</v>
      </c>
      <c r="L227">
        <v>35</v>
      </c>
    </row>
    <row r="228" spans="1:12" x14ac:dyDescent="0.25">
      <c r="A228">
        <f t="shared" si="3"/>
        <v>2015</v>
      </c>
      <c r="B228" s="8">
        <v>63592</v>
      </c>
      <c r="C228" t="s">
        <v>81</v>
      </c>
      <c r="D228" t="s">
        <v>278</v>
      </c>
      <c r="E228" s="11">
        <v>42035</v>
      </c>
      <c r="F228" s="11">
        <v>42035</v>
      </c>
      <c r="G228" s="11">
        <v>42506</v>
      </c>
      <c r="H228" t="s">
        <v>262</v>
      </c>
      <c r="J228" s="4" t="s">
        <v>263</v>
      </c>
      <c r="K228" s="4">
        <v>37376.71</v>
      </c>
      <c r="L228">
        <v>35</v>
      </c>
    </row>
    <row r="229" spans="1:12" x14ac:dyDescent="0.25">
      <c r="A229">
        <f t="shared" si="3"/>
        <v>2015</v>
      </c>
      <c r="B229" s="8">
        <v>63593</v>
      </c>
      <c r="C229" t="s">
        <v>16</v>
      </c>
      <c r="D229" t="s">
        <v>279</v>
      </c>
      <c r="E229" s="11">
        <v>42369</v>
      </c>
      <c r="F229" s="11">
        <v>42369</v>
      </c>
      <c r="G229" s="11">
        <v>42506</v>
      </c>
      <c r="H229" t="s">
        <v>280</v>
      </c>
      <c r="J229" s="4" t="s">
        <v>123</v>
      </c>
      <c r="K229" s="4">
        <v>1305348.48</v>
      </c>
      <c r="L229">
        <v>35</v>
      </c>
    </row>
    <row r="230" spans="1:12" x14ac:dyDescent="0.25">
      <c r="A230">
        <f t="shared" si="3"/>
        <v>2015</v>
      </c>
      <c r="B230" s="8">
        <v>63594</v>
      </c>
      <c r="C230" t="s">
        <v>16</v>
      </c>
      <c r="D230" t="s">
        <v>281</v>
      </c>
      <c r="E230" s="11">
        <v>42369</v>
      </c>
      <c r="F230" s="11">
        <v>42369</v>
      </c>
      <c r="G230" s="11">
        <v>42506</v>
      </c>
      <c r="H230" t="s">
        <v>280</v>
      </c>
      <c r="J230" s="4" t="s">
        <v>123</v>
      </c>
      <c r="K230" s="4">
        <v>9873.43</v>
      </c>
      <c r="L230">
        <v>35</v>
      </c>
    </row>
    <row r="231" spans="1:12" x14ac:dyDescent="0.25">
      <c r="A231">
        <f t="shared" si="3"/>
        <v>2015</v>
      </c>
      <c r="B231" s="8">
        <v>63595</v>
      </c>
      <c r="C231" t="s">
        <v>16</v>
      </c>
      <c r="D231" t="s">
        <v>281</v>
      </c>
      <c r="E231" s="11">
        <v>42369</v>
      </c>
      <c r="F231" s="11">
        <v>42369</v>
      </c>
      <c r="G231" s="11">
        <v>42506</v>
      </c>
      <c r="H231" t="s">
        <v>280</v>
      </c>
      <c r="J231" s="4" t="s">
        <v>123</v>
      </c>
      <c r="K231" s="4">
        <v>9873.43</v>
      </c>
      <c r="L231">
        <v>35</v>
      </c>
    </row>
    <row r="232" spans="1:12" x14ac:dyDescent="0.25">
      <c r="A232">
        <f t="shared" si="3"/>
        <v>2015</v>
      </c>
      <c r="B232" s="8">
        <v>63596</v>
      </c>
      <c r="C232" t="s">
        <v>16</v>
      </c>
      <c r="D232" t="s">
        <v>281</v>
      </c>
      <c r="E232" s="11">
        <v>42369</v>
      </c>
      <c r="F232" s="11">
        <v>42369</v>
      </c>
      <c r="G232" s="11">
        <v>42506</v>
      </c>
      <c r="H232" t="s">
        <v>280</v>
      </c>
      <c r="J232" s="4" t="s">
        <v>123</v>
      </c>
      <c r="K232" s="4">
        <v>9873.43</v>
      </c>
      <c r="L232">
        <v>35</v>
      </c>
    </row>
    <row r="233" spans="1:12" x14ac:dyDescent="0.25">
      <c r="A233">
        <f t="shared" si="3"/>
        <v>2015</v>
      </c>
      <c r="B233" s="8">
        <v>63597</v>
      </c>
      <c r="C233" t="s">
        <v>16</v>
      </c>
      <c r="D233" t="s">
        <v>281</v>
      </c>
      <c r="E233" s="11">
        <v>42369</v>
      </c>
      <c r="F233" s="11">
        <v>42369</v>
      </c>
      <c r="G233" s="11">
        <v>42506</v>
      </c>
      <c r="H233" t="s">
        <v>280</v>
      </c>
      <c r="J233" s="4" t="s">
        <v>123</v>
      </c>
      <c r="K233" s="4">
        <v>9873.43</v>
      </c>
      <c r="L233">
        <v>35</v>
      </c>
    </row>
    <row r="234" spans="1:12" x14ac:dyDescent="0.25">
      <c r="A234">
        <f t="shared" si="3"/>
        <v>2015</v>
      </c>
      <c r="B234" s="8">
        <v>63598</v>
      </c>
      <c r="C234" t="s">
        <v>16</v>
      </c>
      <c r="D234" t="s">
        <v>281</v>
      </c>
      <c r="E234" s="11">
        <v>42369</v>
      </c>
      <c r="F234" s="11">
        <v>42369</v>
      </c>
      <c r="G234" s="11">
        <v>42506</v>
      </c>
      <c r="H234" t="s">
        <v>280</v>
      </c>
      <c r="J234" s="4" t="s">
        <v>123</v>
      </c>
      <c r="K234" s="4">
        <v>9873.43</v>
      </c>
      <c r="L234">
        <v>35</v>
      </c>
    </row>
    <row r="235" spans="1:12" x14ac:dyDescent="0.25">
      <c r="A235">
        <f t="shared" si="3"/>
        <v>2015</v>
      </c>
      <c r="B235" s="8">
        <v>63599</v>
      </c>
      <c r="C235" t="s">
        <v>16</v>
      </c>
      <c r="D235" t="s">
        <v>281</v>
      </c>
      <c r="E235" s="11">
        <v>42369</v>
      </c>
      <c r="F235" s="11">
        <v>42369</v>
      </c>
      <c r="G235" s="11">
        <v>42506</v>
      </c>
      <c r="H235" t="s">
        <v>280</v>
      </c>
      <c r="J235" s="4" t="s">
        <v>123</v>
      </c>
      <c r="K235" s="4">
        <v>9873.4</v>
      </c>
      <c r="L235">
        <v>35</v>
      </c>
    </row>
    <row r="236" spans="1:12" x14ac:dyDescent="0.25">
      <c r="A236">
        <f t="shared" si="3"/>
        <v>2015</v>
      </c>
      <c r="B236" s="8">
        <v>63600</v>
      </c>
      <c r="C236" t="s">
        <v>16</v>
      </c>
      <c r="D236" t="s">
        <v>282</v>
      </c>
      <c r="E236" s="11">
        <v>42369</v>
      </c>
      <c r="F236" s="11">
        <v>42369</v>
      </c>
      <c r="G236" s="11">
        <v>42506</v>
      </c>
      <c r="H236" t="s">
        <v>283</v>
      </c>
      <c r="J236" s="4" t="s">
        <v>169</v>
      </c>
      <c r="K236" s="4">
        <v>2886274.81</v>
      </c>
      <c r="L236">
        <v>35</v>
      </c>
    </row>
    <row r="237" spans="1:12" x14ac:dyDescent="0.25">
      <c r="A237">
        <f t="shared" si="3"/>
        <v>2016</v>
      </c>
      <c r="B237" s="8">
        <v>81515</v>
      </c>
      <c r="C237" t="s">
        <v>16</v>
      </c>
      <c r="D237" t="s">
        <v>284</v>
      </c>
      <c r="E237" s="11">
        <v>42429</v>
      </c>
      <c r="F237" s="11">
        <v>42429</v>
      </c>
      <c r="G237" s="11">
        <v>42720</v>
      </c>
      <c r="H237" t="s">
        <v>285</v>
      </c>
      <c r="J237" s="4" t="s">
        <v>286</v>
      </c>
      <c r="K237" s="4">
        <v>1494480</v>
      </c>
      <c r="L237">
        <v>35</v>
      </c>
    </row>
    <row r="238" spans="1:12" x14ac:dyDescent="0.25">
      <c r="A238">
        <f t="shared" si="3"/>
        <v>2016</v>
      </c>
      <c r="B238" s="8">
        <v>81516</v>
      </c>
      <c r="C238" t="s">
        <v>16</v>
      </c>
      <c r="D238" t="s">
        <v>287</v>
      </c>
      <c r="E238" s="11">
        <v>42429</v>
      </c>
      <c r="F238" s="11">
        <v>42429</v>
      </c>
      <c r="G238" s="11">
        <v>42720</v>
      </c>
      <c r="H238" t="s">
        <v>285</v>
      </c>
      <c r="J238" s="4" t="s">
        <v>286</v>
      </c>
      <c r="K238" s="4">
        <v>1494480</v>
      </c>
      <c r="L238">
        <v>35</v>
      </c>
    </row>
    <row r="239" spans="1:12" x14ac:dyDescent="0.25">
      <c r="A239">
        <f t="shared" si="3"/>
        <v>2016</v>
      </c>
      <c r="B239" s="8">
        <v>81517</v>
      </c>
      <c r="C239" t="s">
        <v>16</v>
      </c>
      <c r="D239" t="s">
        <v>288</v>
      </c>
      <c r="E239" s="11">
        <v>42429</v>
      </c>
      <c r="F239" s="11">
        <v>42429</v>
      </c>
      <c r="G239" s="11">
        <v>42720</v>
      </c>
      <c r="H239" t="s">
        <v>285</v>
      </c>
      <c r="J239" s="4" t="s">
        <v>286</v>
      </c>
      <c r="K239" s="4">
        <v>1494479.99</v>
      </c>
      <c r="L239">
        <v>35</v>
      </c>
    </row>
    <row r="240" spans="1:12" x14ac:dyDescent="0.25">
      <c r="A240">
        <f t="shared" si="3"/>
        <v>2016</v>
      </c>
      <c r="B240" s="8">
        <v>81518</v>
      </c>
      <c r="C240" t="s">
        <v>81</v>
      </c>
      <c r="D240" t="s">
        <v>289</v>
      </c>
      <c r="E240" s="11">
        <v>42429</v>
      </c>
      <c r="F240" s="11">
        <v>42429</v>
      </c>
      <c r="G240" s="11">
        <v>42720</v>
      </c>
      <c r="H240" t="s">
        <v>285</v>
      </c>
      <c r="J240" s="4" t="s">
        <v>286</v>
      </c>
      <c r="K240" s="4">
        <v>166692</v>
      </c>
      <c r="L240">
        <v>35</v>
      </c>
    </row>
    <row r="241" spans="1:12" x14ac:dyDescent="0.25">
      <c r="A241">
        <f t="shared" si="3"/>
        <v>2016</v>
      </c>
      <c r="B241" s="8">
        <v>81519</v>
      </c>
      <c r="C241" t="s">
        <v>81</v>
      </c>
      <c r="D241" t="s">
        <v>289</v>
      </c>
      <c r="E241" s="11">
        <v>42429</v>
      </c>
      <c r="F241" s="11">
        <v>42429</v>
      </c>
      <c r="G241" s="11">
        <v>42720</v>
      </c>
      <c r="H241" t="s">
        <v>285</v>
      </c>
      <c r="J241" s="4" t="s">
        <v>286</v>
      </c>
      <c r="K241" s="4">
        <v>166692</v>
      </c>
      <c r="L241">
        <v>35</v>
      </c>
    </row>
    <row r="242" spans="1:12" x14ac:dyDescent="0.25">
      <c r="A242">
        <f t="shared" si="3"/>
        <v>2016</v>
      </c>
      <c r="B242" s="8">
        <v>81520</v>
      </c>
      <c r="C242" t="s">
        <v>81</v>
      </c>
      <c r="D242" t="s">
        <v>290</v>
      </c>
      <c r="E242" s="11">
        <v>42429</v>
      </c>
      <c r="F242" s="11">
        <v>42429</v>
      </c>
      <c r="G242" s="11">
        <v>42720</v>
      </c>
      <c r="H242" t="s">
        <v>285</v>
      </c>
      <c r="J242" s="4" t="s">
        <v>286</v>
      </c>
      <c r="K242" s="4">
        <v>166692</v>
      </c>
      <c r="L242">
        <v>35</v>
      </c>
    </row>
    <row r="243" spans="1:12" x14ac:dyDescent="0.25">
      <c r="A243">
        <f t="shared" si="3"/>
        <v>2016</v>
      </c>
      <c r="B243" s="8">
        <v>81521</v>
      </c>
      <c r="C243" t="s">
        <v>16</v>
      </c>
      <c r="D243" t="s">
        <v>291</v>
      </c>
      <c r="E243" s="11">
        <v>42429</v>
      </c>
      <c r="F243" s="11">
        <v>42429</v>
      </c>
      <c r="G243" s="11">
        <v>42720</v>
      </c>
      <c r="H243" t="s">
        <v>285</v>
      </c>
      <c r="J243" s="4" t="s">
        <v>286</v>
      </c>
      <c r="K243" s="4">
        <v>97716</v>
      </c>
      <c r="L243">
        <v>35</v>
      </c>
    </row>
    <row r="244" spans="1:12" x14ac:dyDescent="0.25">
      <c r="A244">
        <f t="shared" si="3"/>
        <v>2016</v>
      </c>
      <c r="B244" s="8">
        <v>81522</v>
      </c>
      <c r="C244" t="s">
        <v>16</v>
      </c>
      <c r="D244" t="s">
        <v>291</v>
      </c>
      <c r="E244" s="11">
        <v>42429</v>
      </c>
      <c r="F244" s="11">
        <v>42429</v>
      </c>
      <c r="G244" s="11">
        <v>42720</v>
      </c>
      <c r="H244" t="s">
        <v>285</v>
      </c>
      <c r="J244" s="4" t="s">
        <v>286</v>
      </c>
      <c r="K244" s="4">
        <v>97716</v>
      </c>
      <c r="L244">
        <v>35</v>
      </c>
    </row>
    <row r="245" spans="1:12" x14ac:dyDescent="0.25">
      <c r="A245">
        <f t="shared" si="3"/>
        <v>2016</v>
      </c>
      <c r="B245" s="8">
        <v>81523</v>
      </c>
      <c r="C245" t="s">
        <v>16</v>
      </c>
      <c r="D245" t="s">
        <v>291</v>
      </c>
      <c r="E245" s="11">
        <v>42429</v>
      </c>
      <c r="F245" s="11">
        <v>42429</v>
      </c>
      <c r="G245" s="11">
        <v>42720</v>
      </c>
      <c r="H245" t="s">
        <v>285</v>
      </c>
      <c r="J245" s="4" t="s">
        <v>286</v>
      </c>
      <c r="K245" s="4">
        <v>97716</v>
      </c>
      <c r="L245">
        <v>35</v>
      </c>
    </row>
    <row r="246" spans="1:12" x14ac:dyDescent="0.25">
      <c r="A246">
        <f t="shared" si="3"/>
        <v>2016</v>
      </c>
      <c r="B246" s="8">
        <v>82515</v>
      </c>
      <c r="C246" t="s">
        <v>16</v>
      </c>
      <c r="D246" t="s">
        <v>292</v>
      </c>
      <c r="E246" s="11">
        <v>42578</v>
      </c>
      <c r="F246" s="11">
        <v>42578</v>
      </c>
      <c r="G246" s="11">
        <v>42720</v>
      </c>
      <c r="H246" t="s">
        <v>293</v>
      </c>
      <c r="J246" s="4" t="s">
        <v>294</v>
      </c>
      <c r="K246" s="4">
        <v>69214.06</v>
      </c>
      <c r="L246">
        <v>35</v>
      </c>
    </row>
    <row r="247" spans="1:12" x14ac:dyDescent="0.25">
      <c r="A247">
        <f t="shared" si="3"/>
        <v>2016</v>
      </c>
      <c r="B247" s="8">
        <v>82519</v>
      </c>
      <c r="C247" t="s">
        <v>16</v>
      </c>
      <c r="D247" t="s">
        <v>295</v>
      </c>
      <c r="E247" s="11">
        <v>42578</v>
      </c>
      <c r="F247" s="11">
        <v>42578</v>
      </c>
      <c r="G247" s="11">
        <v>42720</v>
      </c>
      <c r="H247" t="s">
        <v>293</v>
      </c>
      <c r="J247" s="4" t="s">
        <v>294</v>
      </c>
      <c r="K247" s="4">
        <v>231940.82</v>
      </c>
      <c r="L247">
        <v>35</v>
      </c>
    </row>
    <row r="248" spans="1:12" x14ac:dyDescent="0.25">
      <c r="A248">
        <f t="shared" si="3"/>
        <v>2016</v>
      </c>
      <c r="B248" s="8">
        <v>82520</v>
      </c>
      <c r="C248" t="s">
        <v>16</v>
      </c>
      <c r="D248" t="s">
        <v>296</v>
      </c>
      <c r="E248" s="11">
        <v>42578</v>
      </c>
      <c r="F248" s="11">
        <v>42578</v>
      </c>
      <c r="G248" s="11">
        <v>42720</v>
      </c>
      <c r="H248" t="s">
        <v>293</v>
      </c>
      <c r="J248" s="4" t="s">
        <v>294</v>
      </c>
      <c r="K248" s="4">
        <v>113679.10999999999</v>
      </c>
      <c r="L248">
        <v>35</v>
      </c>
    </row>
    <row r="249" spans="1:12" x14ac:dyDescent="0.25">
      <c r="A249">
        <f t="shared" si="3"/>
        <v>2016</v>
      </c>
      <c r="B249" s="8">
        <v>82521</v>
      </c>
      <c r="C249" t="s">
        <v>16</v>
      </c>
      <c r="D249" t="s">
        <v>296</v>
      </c>
      <c r="E249" s="11">
        <v>42578</v>
      </c>
      <c r="F249" s="11">
        <v>42578</v>
      </c>
      <c r="G249" s="11">
        <v>42720</v>
      </c>
      <c r="H249" t="s">
        <v>293</v>
      </c>
      <c r="J249" s="4" t="s">
        <v>294</v>
      </c>
      <c r="K249" s="4">
        <v>113679.09999999999</v>
      </c>
      <c r="L249">
        <v>35</v>
      </c>
    </row>
    <row r="250" spans="1:12" x14ac:dyDescent="0.25">
      <c r="A250">
        <f t="shared" si="3"/>
        <v>2016</v>
      </c>
      <c r="B250" s="8">
        <v>82522</v>
      </c>
      <c r="C250" t="s">
        <v>16</v>
      </c>
      <c r="D250" t="s">
        <v>297</v>
      </c>
      <c r="E250" s="11">
        <v>42578</v>
      </c>
      <c r="F250" s="11">
        <v>42578</v>
      </c>
      <c r="G250" s="11">
        <v>42720</v>
      </c>
      <c r="H250" t="s">
        <v>293</v>
      </c>
      <c r="J250" s="4" t="s">
        <v>294</v>
      </c>
      <c r="K250" s="4">
        <v>48144.960000000006</v>
      </c>
      <c r="L250">
        <v>35</v>
      </c>
    </row>
    <row r="251" spans="1:12" x14ac:dyDescent="0.25">
      <c r="A251">
        <f t="shared" si="3"/>
        <v>2016</v>
      </c>
      <c r="B251" s="8">
        <v>82523</v>
      </c>
      <c r="C251" t="s">
        <v>16</v>
      </c>
      <c r="D251" t="s">
        <v>297</v>
      </c>
      <c r="E251" s="11">
        <v>42578</v>
      </c>
      <c r="F251" s="11">
        <v>42578</v>
      </c>
      <c r="G251" s="11">
        <v>42720</v>
      </c>
      <c r="H251" t="s">
        <v>293</v>
      </c>
      <c r="J251" s="4" t="s">
        <v>294</v>
      </c>
      <c r="K251" s="4">
        <v>48144.950000000004</v>
      </c>
      <c r="L251">
        <v>35</v>
      </c>
    </row>
    <row r="252" spans="1:12" x14ac:dyDescent="0.25">
      <c r="A252">
        <f t="shared" si="3"/>
        <v>2016</v>
      </c>
      <c r="B252" s="8">
        <v>82524</v>
      </c>
      <c r="C252" t="s">
        <v>16</v>
      </c>
      <c r="D252" t="s">
        <v>298</v>
      </c>
      <c r="E252" s="11">
        <v>42578</v>
      </c>
      <c r="F252" s="11">
        <v>42578</v>
      </c>
      <c r="G252" s="11">
        <v>42720</v>
      </c>
      <c r="H252" t="s">
        <v>293</v>
      </c>
      <c r="J252" s="4" t="s">
        <v>294</v>
      </c>
      <c r="K252" s="4">
        <v>52062.16</v>
      </c>
      <c r="L252">
        <v>35</v>
      </c>
    </row>
    <row r="253" spans="1:12" x14ac:dyDescent="0.25">
      <c r="A253">
        <f t="shared" si="3"/>
        <v>2016</v>
      </c>
      <c r="B253" s="8">
        <v>82525</v>
      </c>
      <c r="C253" t="s">
        <v>16</v>
      </c>
      <c r="D253" t="s">
        <v>298</v>
      </c>
      <c r="E253" s="11">
        <v>42578</v>
      </c>
      <c r="F253" s="11">
        <v>42578</v>
      </c>
      <c r="G253" s="11">
        <v>42720</v>
      </c>
      <c r="H253" t="s">
        <v>293</v>
      </c>
      <c r="J253" s="4" t="s">
        <v>294</v>
      </c>
      <c r="K253" s="4">
        <v>52062.15</v>
      </c>
      <c r="L253">
        <v>35</v>
      </c>
    </row>
    <row r="254" spans="1:12" x14ac:dyDescent="0.25">
      <c r="A254">
        <f t="shared" si="3"/>
        <v>2016</v>
      </c>
      <c r="B254" s="8">
        <v>82526</v>
      </c>
      <c r="C254" t="s">
        <v>81</v>
      </c>
      <c r="D254" t="s">
        <v>299</v>
      </c>
      <c r="E254" s="11">
        <v>42578</v>
      </c>
      <c r="F254" s="11">
        <v>42578</v>
      </c>
      <c r="G254" s="11">
        <v>42720</v>
      </c>
      <c r="H254" t="s">
        <v>293</v>
      </c>
      <c r="J254" s="4" t="s">
        <v>294</v>
      </c>
      <c r="K254" s="4">
        <v>21054.13</v>
      </c>
      <c r="L254">
        <v>35</v>
      </c>
    </row>
    <row r="255" spans="1:12" x14ac:dyDescent="0.25">
      <c r="A255">
        <f t="shared" si="3"/>
        <v>2016</v>
      </c>
      <c r="B255" s="8">
        <v>82527</v>
      </c>
      <c r="C255" t="s">
        <v>81</v>
      </c>
      <c r="D255" t="s">
        <v>299</v>
      </c>
      <c r="E255" s="11">
        <v>42578</v>
      </c>
      <c r="F255" s="11">
        <v>42578</v>
      </c>
      <c r="G255" s="11">
        <v>42720</v>
      </c>
      <c r="H255" t="s">
        <v>293</v>
      </c>
      <c r="J255" s="4" t="s">
        <v>294</v>
      </c>
      <c r="K255" s="4">
        <v>21054.13</v>
      </c>
      <c r="L255">
        <v>35</v>
      </c>
    </row>
    <row r="256" spans="1:12" x14ac:dyDescent="0.25">
      <c r="A256">
        <f t="shared" si="3"/>
        <v>2016</v>
      </c>
      <c r="B256" s="8">
        <v>82528</v>
      </c>
      <c r="C256" t="s">
        <v>81</v>
      </c>
      <c r="D256" t="s">
        <v>299</v>
      </c>
      <c r="E256" s="11">
        <v>42578</v>
      </c>
      <c r="F256" s="11">
        <v>42578</v>
      </c>
      <c r="G256" s="11">
        <v>42720</v>
      </c>
      <c r="H256" t="s">
        <v>293</v>
      </c>
      <c r="J256" s="4" t="s">
        <v>294</v>
      </c>
      <c r="K256" s="4">
        <v>21054.13</v>
      </c>
      <c r="L256">
        <v>35</v>
      </c>
    </row>
    <row r="257" spans="1:12" x14ac:dyDescent="0.25">
      <c r="A257">
        <f t="shared" si="3"/>
        <v>2016</v>
      </c>
      <c r="B257" s="8">
        <v>82529</v>
      </c>
      <c r="C257" t="s">
        <v>81</v>
      </c>
      <c r="D257" t="s">
        <v>299</v>
      </c>
      <c r="E257" s="11">
        <v>42578</v>
      </c>
      <c r="F257" s="11">
        <v>42578</v>
      </c>
      <c r="G257" s="11">
        <v>42720</v>
      </c>
      <c r="H257" t="s">
        <v>293</v>
      </c>
      <c r="J257" s="4" t="s">
        <v>294</v>
      </c>
      <c r="K257" s="4">
        <v>21054.13</v>
      </c>
      <c r="L257">
        <v>35</v>
      </c>
    </row>
    <row r="258" spans="1:12" x14ac:dyDescent="0.25">
      <c r="A258">
        <f t="shared" si="3"/>
        <v>2016</v>
      </c>
      <c r="B258" s="8">
        <v>82530</v>
      </c>
      <c r="C258" t="s">
        <v>81</v>
      </c>
      <c r="D258" t="s">
        <v>299</v>
      </c>
      <c r="E258" s="11">
        <v>42578</v>
      </c>
      <c r="F258" s="11">
        <v>42578</v>
      </c>
      <c r="G258" s="11">
        <v>42720</v>
      </c>
      <c r="H258" t="s">
        <v>293</v>
      </c>
      <c r="J258" s="4" t="s">
        <v>294</v>
      </c>
      <c r="K258" s="4">
        <v>21054.13</v>
      </c>
      <c r="L258">
        <v>35</v>
      </c>
    </row>
    <row r="259" spans="1:12" x14ac:dyDescent="0.25">
      <c r="A259">
        <f t="shared" si="3"/>
        <v>2016</v>
      </c>
      <c r="B259" s="8">
        <v>82531</v>
      </c>
      <c r="C259" t="s">
        <v>81</v>
      </c>
      <c r="D259" t="s">
        <v>299</v>
      </c>
      <c r="E259" s="11">
        <v>42578</v>
      </c>
      <c r="F259" s="11">
        <v>42578</v>
      </c>
      <c r="G259" s="11">
        <v>42720</v>
      </c>
      <c r="H259" t="s">
        <v>293</v>
      </c>
      <c r="J259" s="4" t="s">
        <v>294</v>
      </c>
      <c r="K259" s="4">
        <v>21054.1</v>
      </c>
      <c r="L259">
        <v>35</v>
      </c>
    </row>
    <row r="260" spans="1:12" x14ac:dyDescent="0.25">
      <c r="A260">
        <f t="shared" si="3"/>
        <v>2016</v>
      </c>
      <c r="B260" s="8">
        <v>82532</v>
      </c>
      <c r="C260" t="s">
        <v>81</v>
      </c>
      <c r="D260" t="s">
        <v>300</v>
      </c>
      <c r="E260" s="11">
        <v>42578</v>
      </c>
      <c r="F260" s="11">
        <v>42578</v>
      </c>
      <c r="G260" s="11">
        <v>42720</v>
      </c>
      <c r="H260" t="s">
        <v>293</v>
      </c>
      <c r="J260" s="4" t="s">
        <v>294</v>
      </c>
      <c r="K260" s="4">
        <v>22803.160000000003</v>
      </c>
      <c r="L260">
        <v>35</v>
      </c>
    </row>
    <row r="261" spans="1:12" x14ac:dyDescent="0.25">
      <c r="A261">
        <f t="shared" si="3"/>
        <v>2016</v>
      </c>
      <c r="B261" s="8">
        <v>82533</v>
      </c>
      <c r="C261" t="s">
        <v>81</v>
      </c>
      <c r="D261" t="s">
        <v>300</v>
      </c>
      <c r="E261" s="11">
        <v>42578</v>
      </c>
      <c r="F261" s="11">
        <v>42578</v>
      </c>
      <c r="G261" s="11">
        <v>42720</v>
      </c>
      <c r="H261" t="s">
        <v>293</v>
      </c>
      <c r="J261" s="4" t="s">
        <v>294</v>
      </c>
      <c r="K261" s="4">
        <v>22803.160000000003</v>
      </c>
      <c r="L261">
        <v>35</v>
      </c>
    </row>
    <row r="262" spans="1:12" x14ac:dyDescent="0.25">
      <c r="A262">
        <f t="shared" si="3"/>
        <v>2016</v>
      </c>
      <c r="B262" s="8">
        <v>82534</v>
      </c>
      <c r="C262" t="s">
        <v>81</v>
      </c>
      <c r="D262" t="s">
        <v>300</v>
      </c>
      <c r="E262" s="11">
        <v>42578</v>
      </c>
      <c r="F262" s="11">
        <v>42578</v>
      </c>
      <c r="G262" s="11">
        <v>42720</v>
      </c>
      <c r="H262" t="s">
        <v>293</v>
      </c>
      <c r="J262" s="4" t="s">
        <v>294</v>
      </c>
      <c r="K262" s="4">
        <v>22803.160000000003</v>
      </c>
      <c r="L262">
        <v>35</v>
      </c>
    </row>
    <row r="263" spans="1:12" x14ac:dyDescent="0.25">
      <c r="A263">
        <f t="shared" si="3"/>
        <v>2016</v>
      </c>
      <c r="B263" s="8">
        <v>82535</v>
      </c>
      <c r="C263" t="s">
        <v>81</v>
      </c>
      <c r="D263" t="s">
        <v>300</v>
      </c>
      <c r="E263" s="11">
        <v>42578</v>
      </c>
      <c r="F263" s="11">
        <v>42578</v>
      </c>
      <c r="G263" s="11">
        <v>42720</v>
      </c>
      <c r="H263" t="s">
        <v>293</v>
      </c>
      <c r="J263" s="4" t="s">
        <v>294</v>
      </c>
      <c r="K263" s="4">
        <v>22803.160000000003</v>
      </c>
      <c r="L263">
        <v>35</v>
      </c>
    </row>
    <row r="264" spans="1:12" x14ac:dyDescent="0.25">
      <c r="A264">
        <f t="shared" si="3"/>
        <v>2016</v>
      </c>
      <c r="B264" s="8">
        <v>82536</v>
      </c>
      <c r="C264" t="s">
        <v>81</v>
      </c>
      <c r="D264" t="s">
        <v>300</v>
      </c>
      <c r="E264" s="11">
        <v>42578</v>
      </c>
      <c r="F264" s="11">
        <v>42578</v>
      </c>
      <c r="G264" s="11">
        <v>42720</v>
      </c>
      <c r="H264" t="s">
        <v>293</v>
      </c>
      <c r="J264" s="4" t="s">
        <v>294</v>
      </c>
      <c r="K264" s="4">
        <v>22803.160000000003</v>
      </c>
      <c r="L264">
        <v>35</v>
      </c>
    </row>
    <row r="265" spans="1:12" x14ac:dyDescent="0.25">
      <c r="A265">
        <f t="shared" si="3"/>
        <v>2016</v>
      </c>
      <c r="B265" s="8">
        <v>82537</v>
      </c>
      <c r="C265" t="s">
        <v>81</v>
      </c>
      <c r="D265" t="s">
        <v>300</v>
      </c>
      <c r="E265" s="11">
        <v>42578</v>
      </c>
      <c r="F265" s="11">
        <v>42578</v>
      </c>
      <c r="G265" s="11">
        <v>42720</v>
      </c>
      <c r="H265" t="s">
        <v>293</v>
      </c>
      <c r="J265" s="4" t="s">
        <v>294</v>
      </c>
      <c r="K265" s="4">
        <v>22803.160000000003</v>
      </c>
      <c r="L265">
        <v>35</v>
      </c>
    </row>
    <row r="266" spans="1:12" x14ac:dyDescent="0.25">
      <c r="A266">
        <f t="shared" si="3"/>
        <v>2016</v>
      </c>
      <c r="B266" s="8">
        <v>82538</v>
      </c>
      <c r="C266" t="s">
        <v>81</v>
      </c>
      <c r="D266" t="s">
        <v>300</v>
      </c>
      <c r="E266" s="11">
        <v>42578</v>
      </c>
      <c r="F266" s="11">
        <v>42578</v>
      </c>
      <c r="G266" s="11">
        <v>42720</v>
      </c>
      <c r="H266" t="s">
        <v>293</v>
      </c>
      <c r="J266" s="4" t="s">
        <v>294</v>
      </c>
      <c r="K266" s="4">
        <v>22803.160000000003</v>
      </c>
      <c r="L266">
        <v>35</v>
      </c>
    </row>
    <row r="267" spans="1:12" x14ac:dyDescent="0.25">
      <c r="A267">
        <f t="shared" si="3"/>
        <v>2016</v>
      </c>
      <c r="B267" s="8">
        <v>82539</v>
      </c>
      <c r="C267" t="s">
        <v>81</v>
      </c>
      <c r="D267" t="s">
        <v>300</v>
      </c>
      <c r="E267" s="11">
        <v>42578</v>
      </c>
      <c r="F267" s="11">
        <v>42578</v>
      </c>
      <c r="G267" s="11">
        <v>42720</v>
      </c>
      <c r="H267" t="s">
        <v>293</v>
      </c>
      <c r="J267" s="4" t="s">
        <v>294</v>
      </c>
      <c r="K267" s="4">
        <v>22803.160000000003</v>
      </c>
      <c r="L267">
        <v>35</v>
      </c>
    </row>
    <row r="268" spans="1:12" x14ac:dyDescent="0.25">
      <c r="A268">
        <f t="shared" ref="A268:A311" si="4">+YEAR(E268)</f>
        <v>2016</v>
      </c>
      <c r="B268" s="8">
        <v>82540</v>
      </c>
      <c r="C268" t="s">
        <v>81</v>
      </c>
      <c r="D268" t="s">
        <v>300</v>
      </c>
      <c r="E268" s="11">
        <v>42578</v>
      </c>
      <c r="F268" s="11">
        <v>42578</v>
      </c>
      <c r="G268" s="11">
        <v>42720</v>
      </c>
      <c r="H268" t="s">
        <v>293</v>
      </c>
      <c r="J268" s="4" t="s">
        <v>294</v>
      </c>
      <c r="K268" s="4">
        <v>22803.160000000003</v>
      </c>
      <c r="L268">
        <v>35</v>
      </c>
    </row>
    <row r="269" spans="1:12" x14ac:dyDescent="0.25">
      <c r="A269">
        <f t="shared" si="4"/>
        <v>2016</v>
      </c>
      <c r="B269" s="8">
        <v>82541</v>
      </c>
      <c r="C269" t="s">
        <v>81</v>
      </c>
      <c r="D269" t="s">
        <v>300</v>
      </c>
      <c r="E269" s="11">
        <v>42578</v>
      </c>
      <c r="F269" s="11">
        <v>42578</v>
      </c>
      <c r="G269" s="11">
        <v>42720</v>
      </c>
      <c r="H269" t="s">
        <v>293</v>
      </c>
      <c r="J269" s="4" t="s">
        <v>294</v>
      </c>
      <c r="K269" s="4">
        <v>22803.160000000003</v>
      </c>
      <c r="L269">
        <v>35</v>
      </c>
    </row>
    <row r="270" spans="1:12" x14ac:dyDescent="0.25">
      <c r="A270">
        <f t="shared" si="4"/>
        <v>2016</v>
      </c>
      <c r="B270" s="8">
        <v>82542</v>
      </c>
      <c r="C270" t="s">
        <v>81</v>
      </c>
      <c r="D270" t="s">
        <v>300</v>
      </c>
      <c r="E270" s="11">
        <v>42578</v>
      </c>
      <c r="F270" s="11">
        <v>42578</v>
      </c>
      <c r="G270" s="11">
        <v>42720</v>
      </c>
      <c r="H270" t="s">
        <v>293</v>
      </c>
      <c r="J270" s="4" t="s">
        <v>294</v>
      </c>
      <c r="K270" s="4">
        <v>22803.160000000003</v>
      </c>
      <c r="L270">
        <v>35</v>
      </c>
    </row>
    <row r="271" spans="1:12" x14ac:dyDescent="0.25">
      <c r="A271">
        <f t="shared" si="4"/>
        <v>2016</v>
      </c>
      <c r="B271" s="8">
        <v>82543</v>
      </c>
      <c r="C271" t="s">
        <v>81</v>
      </c>
      <c r="D271" t="s">
        <v>300</v>
      </c>
      <c r="E271" s="11">
        <v>42578</v>
      </c>
      <c r="F271" s="11">
        <v>42578</v>
      </c>
      <c r="G271" s="11">
        <v>42720</v>
      </c>
      <c r="H271" t="s">
        <v>293</v>
      </c>
      <c r="J271" s="4" t="s">
        <v>294</v>
      </c>
      <c r="K271" s="4">
        <v>22803.189999999995</v>
      </c>
      <c r="L271">
        <v>35</v>
      </c>
    </row>
    <row r="272" spans="1:12" x14ac:dyDescent="0.25">
      <c r="A272">
        <f t="shared" si="4"/>
        <v>2016</v>
      </c>
      <c r="B272" s="8">
        <v>82550</v>
      </c>
      <c r="C272" t="s">
        <v>16</v>
      </c>
      <c r="D272" t="s">
        <v>301</v>
      </c>
      <c r="E272" s="11">
        <v>42578</v>
      </c>
      <c r="F272" s="11">
        <v>42578</v>
      </c>
      <c r="G272" s="11">
        <v>42720</v>
      </c>
      <c r="H272" t="s">
        <v>302</v>
      </c>
      <c r="J272" s="4" t="s">
        <v>303</v>
      </c>
      <c r="K272" s="4">
        <v>381960.36</v>
      </c>
      <c r="L272">
        <v>35</v>
      </c>
    </row>
    <row r="273" spans="1:12" x14ac:dyDescent="0.25">
      <c r="A273">
        <f t="shared" si="4"/>
        <v>2016</v>
      </c>
      <c r="B273" s="8">
        <v>82551</v>
      </c>
      <c r="C273" t="s">
        <v>16</v>
      </c>
      <c r="D273" t="s">
        <v>304</v>
      </c>
      <c r="E273" s="11">
        <v>42578</v>
      </c>
      <c r="F273" s="11">
        <v>42578</v>
      </c>
      <c r="G273" s="11">
        <v>42720</v>
      </c>
      <c r="H273" t="s">
        <v>302</v>
      </c>
      <c r="J273" s="4" t="s">
        <v>303</v>
      </c>
      <c r="K273" s="4">
        <v>234793.14</v>
      </c>
      <c r="L273">
        <v>35</v>
      </c>
    </row>
    <row r="274" spans="1:12" x14ac:dyDescent="0.25">
      <c r="A274">
        <f t="shared" si="4"/>
        <v>2016</v>
      </c>
      <c r="B274" s="8">
        <v>82555</v>
      </c>
      <c r="C274" t="s">
        <v>16</v>
      </c>
      <c r="D274" t="s">
        <v>305</v>
      </c>
      <c r="E274" s="11">
        <v>42578</v>
      </c>
      <c r="F274" s="11">
        <v>42578</v>
      </c>
      <c r="G274" s="11">
        <v>42720</v>
      </c>
      <c r="H274" t="s">
        <v>302</v>
      </c>
      <c r="J274" s="4" t="s">
        <v>303</v>
      </c>
      <c r="K274" s="4">
        <v>136342.71</v>
      </c>
      <c r="L274">
        <v>35</v>
      </c>
    </row>
    <row r="275" spans="1:12" x14ac:dyDescent="0.25">
      <c r="A275">
        <f t="shared" si="4"/>
        <v>2016</v>
      </c>
      <c r="B275" s="8">
        <v>82556</v>
      </c>
      <c r="C275" t="s">
        <v>16</v>
      </c>
      <c r="D275" t="s">
        <v>305</v>
      </c>
      <c r="E275" s="11">
        <v>42578</v>
      </c>
      <c r="F275" s="11">
        <v>42578</v>
      </c>
      <c r="G275" s="11">
        <v>42720</v>
      </c>
      <c r="H275" t="s">
        <v>302</v>
      </c>
      <c r="J275" s="4" t="s">
        <v>303</v>
      </c>
      <c r="K275" s="4">
        <v>136342.71</v>
      </c>
      <c r="L275">
        <v>35</v>
      </c>
    </row>
    <row r="276" spans="1:12" x14ac:dyDescent="0.25">
      <c r="A276">
        <f t="shared" si="4"/>
        <v>2016</v>
      </c>
      <c r="B276" s="8">
        <v>82557</v>
      </c>
      <c r="C276" t="s">
        <v>16</v>
      </c>
      <c r="D276" t="s">
        <v>305</v>
      </c>
      <c r="E276" s="11">
        <v>42578</v>
      </c>
      <c r="F276" s="11">
        <v>42578</v>
      </c>
      <c r="G276" s="11">
        <v>42720</v>
      </c>
      <c r="H276" t="s">
        <v>302</v>
      </c>
      <c r="J276" s="4" t="s">
        <v>303</v>
      </c>
      <c r="K276" s="4">
        <v>136342.71</v>
      </c>
      <c r="L276">
        <v>35</v>
      </c>
    </row>
    <row r="277" spans="1:12" x14ac:dyDescent="0.25">
      <c r="A277">
        <f t="shared" si="4"/>
        <v>2016</v>
      </c>
      <c r="B277" s="8">
        <v>82558</v>
      </c>
      <c r="C277" t="s">
        <v>16</v>
      </c>
      <c r="D277" t="s">
        <v>305</v>
      </c>
      <c r="E277" s="11">
        <v>42578</v>
      </c>
      <c r="F277" s="11">
        <v>42578</v>
      </c>
      <c r="G277" s="11">
        <v>42720</v>
      </c>
      <c r="H277" t="s">
        <v>302</v>
      </c>
      <c r="J277" s="4" t="s">
        <v>303</v>
      </c>
      <c r="K277" s="4">
        <v>136342.69</v>
      </c>
      <c r="L277">
        <v>35</v>
      </c>
    </row>
    <row r="278" spans="1:12" x14ac:dyDescent="0.25">
      <c r="A278">
        <f t="shared" si="4"/>
        <v>2016</v>
      </c>
      <c r="B278" s="8">
        <v>82559</v>
      </c>
      <c r="C278" t="s">
        <v>16</v>
      </c>
      <c r="D278" t="s">
        <v>306</v>
      </c>
      <c r="E278" s="11">
        <v>42578</v>
      </c>
      <c r="F278" s="11">
        <v>42578</v>
      </c>
      <c r="G278" s="11">
        <v>42720</v>
      </c>
      <c r="H278" t="s">
        <v>302</v>
      </c>
      <c r="J278" s="4" t="s">
        <v>303</v>
      </c>
      <c r="K278" s="4">
        <v>27562.93</v>
      </c>
      <c r="L278">
        <v>35</v>
      </c>
    </row>
    <row r="279" spans="1:12" x14ac:dyDescent="0.25">
      <c r="A279">
        <f t="shared" si="4"/>
        <v>2016</v>
      </c>
      <c r="B279" s="8">
        <v>82560</v>
      </c>
      <c r="C279" t="s">
        <v>16</v>
      </c>
      <c r="D279" t="s">
        <v>306</v>
      </c>
      <c r="E279" s="11">
        <v>42578</v>
      </c>
      <c r="F279" s="11">
        <v>42578</v>
      </c>
      <c r="G279" s="11">
        <v>42720</v>
      </c>
      <c r="H279" t="s">
        <v>302</v>
      </c>
      <c r="J279" s="4" t="s">
        <v>303</v>
      </c>
      <c r="K279" s="4">
        <v>27562.93</v>
      </c>
      <c r="L279">
        <v>35</v>
      </c>
    </row>
    <row r="280" spans="1:12" x14ac:dyDescent="0.25">
      <c r="A280">
        <f t="shared" si="4"/>
        <v>2016</v>
      </c>
      <c r="B280" s="8">
        <v>82561</v>
      </c>
      <c r="C280" t="s">
        <v>16</v>
      </c>
      <c r="D280" t="s">
        <v>306</v>
      </c>
      <c r="E280" s="11">
        <v>42578</v>
      </c>
      <c r="F280" s="11">
        <v>42578</v>
      </c>
      <c r="G280" s="11">
        <v>42720</v>
      </c>
      <c r="H280" t="s">
        <v>302</v>
      </c>
      <c r="J280" s="4" t="s">
        <v>303</v>
      </c>
      <c r="K280" s="4">
        <v>27562.93</v>
      </c>
      <c r="L280">
        <v>35</v>
      </c>
    </row>
    <row r="281" spans="1:12" x14ac:dyDescent="0.25">
      <c r="A281">
        <f t="shared" si="4"/>
        <v>2016</v>
      </c>
      <c r="B281" s="8">
        <v>82562</v>
      </c>
      <c r="C281" t="s">
        <v>16</v>
      </c>
      <c r="D281" t="s">
        <v>306</v>
      </c>
      <c r="E281" s="11">
        <v>42578</v>
      </c>
      <c r="F281" s="11">
        <v>42578</v>
      </c>
      <c r="G281" s="11">
        <v>42720</v>
      </c>
      <c r="H281" t="s">
        <v>302</v>
      </c>
      <c r="J281" s="4" t="s">
        <v>303</v>
      </c>
      <c r="K281" s="4">
        <v>27562.93</v>
      </c>
      <c r="L281">
        <v>35</v>
      </c>
    </row>
    <row r="282" spans="1:12" x14ac:dyDescent="0.25">
      <c r="A282">
        <f t="shared" si="4"/>
        <v>2016</v>
      </c>
      <c r="B282" s="8">
        <v>82563</v>
      </c>
      <c r="C282" t="s">
        <v>16</v>
      </c>
      <c r="D282" t="s">
        <v>306</v>
      </c>
      <c r="E282" s="11">
        <v>42578</v>
      </c>
      <c r="F282" s="11">
        <v>42578</v>
      </c>
      <c r="G282" s="11">
        <v>42720</v>
      </c>
      <c r="H282" t="s">
        <v>302</v>
      </c>
      <c r="J282" s="4" t="s">
        <v>303</v>
      </c>
      <c r="K282" s="4">
        <v>27562.93</v>
      </c>
      <c r="L282">
        <v>35</v>
      </c>
    </row>
    <row r="283" spans="1:12" x14ac:dyDescent="0.25">
      <c r="A283">
        <f t="shared" si="4"/>
        <v>2016</v>
      </c>
      <c r="B283" s="8">
        <v>82564</v>
      </c>
      <c r="C283" t="s">
        <v>16</v>
      </c>
      <c r="D283" t="s">
        <v>306</v>
      </c>
      <c r="E283" s="11">
        <v>42578</v>
      </c>
      <c r="F283" s="11">
        <v>42578</v>
      </c>
      <c r="G283" s="11">
        <v>42720</v>
      </c>
      <c r="H283" t="s">
        <v>302</v>
      </c>
      <c r="J283" s="4" t="s">
        <v>303</v>
      </c>
      <c r="K283" s="4">
        <v>27562.93</v>
      </c>
      <c r="L283">
        <v>35</v>
      </c>
    </row>
    <row r="284" spans="1:12" x14ac:dyDescent="0.25">
      <c r="A284">
        <f t="shared" si="4"/>
        <v>2016</v>
      </c>
      <c r="B284" s="8">
        <v>82565</v>
      </c>
      <c r="C284" t="s">
        <v>16</v>
      </c>
      <c r="D284" t="s">
        <v>306</v>
      </c>
      <c r="E284" s="11">
        <v>42578</v>
      </c>
      <c r="F284" s="11">
        <v>42578</v>
      </c>
      <c r="G284" s="11">
        <v>42720</v>
      </c>
      <c r="H284" t="s">
        <v>302</v>
      </c>
      <c r="J284" s="4" t="s">
        <v>303</v>
      </c>
      <c r="K284" s="4">
        <v>27562.93</v>
      </c>
      <c r="L284">
        <v>35</v>
      </c>
    </row>
    <row r="285" spans="1:12" x14ac:dyDescent="0.25">
      <c r="A285">
        <f t="shared" si="4"/>
        <v>2016</v>
      </c>
      <c r="B285" s="8">
        <v>82566</v>
      </c>
      <c r="C285" t="s">
        <v>16</v>
      </c>
      <c r="D285" t="s">
        <v>306</v>
      </c>
      <c r="E285" s="11">
        <v>42578</v>
      </c>
      <c r="F285" s="11">
        <v>42578</v>
      </c>
      <c r="G285" s="11">
        <v>42720</v>
      </c>
      <c r="H285" t="s">
        <v>302</v>
      </c>
      <c r="J285" s="4" t="s">
        <v>303</v>
      </c>
      <c r="K285" s="4">
        <v>27562.93</v>
      </c>
      <c r="L285">
        <v>35</v>
      </c>
    </row>
    <row r="286" spans="1:12" x14ac:dyDescent="0.25">
      <c r="A286">
        <f t="shared" si="4"/>
        <v>2016</v>
      </c>
      <c r="B286" s="8">
        <v>82567</v>
      </c>
      <c r="C286" t="s">
        <v>16</v>
      </c>
      <c r="D286" t="s">
        <v>306</v>
      </c>
      <c r="E286" s="11">
        <v>42578</v>
      </c>
      <c r="F286" s="11">
        <v>42578</v>
      </c>
      <c r="G286" s="11">
        <v>42720</v>
      </c>
      <c r="H286" t="s">
        <v>302</v>
      </c>
      <c r="J286" s="4" t="s">
        <v>303</v>
      </c>
      <c r="K286" s="4">
        <v>27562.93</v>
      </c>
      <c r="L286">
        <v>35</v>
      </c>
    </row>
    <row r="287" spans="1:12" x14ac:dyDescent="0.25">
      <c r="A287">
        <f t="shared" si="4"/>
        <v>2016</v>
      </c>
      <c r="B287" s="8">
        <v>82568</v>
      </c>
      <c r="C287" t="s">
        <v>16</v>
      </c>
      <c r="D287" t="s">
        <v>306</v>
      </c>
      <c r="E287" s="11">
        <v>42578</v>
      </c>
      <c r="F287" s="11">
        <v>42578</v>
      </c>
      <c r="G287" s="11">
        <v>42720</v>
      </c>
      <c r="H287" t="s">
        <v>302</v>
      </c>
      <c r="J287" s="4" t="s">
        <v>303</v>
      </c>
      <c r="K287" s="4">
        <v>27562.93</v>
      </c>
      <c r="L287">
        <v>35</v>
      </c>
    </row>
    <row r="288" spans="1:12" x14ac:dyDescent="0.25">
      <c r="A288">
        <f t="shared" si="4"/>
        <v>2016</v>
      </c>
      <c r="B288" s="8">
        <v>82569</v>
      </c>
      <c r="C288" t="s">
        <v>16</v>
      </c>
      <c r="D288" t="s">
        <v>306</v>
      </c>
      <c r="E288" s="11">
        <v>42578</v>
      </c>
      <c r="F288" s="11">
        <v>42578</v>
      </c>
      <c r="G288" s="11">
        <v>42720</v>
      </c>
      <c r="H288" t="s">
        <v>302</v>
      </c>
      <c r="J288" s="4" t="s">
        <v>303</v>
      </c>
      <c r="K288" s="4">
        <v>27562.93</v>
      </c>
      <c r="L288">
        <v>35</v>
      </c>
    </row>
    <row r="289" spans="1:12" x14ac:dyDescent="0.25">
      <c r="A289">
        <f t="shared" si="4"/>
        <v>2016</v>
      </c>
      <c r="B289" s="8">
        <v>82570</v>
      </c>
      <c r="C289" t="s">
        <v>16</v>
      </c>
      <c r="D289" t="s">
        <v>306</v>
      </c>
      <c r="E289" s="11">
        <v>42578</v>
      </c>
      <c r="F289" s="11">
        <v>42578</v>
      </c>
      <c r="G289" s="11">
        <v>42720</v>
      </c>
      <c r="H289" t="s">
        <v>302</v>
      </c>
      <c r="J289" s="4" t="s">
        <v>303</v>
      </c>
      <c r="K289" s="4">
        <v>27562.94</v>
      </c>
      <c r="L289">
        <v>35</v>
      </c>
    </row>
    <row r="290" spans="1:12" x14ac:dyDescent="0.25">
      <c r="A290">
        <f t="shared" si="4"/>
        <v>2016</v>
      </c>
      <c r="B290" s="8">
        <v>82571</v>
      </c>
      <c r="C290" t="s">
        <v>16</v>
      </c>
      <c r="D290" t="s">
        <v>307</v>
      </c>
      <c r="E290" s="11">
        <v>42578</v>
      </c>
      <c r="F290" s="11">
        <v>42578</v>
      </c>
      <c r="G290" s="11">
        <v>42720</v>
      </c>
      <c r="H290" t="s">
        <v>302</v>
      </c>
      <c r="J290" s="4" t="s">
        <v>303</v>
      </c>
      <c r="K290" s="4">
        <v>86046.01</v>
      </c>
      <c r="L290">
        <v>35</v>
      </c>
    </row>
    <row r="291" spans="1:12" x14ac:dyDescent="0.25">
      <c r="A291">
        <f t="shared" si="4"/>
        <v>2016</v>
      </c>
      <c r="B291" s="8">
        <v>82572</v>
      </c>
      <c r="C291" t="s">
        <v>16</v>
      </c>
      <c r="D291" t="s">
        <v>307</v>
      </c>
      <c r="E291" s="11">
        <v>42578</v>
      </c>
      <c r="F291" s="11">
        <v>42578</v>
      </c>
      <c r="G291" s="11">
        <v>42720</v>
      </c>
      <c r="H291" t="s">
        <v>302</v>
      </c>
      <c r="J291" s="4" t="s">
        <v>303</v>
      </c>
      <c r="K291" s="4">
        <v>86046.01</v>
      </c>
      <c r="L291">
        <v>35</v>
      </c>
    </row>
    <row r="292" spans="1:12" x14ac:dyDescent="0.25">
      <c r="A292">
        <f t="shared" si="4"/>
        <v>2016</v>
      </c>
      <c r="B292" s="8">
        <v>82573</v>
      </c>
      <c r="C292" t="s">
        <v>16</v>
      </c>
      <c r="D292" t="s">
        <v>308</v>
      </c>
      <c r="E292" s="11">
        <v>42578</v>
      </c>
      <c r="F292" s="11">
        <v>42578</v>
      </c>
      <c r="G292" s="11">
        <v>42720</v>
      </c>
      <c r="H292" t="s">
        <v>302</v>
      </c>
      <c r="J292" s="4" t="s">
        <v>303</v>
      </c>
      <c r="K292" s="4">
        <v>15134.58</v>
      </c>
      <c r="L292">
        <v>35</v>
      </c>
    </row>
    <row r="293" spans="1:12" x14ac:dyDescent="0.25">
      <c r="A293">
        <f t="shared" si="4"/>
        <v>2016</v>
      </c>
      <c r="B293" s="8">
        <v>82574</v>
      </c>
      <c r="C293" t="s">
        <v>16</v>
      </c>
      <c r="D293" t="s">
        <v>308</v>
      </c>
      <c r="E293" s="11">
        <v>42578</v>
      </c>
      <c r="F293" s="11">
        <v>42578</v>
      </c>
      <c r="G293" s="11">
        <v>42720</v>
      </c>
      <c r="H293" t="s">
        <v>302</v>
      </c>
      <c r="J293" s="4" t="s">
        <v>303</v>
      </c>
      <c r="K293" s="4">
        <v>15134.58</v>
      </c>
      <c r="L293">
        <v>35</v>
      </c>
    </row>
    <row r="294" spans="1:12" x14ac:dyDescent="0.25">
      <c r="A294">
        <f t="shared" si="4"/>
        <v>2016</v>
      </c>
      <c r="B294" s="8">
        <v>82575</v>
      </c>
      <c r="C294" t="s">
        <v>16</v>
      </c>
      <c r="D294" t="s">
        <v>308</v>
      </c>
      <c r="E294" s="11">
        <v>42578</v>
      </c>
      <c r="F294" s="11">
        <v>42578</v>
      </c>
      <c r="G294" s="11">
        <v>42720</v>
      </c>
      <c r="H294" t="s">
        <v>302</v>
      </c>
      <c r="J294" s="4" t="s">
        <v>303</v>
      </c>
      <c r="K294" s="4">
        <v>15134.58</v>
      </c>
      <c r="L294">
        <v>35</v>
      </c>
    </row>
    <row r="295" spans="1:12" x14ac:dyDescent="0.25">
      <c r="A295">
        <f t="shared" si="4"/>
        <v>2016</v>
      </c>
      <c r="B295" s="8">
        <v>82576</v>
      </c>
      <c r="C295" t="s">
        <v>16</v>
      </c>
      <c r="D295" t="s">
        <v>308</v>
      </c>
      <c r="E295" s="11">
        <v>42578</v>
      </c>
      <c r="F295" s="11">
        <v>42578</v>
      </c>
      <c r="G295" s="11">
        <v>42720</v>
      </c>
      <c r="H295" t="s">
        <v>302</v>
      </c>
      <c r="J295" s="4" t="s">
        <v>303</v>
      </c>
      <c r="K295" s="4">
        <v>15134.58</v>
      </c>
      <c r="L295">
        <v>35</v>
      </c>
    </row>
    <row r="296" spans="1:12" x14ac:dyDescent="0.25">
      <c r="A296">
        <f t="shared" si="4"/>
        <v>2016</v>
      </c>
      <c r="B296" s="8">
        <v>82577</v>
      </c>
      <c r="C296" t="s">
        <v>16</v>
      </c>
      <c r="D296" t="s">
        <v>308</v>
      </c>
      <c r="E296" s="11">
        <v>42578</v>
      </c>
      <c r="F296" s="11">
        <v>42578</v>
      </c>
      <c r="G296" s="11">
        <v>42720</v>
      </c>
      <c r="H296" t="s">
        <v>302</v>
      </c>
      <c r="J296" s="4" t="s">
        <v>303</v>
      </c>
      <c r="K296" s="4">
        <v>15134.58</v>
      </c>
      <c r="L296">
        <v>35</v>
      </c>
    </row>
    <row r="297" spans="1:12" x14ac:dyDescent="0.25">
      <c r="A297">
        <f t="shared" si="4"/>
        <v>2016</v>
      </c>
      <c r="B297" s="8">
        <v>82578</v>
      </c>
      <c r="C297" t="s">
        <v>16</v>
      </c>
      <c r="D297" t="s">
        <v>308</v>
      </c>
      <c r="E297" s="11">
        <v>42578</v>
      </c>
      <c r="F297" s="11">
        <v>42578</v>
      </c>
      <c r="G297" s="11">
        <v>42720</v>
      </c>
      <c r="H297" t="s">
        <v>302</v>
      </c>
      <c r="J297" s="4" t="s">
        <v>303</v>
      </c>
      <c r="K297" s="4">
        <v>15134.59</v>
      </c>
      <c r="L297">
        <v>35</v>
      </c>
    </row>
    <row r="298" spans="1:12" x14ac:dyDescent="0.25">
      <c r="A298">
        <f t="shared" si="4"/>
        <v>2016</v>
      </c>
      <c r="B298" s="8">
        <v>82579</v>
      </c>
      <c r="C298" t="s">
        <v>81</v>
      </c>
      <c r="D298" t="s">
        <v>309</v>
      </c>
      <c r="E298" s="11">
        <v>42578</v>
      </c>
      <c r="F298" s="11">
        <v>42578</v>
      </c>
      <c r="G298" s="11">
        <v>42720</v>
      </c>
      <c r="H298" t="s">
        <v>302</v>
      </c>
      <c r="J298" s="4" t="s">
        <v>303</v>
      </c>
      <c r="K298" s="4">
        <v>29130.55</v>
      </c>
      <c r="L298">
        <v>35</v>
      </c>
    </row>
    <row r="299" spans="1:12" x14ac:dyDescent="0.25">
      <c r="A299">
        <f t="shared" si="4"/>
        <v>2016</v>
      </c>
      <c r="B299" s="8">
        <v>82580</v>
      </c>
      <c r="C299" t="s">
        <v>81</v>
      </c>
      <c r="D299" t="s">
        <v>309</v>
      </c>
      <c r="E299" s="11">
        <v>42578</v>
      </c>
      <c r="F299" s="11">
        <v>42578</v>
      </c>
      <c r="G299" s="11">
        <v>42720</v>
      </c>
      <c r="H299" t="s">
        <v>302</v>
      </c>
      <c r="J299" s="4" t="s">
        <v>303</v>
      </c>
      <c r="K299" s="4">
        <v>29130.55</v>
      </c>
      <c r="L299">
        <v>35</v>
      </c>
    </row>
    <row r="300" spans="1:12" x14ac:dyDescent="0.25">
      <c r="A300">
        <f t="shared" si="4"/>
        <v>2016</v>
      </c>
      <c r="B300" s="8">
        <v>82581</v>
      </c>
      <c r="C300" t="s">
        <v>81</v>
      </c>
      <c r="D300" t="s">
        <v>309</v>
      </c>
      <c r="E300" s="11">
        <v>42578</v>
      </c>
      <c r="F300" s="11">
        <v>42578</v>
      </c>
      <c r="G300" s="11">
        <v>42720</v>
      </c>
      <c r="H300" t="s">
        <v>302</v>
      </c>
      <c r="J300" s="4" t="s">
        <v>303</v>
      </c>
      <c r="K300" s="4">
        <v>29130.55</v>
      </c>
      <c r="L300">
        <v>35</v>
      </c>
    </row>
    <row r="301" spans="1:12" x14ac:dyDescent="0.25">
      <c r="A301">
        <f t="shared" si="4"/>
        <v>2016</v>
      </c>
      <c r="B301" s="8">
        <v>82582</v>
      </c>
      <c r="C301" t="s">
        <v>81</v>
      </c>
      <c r="D301" t="s">
        <v>309</v>
      </c>
      <c r="E301" s="11">
        <v>42578</v>
      </c>
      <c r="F301" s="11">
        <v>42578</v>
      </c>
      <c r="G301" s="11">
        <v>42720</v>
      </c>
      <c r="H301" t="s">
        <v>302</v>
      </c>
      <c r="J301" s="4" t="s">
        <v>303</v>
      </c>
      <c r="K301" s="4">
        <v>29130.55</v>
      </c>
      <c r="L301">
        <v>35</v>
      </c>
    </row>
    <row r="302" spans="1:12" x14ac:dyDescent="0.25">
      <c r="A302">
        <f t="shared" si="4"/>
        <v>2016</v>
      </c>
      <c r="B302" s="8">
        <v>82583</v>
      </c>
      <c r="C302" t="s">
        <v>81</v>
      </c>
      <c r="D302" t="s">
        <v>309</v>
      </c>
      <c r="E302" s="11">
        <v>42578</v>
      </c>
      <c r="F302" s="11">
        <v>42578</v>
      </c>
      <c r="G302" s="11">
        <v>42720</v>
      </c>
      <c r="H302" t="s">
        <v>302</v>
      </c>
      <c r="J302" s="4" t="s">
        <v>303</v>
      </c>
      <c r="K302" s="4">
        <v>29130.55</v>
      </c>
      <c r="L302">
        <v>35</v>
      </c>
    </row>
    <row r="303" spans="1:12" x14ac:dyDescent="0.25">
      <c r="A303">
        <f t="shared" si="4"/>
        <v>2016</v>
      </c>
      <c r="B303" s="8">
        <v>82584</v>
      </c>
      <c r="C303" t="s">
        <v>81</v>
      </c>
      <c r="D303" t="s">
        <v>309</v>
      </c>
      <c r="E303" s="11">
        <v>42578</v>
      </c>
      <c r="F303" s="11">
        <v>42578</v>
      </c>
      <c r="G303" s="11">
        <v>42720</v>
      </c>
      <c r="H303" t="s">
        <v>302</v>
      </c>
      <c r="J303" s="4" t="s">
        <v>303</v>
      </c>
      <c r="K303" s="4">
        <v>29130.53</v>
      </c>
      <c r="L303">
        <v>35</v>
      </c>
    </row>
    <row r="304" spans="1:12" x14ac:dyDescent="0.25">
      <c r="A304">
        <f t="shared" si="4"/>
        <v>2016</v>
      </c>
      <c r="B304" s="8">
        <v>82585</v>
      </c>
      <c r="C304" t="s">
        <v>81</v>
      </c>
      <c r="D304" t="s">
        <v>310</v>
      </c>
      <c r="E304" s="11">
        <v>42578</v>
      </c>
      <c r="F304" s="11">
        <v>42578</v>
      </c>
      <c r="G304" s="11">
        <v>42720</v>
      </c>
      <c r="H304" t="s">
        <v>302</v>
      </c>
      <c r="J304" s="4" t="s">
        <v>303</v>
      </c>
      <c r="K304" s="4">
        <v>150865.82</v>
      </c>
      <c r="L304">
        <v>35</v>
      </c>
    </row>
    <row r="305" spans="1:12" x14ac:dyDescent="0.25">
      <c r="A305">
        <f t="shared" si="4"/>
        <v>2016</v>
      </c>
      <c r="B305" s="8">
        <v>82586</v>
      </c>
      <c r="C305" t="s">
        <v>81</v>
      </c>
      <c r="D305" t="s">
        <v>310</v>
      </c>
      <c r="E305" s="11">
        <v>42578</v>
      </c>
      <c r="F305" s="11">
        <v>42578</v>
      </c>
      <c r="G305" s="11">
        <v>42720</v>
      </c>
      <c r="H305" t="s">
        <v>302</v>
      </c>
      <c r="J305" s="4" t="s">
        <v>303</v>
      </c>
      <c r="K305" s="4">
        <v>150865.82</v>
      </c>
      <c r="L305">
        <v>35</v>
      </c>
    </row>
    <row r="306" spans="1:12" x14ac:dyDescent="0.25">
      <c r="A306">
        <f t="shared" si="4"/>
        <v>2016</v>
      </c>
      <c r="B306" s="8">
        <v>82587</v>
      </c>
      <c r="C306" t="s">
        <v>16</v>
      </c>
      <c r="D306" t="s">
        <v>311</v>
      </c>
      <c r="E306" s="11">
        <v>42551</v>
      </c>
      <c r="F306" s="11">
        <v>42551</v>
      </c>
      <c r="G306" s="11">
        <v>42720</v>
      </c>
      <c r="H306" t="s">
        <v>312</v>
      </c>
      <c r="J306" s="4" t="s">
        <v>313</v>
      </c>
      <c r="K306" s="4">
        <v>273142.76</v>
      </c>
      <c r="L306">
        <v>35</v>
      </c>
    </row>
    <row r="307" spans="1:12" x14ac:dyDescent="0.25">
      <c r="A307">
        <f t="shared" si="4"/>
        <v>2016</v>
      </c>
      <c r="B307" s="8">
        <v>82588</v>
      </c>
      <c r="C307" t="s">
        <v>16</v>
      </c>
      <c r="D307" t="s">
        <v>314</v>
      </c>
      <c r="E307" s="11">
        <v>42551</v>
      </c>
      <c r="F307" s="11">
        <v>42551</v>
      </c>
      <c r="G307" s="11">
        <v>42720</v>
      </c>
      <c r="H307" t="s">
        <v>312</v>
      </c>
      <c r="J307" s="4" t="s">
        <v>313</v>
      </c>
      <c r="K307" s="4">
        <v>206279.55</v>
      </c>
      <c r="L307">
        <v>35</v>
      </c>
    </row>
    <row r="308" spans="1:12" x14ac:dyDescent="0.25">
      <c r="A308">
        <f t="shared" si="4"/>
        <v>2016</v>
      </c>
      <c r="B308" s="8">
        <v>82589</v>
      </c>
      <c r="C308" t="s">
        <v>16</v>
      </c>
      <c r="D308" t="s">
        <v>315</v>
      </c>
      <c r="E308" s="11">
        <v>42551</v>
      </c>
      <c r="F308" s="11">
        <v>42551</v>
      </c>
      <c r="G308" s="11">
        <v>42720</v>
      </c>
      <c r="H308" t="s">
        <v>312</v>
      </c>
      <c r="J308" s="4" t="s">
        <v>313</v>
      </c>
      <c r="K308" s="4">
        <v>169830.35</v>
      </c>
      <c r="L308">
        <v>35</v>
      </c>
    </row>
    <row r="309" spans="1:12" x14ac:dyDescent="0.25">
      <c r="A309">
        <f t="shared" si="4"/>
        <v>2016</v>
      </c>
      <c r="B309" s="8">
        <v>82590</v>
      </c>
      <c r="C309" t="s">
        <v>81</v>
      </c>
      <c r="D309" t="s">
        <v>316</v>
      </c>
      <c r="E309" s="11">
        <v>42551</v>
      </c>
      <c r="F309" s="11">
        <v>42551</v>
      </c>
      <c r="G309" s="11">
        <v>42720</v>
      </c>
      <c r="H309" t="s">
        <v>312</v>
      </c>
      <c r="J309" s="4" t="s">
        <v>313</v>
      </c>
      <c r="K309" s="4">
        <v>241696.29</v>
      </c>
      <c r="L309">
        <v>35</v>
      </c>
    </row>
    <row r="310" spans="1:12" x14ac:dyDescent="0.25">
      <c r="A310">
        <f t="shared" si="4"/>
        <v>2016</v>
      </c>
      <c r="B310" s="8">
        <v>82591</v>
      </c>
      <c r="C310" t="s">
        <v>81</v>
      </c>
      <c r="D310" t="s">
        <v>317</v>
      </c>
      <c r="E310" s="11">
        <v>42551</v>
      </c>
      <c r="F310" s="11">
        <v>42551</v>
      </c>
      <c r="G310" s="11">
        <v>42720</v>
      </c>
      <c r="H310" t="s">
        <v>312</v>
      </c>
      <c r="J310" s="4" t="s">
        <v>313</v>
      </c>
      <c r="K310" s="4">
        <v>169002.72</v>
      </c>
      <c r="L310">
        <v>35</v>
      </c>
    </row>
    <row r="311" spans="1:12" x14ac:dyDescent="0.25">
      <c r="A311">
        <f t="shared" si="4"/>
        <v>2016</v>
      </c>
      <c r="B311" s="8">
        <v>82592</v>
      </c>
      <c r="C311" t="s">
        <v>16</v>
      </c>
      <c r="D311" t="s">
        <v>318</v>
      </c>
      <c r="E311" s="11">
        <v>42551</v>
      </c>
      <c r="F311" s="11">
        <v>42551</v>
      </c>
      <c r="G311" s="11">
        <v>42720</v>
      </c>
      <c r="H311" t="s">
        <v>312</v>
      </c>
      <c r="J311" s="4" t="s">
        <v>313</v>
      </c>
      <c r="K311" s="4">
        <v>152306.1</v>
      </c>
      <c r="L311">
        <v>35</v>
      </c>
    </row>
  </sheetData>
  <sheetProtection algorithmName="SHA-512" hashValue="IHncw+OwuNbsBDcsJSp64+Ch6AriNFsxrvc29IOHTqShy2/OSIm7kV6XJd77dMKIkafhf0oofcSNWejrB/LbpQ==" saltValue="/oX8hJ5cACuuZaHCEO0qNA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2"/>
  <sheetViews>
    <sheetView showGridLines="0" zoomScale="70" zoomScaleNormal="70" workbookViewId="0">
      <selection activeCell="J8" sqref="J8"/>
    </sheetView>
  </sheetViews>
  <sheetFormatPr baseColWidth="10" defaultRowHeight="15" x14ac:dyDescent="0.25"/>
  <cols>
    <col min="1" max="1" width="4.140625" customWidth="1"/>
    <col min="2" max="2" width="54.85546875" bestFit="1" customWidth="1"/>
    <col min="4" max="4" width="12.85546875" bestFit="1" customWidth="1"/>
    <col min="5" max="14" width="16.5703125" customWidth="1"/>
  </cols>
  <sheetData>
    <row r="1" spans="2:14" ht="15.75" thickBot="1" x14ac:dyDescent="0.3"/>
    <row r="2" spans="2:14" x14ac:dyDescent="0.25">
      <c r="B2" s="1043" t="s">
        <v>1060</v>
      </c>
      <c r="C2" s="1044"/>
      <c r="D2" s="797">
        <v>2012</v>
      </c>
      <c r="E2" s="797">
        <v>2013</v>
      </c>
      <c r="F2" s="797">
        <v>2013</v>
      </c>
      <c r="G2" s="797">
        <v>2014</v>
      </c>
      <c r="H2" s="797">
        <v>2014</v>
      </c>
      <c r="I2" s="797">
        <v>2015</v>
      </c>
      <c r="J2" s="797">
        <v>2015</v>
      </c>
      <c r="K2" s="797">
        <v>2016</v>
      </c>
      <c r="L2" s="797">
        <v>2016</v>
      </c>
      <c r="M2" s="797">
        <v>2017</v>
      </c>
      <c r="N2" s="798">
        <v>2017</v>
      </c>
    </row>
    <row r="3" spans="2:14" x14ac:dyDescent="0.25">
      <c r="B3" s="1045"/>
      <c r="C3" s="1046"/>
      <c r="D3" s="799"/>
      <c r="E3" s="800" t="s">
        <v>1061</v>
      </c>
      <c r="F3" s="801" t="s">
        <v>1062</v>
      </c>
      <c r="G3" s="800" t="s">
        <v>1061</v>
      </c>
      <c r="H3" s="801" t="s">
        <v>1062</v>
      </c>
      <c r="I3" s="801" t="s">
        <v>1061</v>
      </c>
      <c r="J3" s="801" t="s">
        <v>1062</v>
      </c>
      <c r="K3" s="800" t="s">
        <v>1061</v>
      </c>
      <c r="L3" s="801" t="s">
        <v>1062</v>
      </c>
      <c r="M3" s="800" t="s">
        <v>1061</v>
      </c>
      <c r="N3" s="802" t="s">
        <v>1062</v>
      </c>
    </row>
    <row r="4" spans="2:14" x14ac:dyDescent="0.25">
      <c r="B4" s="803" t="s">
        <v>1063</v>
      </c>
      <c r="C4" s="804"/>
      <c r="D4" s="804"/>
      <c r="E4" s="805">
        <v>23579.568569899988</v>
      </c>
      <c r="F4" s="805">
        <v>24178.99065786949</v>
      </c>
      <c r="G4" s="805">
        <v>24473.42871957878</v>
      </c>
      <c r="H4" s="805">
        <v>26835.022734104594</v>
      </c>
      <c r="I4" s="805">
        <v>28610.99042089214</v>
      </c>
      <c r="J4" s="805">
        <v>30378.827669146183</v>
      </c>
      <c r="K4" s="805">
        <v>31988.890684413029</v>
      </c>
      <c r="L4" s="805">
        <v>34365.536722508383</v>
      </c>
      <c r="M4" s="805">
        <v>40574.328333907491</v>
      </c>
      <c r="N4" s="806">
        <v>42735.197456802322</v>
      </c>
    </row>
    <row r="5" spans="2:14" x14ac:dyDescent="0.25">
      <c r="B5" s="807" t="s">
        <v>833</v>
      </c>
      <c r="C5" s="808" t="s">
        <v>804</v>
      </c>
      <c r="D5" s="809"/>
      <c r="E5" s="810">
        <v>6840.6063876469279</v>
      </c>
      <c r="F5" s="810">
        <v>6855.1207126270956</v>
      </c>
      <c r="G5" s="810">
        <v>7033.2117249961011</v>
      </c>
      <c r="H5" s="810">
        <v>7382.886112267247</v>
      </c>
      <c r="I5" s="810">
        <v>7712.8694209834266</v>
      </c>
      <c r="J5" s="810">
        <v>7974.6279632121432</v>
      </c>
      <c r="K5" s="810">
        <v>8470.146187169581</v>
      </c>
      <c r="L5" s="810">
        <v>8822.0492839845738</v>
      </c>
      <c r="M5" s="810">
        <v>9867.810264079053</v>
      </c>
      <c r="N5" s="811">
        <v>10187.763897884781</v>
      </c>
    </row>
    <row r="6" spans="2:14" x14ac:dyDescent="0.25">
      <c r="B6" s="812" t="s">
        <v>834</v>
      </c>
      <c r="C6" s="813" t="s">
        <v>804</v>
      </c>
      <c r="D6" s="814"/>
      <c r="E6" s="815">
        <v>2628.410336140199</v>
      </c>
      <c r="F6" s="815">
        <v>2633.9872688911992</v>
      </c>
      <c r="G6" s="815">
        <v>2702.4163278310143</v>
      </c>
      <c r="H6" s="815">
        <v>2836.7739741716514</v>
      </c>
      <c r="I6" s="815">
        <v>2963.5655903286074</v>
      </c>
      <c r="J6" s="815">
        <v>3064.1427641898877</v>
      </c>
      <c r="K6" s="815">
        <v>3254.5389290602329</v>
      </c>
      <c r="L6" s="815">
        <v>3389.7529268512158</v>
      </c>
      <c r="M6" s="815">
        <v>3791.5724167397348</v>
      </c>
      <c r="N6" s="816">
        <v>3914.5102661823298</v>
      </c>
    </row>
    <row r="7" spans="2:14" x14ac:dyDescent="0.25">
      <c r="B7" s="812" t="s">
        <v>427</v>
      </c>
      <c r="C7" s="813" t="s">
        <v>804</v>
      </c>
      <c r="D7" s="814"/>
      <c r="E7" s="815">
        <v>5642.3802865237585</v>
      </c>
      <c r="F7" s="815">
        <v>5663.8300278737579</v>
      </c>
      <c r="G7" s="815">
        <v>5927.0187161038166</v>
      </c>
      <c r="H7" s="815">
        <v>6443.7788943370369</v>
      </c>
      <c r="I7" s="815">
        <v>6931.4389564791763</v>
      </c>
      <c r="J7" s="815">
        <v>7318.2742405610234</v>
      </c>
      <c r="K7" s="815">
        <v>7646.6171823700452</v>
      </c>
      <c r="L7" s="815">
        <v>8166.6710200276702</v>
      </c>
      <c r="M7" s="815">
        <v>9712.1305965219744</v>
      </c>
      <c r="N7" s="816">
        <v>10184.968478993493</v>
      </c>
    </row>
    <row r="8" spans="2:14" x14ac:dyDescent="0.25">
      <c r="B8" s="812" t="s">
        <v>835</v>
      </c>
      <c r="C8" s="813" t="s">
        <v>804</v>
      </c>
      <c r="D8" s="814"/>
      <c r="E8" s="815">
        <v>8265.613759589105</v>
      </c>
      <c r="F8" s="817">
        <v>8322.0980784774383</v>
      </c>
      <c r="G8" s="815">
        <v>8570.7241506478476</v>
      </c>
      <c r="H8" s="815">
        <v>9931.5259533286608</v>
      </c>
      <c r="I8" s="815">
        <v>10763.058653100932</v>
      </c>
      <c r="J8" s="815">
        <v>11781.724901183128</v>
      </c>
      <c r="K8" s="815">
        <v>12127.530585813174</v>
      </c>
      <c r="L8" s="815">
        <v>13497.005691644921</v>
      </c>
      <c r="M8" s="815">
        <v>16962.757256566725</v>
      </c>
      <c r="N8" s="816">
        <v>18207.89701374172</v>
      </c>
    </row>
    <row r="9" spans="2:14" x14ac:dyDescent="0.25">
      <c r="B9" s="812" t="s">
        <v>836</v>
      </c>
      <c r="C9" s="813" t="s">
        <v>804</v>
      </c>
      <c r="D9" s="814"/>
      <c r="E9" s="815">
        <v>202.55779999999999</v>
      </c>
      <c r="F9" s="815">
        <v>202.55779999999999</v>
      </c>
      <c r="G9" s="815">
        <v>202.55779999999999</v>
      </c>
      <c r="H9" s="815">
        <v>202.55779999999999</v>
      </c>
      <c r="I9" s="815">
        <v>202.55779999999999</v>
      </c>
      <c r="J9" s="815">
        <v>202.55779999999999</v>
      </c>
      <c r="K9" s="815">
        <v>202.55779999999999</v>
      </c>
      <c r="L9" s="815">
        <v>202.55779999999999</v>
      </c>
      <c r="M9" s="815">
        <v>202.55779999999999</v>
      </c>
      <c r="N9" s="816">
        <v>202.55779999999999</v>
      </c>
    </row>
    <row r="10" spans="2:14" x14ac:dyDescent="0.25">
      <c r="B10" s="812" t="s">
        <v>837</v>
      </c>
      <c r="C10" s="813"/>
      <c r="D10" s="814"/>
      <c r="E10" s="815"/>
      <c r="F10" s="815">
        <v>501.39677</v>
      </c>
      <c r="G10" s="815">
        <v>37.5</v>
      </c>
      <c r="H10" s="815">
        <v>37.5</v>
      </c>
      <c r="I10" s="815">
        <v>37.5</v>
      </c>
      <c r="J10" s="815">
        <v>37.5</v>
      </c>
      <c r="K10" s="815">
        <v>287.5</v>
      </c>
      <c r="L10" s="815">
        <v>287.5</v>
      </c>
      <c r="M10" s="815">
        <v>37.5</v>
      </c>
      <c r="N10" s="816">
        <v>37.5</v>
      </c>
    </row>
    <row r="11" spans="2:14" x14ac:dyDescent="0.25">
      <c r="B11" s="818"/>
      <c r="C11" s="819"/>
      <c r="D11" s="820"/>
      <c r="E11" s="821"/>
      <c r="F11" s="821"/>
      <c r="G11" s="821"/>
      <c r="H11" s="821"/>
      <c r="I11" s="821"/>
      <c r="J11" s="821"/>
      <c r="K11" s="821"/>
      <c r="L11" s="821"/>
      <c r="M11" s="821"/>
      <c r="N11" s="822"/>
    </row>
    <row r="12" spans="2:14" ht="25.5" x14ac:dyDescent="0.25">
      <c r="B12" s="823" t="s">
        <v>1064</v>
      </c>
      <c r="C12" s="820"/>
      <c r="D12" s="820"/>
      <c r="E12" s="824">
        <v>0</v>
      </c>
      <c r="F12" s="824">
        <v>0</v>
      </c>
      <c r="G12" s="824">
        <v>0</v>
      </c>
      <c r="H12" s="824">
        <v>0</v>
      </c>
      <c r="I12" s="824">
        <v>0</v>
      </c>
      <c r="J12" s="824">
        <v>0</v>
      </c>
      <c r="K12" s="824">
        <v>0</v>
      </c>
      <c r="L12" s="824">
        <v>0</v>
      </c>
      <c r="M12" s="824">
        <v>19568.134245231824</v>
      </c>
      <c r="N12" s="825">
        <v>19568.134245231824</v>
      </c>
    </row>
    <row r="13" spans="2:14" x14ac:dyDescent="0.25">
      <c r="B13" s="812" t="s">
        <v>833</v>
      </c>
      <c r="C13" s="808" t="s">
        <v>804</v>
      </c>
      <c r="D13" s="814"/>
      <c r="E13" s="826"/>
      <c r="F13" s="826"/>
      <c r="G13" s="826"/>
      <c r="H13" s="810"/>
      <c r="I13" s="810"/>
      <c r="J13" s="810"/>
      <c r="K13" s="810">
        <v>0</v>
      </c>
      <c r="L13" s="810">
        <v>0</v>
      </c>
      <c r="M13" s="810">
        <v>2897.3969743122248</v>
      </c>
      <c r="N13" s="811">
        <v>2897.3969743122248</v>
      </c>
    </row>
    <row r="14" spans="2:14" x14ac:dyDescent="0.25">
      <c r="B14" s="812" t="s">
        <v>834</v>
      </c>
      <c r="C14" s="813" t="s">
        <v>804</v>
      </c>
      <c r="D14" s="814"/>
      <c r="E14" s="826"/>
      <c r="F14" s="826"/>
      <c r="G14" s="826"/>
      <c r="H14" s="815"/>
      <c r="I14" s="815"/>
      <c r="J14" s="815"/>
      <c r="K14" s="815">
        <v>0</v>
      </c>
      <c r="L14" s="815">
        <v>0</v>
      </c>
      <c r="M14" s="815">
        <v>1113.28553692785</v>
      </c>
      <c r="N14" s="816">
        <v>1113.28553692785</v>
      </c>
    </row>
    <row r="15" spans="2:14" x14ac:dyDescent="0.25">
      <c r="B15" s="812" t="s">
        <v>427</v>
      </c>
      <c r="C15" s="813" t="s">
        <v>804</v>
      </c>
      <c r="D15" s="814"/>
      <c r="E15" s="815"/>
      <c r="F15" s="815"/>
      <c r="G15" s="815"/>
      <c r="H15" s="815"/>
      <c r="I15" s="815"/>
      <c r="J15" s="815"/>
      <c r="K15" s="815"/>
      <c r="L15" s="815"/>
      <c r="M15" s="815">
        <v>4281.8674497225002</v>
      </c>
      <c r="N15" s="816">
        <v>4281.8674497225002</v>
      </c>
    </row>
    <row r="16" spans="2:14" x14ac:dyDescent="0.25">
      <c r="B16" s="812" t="s">
        <v>835</v>
      </c>
      <c r="C16" s="813" t="s">
        <v>804</v>
      </c>
      <c r="D16" s="814"/>
      <c r="E16" s="815"/>
      <c r="F16" s="815"/>
      <c r="G16" s="815"/>
      <c r="H16" s="827"/>
      <c r="I16" s="827"/>
      <c r="J16" s="827"/>
      <c r="K16" s="827"/>
      <c r="L16" s="827"/>
      <c r="M16" s="827">
        <v>11275.584284269249</v>
      </c>
      <c r="N16" s="828">
        <v>11275.584284269249</v>
      </c>
    </row>
    <row r="17" spans="2:14" ht="15.75" thickBot="1" x14ac:dyDescent="0.3">
      <c r="B17" s="829"/>
      <c r="C17" s="830"/>
      <c r="D17" s="831"/>
      <c r="E17" s="832"/>
      <c r="F17" s="832"/>
      <c r="G17" s="832"/>
      <c r="H17" s="832"/>
      <c r="I17" s="832"/>
      <c r="J17" s="832"/>
      <c r="K17" s="832"/>
      <c r="L17" s="832"/>
      <c r="M17" s="832"/>
      <c r="N17" s="833"/>
    </row>
    <row r="18" spans="2:14" x14ac:dyDescent="0.25">
      <c r="B18" s="834" t="s">
        <v>26</v>
      </c>
      <c r="C18" s="820"/>
      <c r="D18" s="820"/>
      <c r="E18" s="824">
        <v>1502.9898140613573</v>
      </c>
      <c r="F18" s="824">
        <v>1695.1697390613572</v>
      </c>
      <c r="G18" s="824">
        <v>2052.1250892267144</v>
      </c>
      <c r="H18" s="824">
        <v>2586.6094392267141</v>
      </c>
      <c r="I18" s="824">
        <v>2546.4142293920713</v>
      </c>
      <c r="J18" s="824">
        <v>2546.4142293920713</v>
      </c>
      <c r="K18" s="824">
        <v>2496.9795745574288</v>
      </c>
      <c r="L18" s="824">
        <v>2496.9795745574288</v>
      </c>
      <c r="M18" s="824">
        <v>2447.5449197227858</v>
      </c>
      <c r="N18" s="825">
        <v>2447.5449197227858</v>
      </c>
    </row>
    <row r="19" spans="2:14" x14ac:dyDescent="0.25">
      <c r="B19" s="812" t="s">
        <v>833</v>
      </c>
      <c r="C19" s="808" t="s">
        <v>804</v>
      </c>
      <c r="D19" s="814"/>
      <c r="E19" s="815">
        <v>564.17861780216469</v>
      </c>
      <c r="F19" s="815">
        <v>592.63414280216466</v>
      </c>
      <c r="G19" s="815">
        <v>649.95626780216469</v>
      </c>
      <c r="H19" s="815">
        <v>729.09581780216456</v>
      </c>
      <c r="I19" s="815">
        <v>729.09581780216456</v>
      </c>
      <c r="J19" s="815">
        <v>729.09581780216456</v>
      </c>
      <c r="K19" s="815">
        <v>729.09581780216456</v>
      </c>
      <c r="L19" s="815">
        <v>729.09581780216456</v>
      </c>
      <c r="M19" s="815">
        <v>729.09581780216456</v>
      </c>
      <c r="N19" s="816">
        <v>729.09581780216456</v>
      </c>
    </row>
    <row r="20" spans="2:14" x14ac:dyDescent="0.25">
      <c r="B20" s="812" t="s">
        <v>834</v>
      </c>
      <c r="C20" s="813" t="s">
        <v>804</v>
      </c>
      <c r="D20" s="814"/>
      <c r="E20" s="815">
        <v>216.77799107669381</v>
      </c>
      <c r="F20" s="815">
        <v>227.71164107669381</v>
      </c>
      <c r="G20" s="815">
        <v>249.73689107669381</v>
      </c>
      <c r="H20" s="815">
        <v>280.14519107669378</v>
      </c>
      <c r="I20" s="815">
        <v>280.14519107669378</v>
      </c>
      <c r="J20" s="815">
        <v>280.14519107669378</v>
      </c>
      <c r="K20" s="815">
        <v>280.14519107669378</v>
      </c>
      <c r="L20" s="815">
        <v>280.14519107669378</v>
      </c>
      <c r="M20" s="815">
        <v>280.14519107669378</v>
      </c>
      <c r="N20" s="816">
        <v>280.14519107669378</v>
      </c>
    </row>
    <row r="21" spans="2:14" x14ac:dyDescent="0.25">
      <c r="B21" s="812" t="s">
        <v>427</v>
      </c>
      <c r="C21" s="813" t="s">
        <v>804</v>
      </c>
      <c r="D21" s="814"/>
      <c r="E21" s="815">
        <v>382.03512448914898</v>
      </c>
      <c r="F21" s="815">
        <v>424.08762448914899</v>
      </c>
      <c r="G21" s="815">
        <v>508.80012448914897</v>
      </c>
      <c r="H21" s="815">
        <v>625.75512448914901</v>
      </c>
      <c r="I21" s="815">
        <v>625.75512448914901</v>
      </c>
      <c r="J21" s="815">
        <v>625.75512448914901</v>
      </c>
      <c r="K21" s="815">
        <v>625.75512448914901</v>
      </c>
      <c r="L21" s="815">
        <v>625.75512448914901</v>
      </c>
      <c r="M21" s="815">
        <v>625.75512448914901</v>
      </c>
      <c r="N21" s="816">
        <v>625.75512448914901</v>
      </c>
    </row>
    <row r="22" spans="2:14" x14ac:dyDescent="0.25">
      <c r="B22" s="818" t="s">
        <v>835</v>
      </c>
      <c r="C22" s="819" t="s">
        <v>804</v>
      </c>
      <c r="D22" s="820"/>
      <c r="E22" s="821">
        <v>339.99808069334978</v>
      </c>
      <c r="F22" s="821">
        <v>450.73633069334977</v>
      </c>
      <c r="G22" s="821">
        <v>643.63180585870703</v>
      </c>
      <c r="H22" s="821">
        <v>951.61330585870701</v>
      </c>
      <c r="I22" s="821">
        <v>911.4180960240642</v>
      </c>
      <c r="J22" s="821">
        <v>911.4180960240642</v>
      </c>
      <c r="K22" s="821">
        <v>861.98344118942157</v>
      </c>
      <c r="L22" s="821">
        <v>861.98344118942157</v>
      </c>
      <c r="M22" s="821">
        <v>812.5487863547786</v>
      </c>
      <c r="N22" s="822">
        <v>812.5487863547786</v>
      </c>
    </row>
    <row r="23" spans="2:14" x14ac:dyDescent="0.25">
      <c r="B23" s="812"/>
      <c r="C23" s="819"/>
      <c r="D23" s="814"/>
      <c r="E23" s="815"/>
      <c r="F23" s="815"/>
      <c r="G23" s="815"/>
      <c r="H23" s="815"/>
      <c r="I23" s="835"/>
      <c r="J23" s="815"/>
      <c r="K23" s="815"/>
      <c r="L23" s="815"/>
      <c r="M23" s="815"/>
      <c r="N23" s="816"/>
    </row>
    <row r="24" spans="2:14" x14ac:dyDescent="0.25">
      <c r="B24" s="803" t="s">
        <v>854</v>
      </c>
      <c r="C24" s="804"/>
      <c r="D24" s="804"/>
      <c r="E24" s="836">
        <v>4019.8161957799994</v>
      </c>
      <c r="F24" s="836">
        <v>5447.685305779999</v>
      </c>
      <c r="G24" s="836">
        <v>4875.9830943399993</v>
      </c>
      <c r="H24" s="836">
        <v>5168.3430943399999</v>
      </c>
      <c r="I24" s="836">
        <v>8116.6662192999993</v>
      </c>
      <c r="J24" s="836">
        <v>5122.2262192999997</v>
      </c>
      <c r="K24" s="836">
        <v>5387.0735942599995</v>
      </c>
      <c r="L24" s="836">
        <v>5770.4735942599991</v>
      </c>
      <c r="M24" s="836">
        <v>5875.024937369999</v>
      </c>
      <c r="N24" s="837">
        <v>5133.2249373699997</v>
      </c>
    </row>
    <row r="25" spans="2:14" x14ac:dyDescent="0.25">
      <c r="B25" s="812" t="s">
        <v>855</v>
      </c>
      <c r="C25" s="808" t="s">
        <v>804</v>
      </c>
      <c r="D25" s="838"/>
      <c r="E25" s="839">
        <v>2367.7561405299994</v>
      </c>
      <c r="F25" s="839">
        <v>3763.125250529999</v>
      </c>
      <c r="G25" s="839">
        <v>3086.7081513399999</v>
      </c>
      <c r="H25" s="839">
        <v>3453.5681513399995</v>
      </c>
      <c r="I25" s="839">
        <v>3516.1801621499999</v>
      </c>
      <c r="J25" s="839">
        <v>3066.7801621499998</v>
      </c>
      <c r="K25" s="839">
        <v>3001.8921729599997</v>
      </c>
      <c r="L25" s="839">
        <v>3687.4921729599996</v>
      </c>
      <c r="M25" s="839">
        <v>3206.7041837699994</v>
      </c>
      <c r="N25" s="840">
        <v>3057.6041837699995</v>
      </c>
    </row>
    <row r="26" spans="2:14" x14ac:dyDescent="0.25">
      <c r="B26" s="812" t="s">
        <v>856</v>
      </c>
      <c r="C26" s="813" t="s">
        <v>804</v>
      </c>
      <c r="D26" s="838"/>
      <c r="E26" s="841">
        <v>1652.0600552500002</v>
      </c>
      <c r="F26" s="841">
        <v>1684.5600552500002</v>
      </c>
      <c r="G26" s="841">
        <v>1789.2749429999999</v>
      </c>
      <c r="H26" s="841">
        <v>1714.7749429999999</v>
      </c>
      <c r="I26" s="841">
        <v>4600.4860571499994</v>
      </c>
      <c r="J26" s="841">
        <v>2055.4460571499999</v>
      </c>
      <c r="K26" s="841">
        <v>2385.1814212999998</v>
      </c>
      <c r="L26" s="841">
        <v>2082.9814212999995</v>
      </c>
      <c r="M26" s="841">
        <v>2668.3207535999995</v>
      </c>
      <c r="N26" s="842">
        <v>2075.6207535999997</v>
      </c>
    </row>
    <row r="27" spans="2:14" x14ac:dyDescent="0.25">
      <c r="B27" s="812"/>
      <c r="C27" s="819"/>
      <c r="D27" s="814"/>
      <c r="E27" s="843"/>
      <c r="F27" s="843"/>
      <c r="G27" s="843"/>
      <c r="H27" s="843"/>
      <c r="I27" s="843"/>
      <c r="J27" s="844"/>
      <c r="K27" s="844"/>
      <c r="L27" s="844"/>
      <c r="M27" s="844"/>
      <c r="N27" s="845"/>
    </row>
    <row r="28" spans="2:14" ht="15.75" thickBot="1" x14ac:dyDescent="0.3">
      <c r="B28" s="846" t="s">
        <v>40</v>
      </c>
      <c r="C28" s="830" t="s">
        <v>804</v>
      </c>
      <c r="D28" s="847"/>
      <c r="E28" s="848">
        <v>29102.374579741347</v>
      </c>
      <c r="F28" s="848">
        <v>31321.845702710849</v>
      </c>
      <c r="G28" s="848">
        <v>31401.536903145497</v>
      </c>
      <c r="H28" s="848">
        <v>34589.975267671311</v>
      </c>
      <c r="I28" s="848">
        <v>39274.070869584211</v>
      </c>
      <c r="J28" s="848">
        <v>38047.468117838253</v>
      </c>
      <c r="K28" s="848">
        <v>39872.943853230456</v>
      </c>
      <c r="L28" s="848">
        <v>42632.989891325815</v>
      </c>
      <c r="M28" s="848">
        <v>48896.898191000277</v>
      </c>
      <c r="N28" s="849">
        <v>50315.967313895104</v>
      </c>
    </row>
    <row r="29" spans="2:14" ht="15.75" thickBot="1" x14ac:dyDescent="0.3">
      <c r="B29" s="835"/>
      <c r="C29" s="835"/>
      <c r="D29" s="835"/>
      <c r="E29" s="850"/>
      <c r="F29" s="850"/>
      <c r="G29" s="850"/>
      <c r="H29" s="850"/>
      <c r="I29" s="850"/>
      <c r="J29" s="850"/>
      <c r="K29" s="850"/>
      <c r="L29" s="850"/>
      <c r="M29" s="850"/>
      <c r="N29" s="850"/>
    </row>
    <row r="30" spans="2:14" x14ac:dyDescent="0.25">
      <c r="B30" s="851" t="s">
        <v>1065</v>
      </c>
      <c r="C30" s="852"/>
      <c r="D30" s="853"/>
      <c r="E30" s="854">
        <v>2013</v>
      </c>
      <c r="F30" s="855">
        <v>2014</v>
      </c>
      <c r="G30" s="854">
        <v>2015</v>
      </c>
      <c r="H30" s="855">
        <v>2016</v>
      </c>
      <c r="I30" s="856">
        <v>2017</v>
      </c>
    </row>
    <row r="31" spans="2:14" x14ac:dyDescent="0.25">
      <c r="B31" s="857" t="s">
        <v>1066</v>
      </c>
      <c r="C31" s="858"/>
      <c r="D31" s="859"/>
      <c r="E31" s="859"/>
      <c r="F31" s="860"/>
      <c r="G31" s="860"/>
      <c r="H31" s="860"/>
      <c r="I31" s="861"/>
    </row>
    <row r="32" spans="2:14" x14ac:dyDescent="0.25">
      <c r="B32" s="862" t="s">
        <v>1063</v>
      </c>
      <c r="C32" s="863"/>
      <c r="D32" s="864"/>
      <c r="E32" s="865">
        <v>47758.559227769481</v>
      </c>
      <c r="F32" s="866">
        <v>51308.451453683374</v>
      </c>
      <c r="G32" s="866">
        <v>58989.818090038323</v>
      </c>
      <c r="H32" s="866">
        <v>66354.427406921415</v>
      </c>
      <c r="I32" s="867">
        <v>83309.525790709813</v>
      </c>
      <c r="J32" s="868"/>
    </row>
    <row r="33" spans="2:14" x14ac:dyDescent="0.25">
      <c r="B33" s="869" t="s">
        <v>1064</v>
      </c>
      <c r="C33" s="863"/>
      <c r="D33" s="864"/>
      <c r="E33" s="865">
        <v>0</v>
      </c>
      <c r="F33" s="866">
        <v>0</v>
      </c>
      <c r="G33" s="866">
        <v>0</v>
      </c>
      <c r="H33" s="866">
        <v>0</v>
      </c>
      <c r="I33" s="870">
        <v>39136.268490463648</v>
      </c>
      <c r="J33" s="871"/>
      <c r="K33" s="5"/>
      <c r="L33" s="5"/>
      <c r="M33" s="5"/>
      <c r="N33" s="5"/>
    </row>
    <row r="34" spans="2:14" x14ac:dyDescent="0.25">
      <c r="B34" s="862" t="s">
        <v>26</v>
      </c>
      <c r="C34" s="863"/>
      <c r="D34" s="864"/>
      <c r="E34" s="865">
        <v>3198.1595531227144</v>
      </c>
      <c r="F34" s="866">
        <v>4638.7345284534285</v>
      </c>
      <c r="G34" s="866">
        <v>5092.8284587841426</v>
      </c>
      <c r="H34" s="866">
        <v>4993.9591491148576</v>
      </c>
      <c r="I34" s="867">
        <v>4895.0898394455717</v>
      </c>
      <c r="J34" s="868"/>
    </row>
    <row r="35" spans="2:14" x14ac:dyDescent="0.25">
      <c r="B35" s="862" t="s">
        <v>854</v>
      </c>
      <c r="C35" s="863"/>
      <c r="D35" s="864"/>
      <c r="E35" s="865">
        <v>9467.5015015599984</v>
      </c>
      <c r="F35" s="866">
        <v>10044.326188679999</v>
      </c>
      <c r="G35" s="866">
        <v>13238.8924386</v>
      </c>
      <c r="H35" s="866">
        <v>11157.547188519999</v>
      </c>
      <c r="I35" s="867">
        <v>11008.249874739999</v>
      </c>
      <c r="J35" s="868"/>
    </row>
    <row r="36" spans="2:14" x14ac:dyDescent="0.25">
      <c r="B36" s="862" t="s">
        <v>1067</v>
      </c>
      <c r="C36" s="863"/>
      <c r="D36" s="864"/>
      <c r="E36" s="865">
        <v>6130.8813910599984</v>
      </c>
      <c r="F36" s="866">
        <v>6540.2763026799994</v>
      </c>
      <c r="G36" s="866">
        <v>6582.9603243000001</v>
      </c>
      <c r="H36" s="866">
        <v>6689.3843459199998</v>
      </c>
      <c r="I36" s="867">
        <v>6264.3083675399994</v>
      </c>
      <c r="J36" s="868"/>
    </row>
    <row r="37" spans="2:14" x14ac:dyDescent="0.25">
      <c r="B37" s="862" t="s">
        <v>856</v>
      </c>
      <c r="C37" s="863"/>
      <c r="D37" s="864"/>
      <c r="E37" s="865">
        <v>3336.6201105000005</v>
      </c>
      <c r="F37" s="866">
        <v>3504.0498859999998</v>
      </c>
      <c r="G37" s="866">
        <v>6655.9321142999997</v>
      </c>
      <c r="H37" s="866">
        <v>4468.1628425999988</v>
      </c>
      <c r="I37" s="867">
        <v>4743.9415071999993</v>
      </c>
      <c r="J37" s="868"/>
    </row>
    <row r="38" spans="2:14" x14ac:dyDescent="0.25">
      <c r="B38" s="862"/>
      <c r="C38" s="863"/>
      <c r="D38" s="864"/>
      <c r="E38" s="864"/>
      <c r="F38" s="872"/>
      <c r="G38" s="872"/>
      <c r="H38" s="872"/>
      <c r="I38" s="873"/>
    </row>
    <row r="39" spans="2:14" x14ac:dyDescent="0.25">
      <c r="B39" s="857" t="s">
        <v>1068</v>
      </c>
      <c r="C39" s="874"/>
      <c r="D39" s="859"/>
      <c r="E39" s="875" t="s">
        <v>1069</v>
      </c>
      <c r="F39" s="875" t="s">
        <v>1070</v>
      </c>
      <c r="G39" s="875" t="s">
        <v>1071</v>
      </c>
      <c r="H39" s="875" t="s">
        <v>1072</v>
      </c>
      <c r="I39" s="876" t="s">
        <v>1073</v>
      </c>
    </row>
    <row r="40" spans="2:14" x14ac:dyDescent="0.25">
      <c r="B40" s="877" t="s">
        <v>1063</v>
      </c>
      <c r="C40" s="878"/>
      <c r="D40" s="864"/>
      <c r="E40" s="865">
        <v>48652.41937744827</v>
      </c>
      <c r="F40" s="865">
        <v>55446.013154996734</v>
      </c>
      <c r="G40" s="865">
        <v>62367.718353559212</v>
      </c>
      <c r="H40" s="865">
        <v>74939.865056415874</v>
      </c>
      <c r="I40" s="867"/>
    </row>
    <row r="41" spans="2:14" x14ac:dyDescent="0.25">
      <c r="B41" s="879" t="s">
        <v>1064</v>
      </c>
      <c r="C41" s="878"/>
      <c r="D41" s="864"/>
      <c r="E41" s="865">
        <v>0</v>
      </c>
      <c r="F41" s="865">
        <v>0</v>
      </c>
      <c r="G41" s="880">
        <v>0</v>
      </c>
      <c r="H41" s="880">
        <v>19568.134245231824</v>
      </c>
      <c r="I41" s="867"/>
      <c r="J41" s="871"/>
      <c r="K41" s="5"/>
      <c r="L41" s="5"/>
      <c r="M41" s="5"/>
      <c r="N41" s="5"/>
    </row>
    <row r="42" spans="2:14" x14ac:dyDescent="0.25">
      <c r="B42" s="877" t="s">
        <v>26</v>
      </c>
      <c r="C42" s="878"/>
      <c r="D42" s="864"/>
      <c r="E42" s="865">
        <v>3747.2948282880716</v>
      </c>
      <c r="F42" s="865">
        <v>5133.0236686187855</v>
      </c>
      <c r="G42" s="865">
        <v>5043.3938039495006</v>
      </c>
      <c r="H42" s="865">
        <v>4944.5244942802146</v>
      </c>
      <c r="I42" s="867"/>
      <c r="L42" s="5"/>
    </row>
    <row r="43" spans="2:14" x14ac:dyDescent="0.25">
      <c r="B43" s="877" t="s">
        <v>854</v>
      </c>
      <c r="C43" s="878"/>
      <c r="D43" s="864"/>
      <c r="E43" s="865">
        <v>10323.668400119997</v>
      </c>
      <c r="F43" s="865">
        <v>13285.009313639999</v>
      </c>
      <c r="G43" s="865">
        <v>10509.299813559999</v>
      </c>
      <c r="H43" s="865">
        <v>11645.498531629997</v>
      </c>
      <c r="I43" s="867"/>
      <c r="L43" s="5"/>
    </row>
    <row r="44" spans="2:14" x14ac:dyDescent="0.25">
      <c r="B44" s="862" t="s">
        <v>855</v>
      </c>
      <c r="C44" s="878"/>
      <c r="D44" s="864"/>
      <c r="E44" s="865">
        <v>6849.8334018699989</v>
      </c>
      <c r="F44" s="865">
        <v>6969.7483134899994</v>
      </c>
      <c r="G44" s="865">
        <v>6068.672335109999</v>
      </c>
      <c r="H44" s="865">
        <v>6894.196356729999</v>
      </c>
      <c r="I44" s="867"/>
      <c r="J44" s="881"/>
    </row>
    <row r="45" spans="2:14" ht="15.75" thickBot="1" x14ac:dyDescent="0.3">
      <c r="B45" s="862" t="s">
        <v>856</v>
      </c>
      <c r="C45" s="878"/>
      <c r="D45" s="864"/>
      <c r="E45" s="865">
        <v>3473.8349982500004</v>
      </c>
      <c r="F45" s="865">
        <v>6315.2610001499997</v>
      </c>
      <c r="G45" s="865">
        <v>4440.6274784500001</v>
      </c>
      <c r="H45" s="865">
        <v>4751.302174899999</v>
      </c>
      <c r="I45" s="867"/>
    </row>
    <row r="46" spans="2:14" ht="15.75" thickBot="1" x14ac:dyDescent="0.3">
      <c r="B46" s="926"/>
      <c r="C46" s="927"/>
      <c r="D46" s="928"/>
      <c r="E46" s="930">
        <f>+E40+E41+E42+E43</f>
        <v>62723.382605856335</v>
      </c>
      <c r="F46" s="930">
        <f t="shared" ref="F46:H46" si="0">+F40+F41+F42+F43</f>
        <v>73864.046137255515</v>
      </c>
      <c r="G46" s="930">
        <f t="shared" si="0"/>
        <v>77920.411971068708</v>
      </c>
      <c r="H46" s="930">
        <f t="shared" si="0"/>
        <v>111098.0223275579</v>
      </c>
      <c r="I46" s="929"/>
    </row>
    <row r="47" spans="2:14" x14ac:dyDescent="0.25">
      <c r="K47" s="5"/>
      <c r="L47" s="5"/>
      <c r="M47" s="882"/>
      <c r="N47" s="882"/>
    </row>
    <row r="48" spans="2:14" x14ac:dyDescent="0.25">
      <c r="K48" s="888"/>
      <c r="L48" s="5"/>
      <c r="M48" s="882"/>
      <c r="N48" s="882"/>
    </row>
    <row r="49" spans="2:14" ht="15.75" thickBot="1" x14ac:dyDescent="0.3">
      <c r="K49" s="5"/>
      <c r="L49" s="5"/>
      <c r="M49" s="896"/>
      <c r="N49" s="896"/>
    </row>
    <row r="50" spans="2:14" x14ac:dyDescent="0.25">
      <c r="B50" s="889" t="s">
        <v>870</v>
      </c>
      <c r="C50" s="890"/>
      <c r="D50" s="893"/>
      <c r="E50" s="923">
        <v>0.96200096200096197</v>
      </c>
      <c r="F50" s="924">
        <v>0.89156715662739761</v>
      </c>
      <c r="G50" s="924">
        <v>0.82629022857034073</v>
      </c>
      <c r="H50" s="924">
        <v>0.76579261220606187</v>
      </c>
      <c r="I50" s="925"/>
      <c r="K50" s="5"/>
      <c r="L50" s="5"/>
      <c r="M50" s="902"/>
      <c r="N50" s="902"/>
    </row>
    <row r="51" spans="2:14" ht="15.75" thickBot="1" x14ac:dyDescent="0.3">
      <c r="B51" s="883"/>
      <c r="C51" s="884"/>
      <c r="D51" s="885"/>
      <c r="E51" s="885"/>
      <c r="F51" s="886"/>
      <c r="G51" s="886"/>
      <c r="H51" s="886"/>
      <c r="I51" s="887"/>
      <c r="K51" s="5"/>
      <c r="L51" s="5"/>
      <c r="M51" s="902"/>
      <c r="N51" s="902"/>
    </row>
    <row r="52" spans="2:14" x14ac:dyDescent="0.25">
      <c r="B52" s="889" t="s">
        <v>1074</v>
      </c>
      <c r="C52" s="890"/>
      <c r="D52" s="891" t="s">
        <v>1075</v>
      </c>
      <c r="E52" s="892"/>
      <c r="F52" s="893"/>
      <c r="G52" s="892"/>
      <c r="H52" s="894"/>
      <c r="I52" s="895"/>
      <c r="K52" s="907"/>
      <c r="L52" s="5"/>
      <c r="M52" s="902"/>
      <c r="N52" s="902"/>
    </row>
    <row r="53" spans="2:14" x14ac:dyDescent="0.25">
      <c r="B53" s="897" t="s">
        <v>1063</v>
      </c>
      <c r="C53" s="898"/>
      <c r="D53" s="899">
        <v>205159.74981340076</v>
      </c>
      <c r="E53" s="900">
        <v>46803.674244779482</v>
      </c>
      <c r="F53" s="900">
        <v>49433.844294925722</v>
      </c>
      <c r="G53" s="900">
        <v>51533.836253773079</v>
      </c>
      <c r="H53" s="900">
        <v>57388.395019922486</v>
      </c>
      <c r="I53" s="901">
        <v>0</v>
      </c>
      <c r="K53" s="5"/>
      <c r="L53" s="5"/>
      <c r="M53" s="902"/>
      <c r="N53" s="902"/>
    </row>
    <row r="54" spans="2:14" x14ac:dyDescent="0.25">
      <c r="B54" s="903" t="s">
        <v>1076</v>
      </c>
      <c r="C54" s="863"/>
      <c r="D54" s="904">
        <v>175462.87472901144</v>
      </c>
      <c r="E54" s="905">
        <v>40028.842101526017</v>
      </c>
      <c r="F54" s="905">
        <v>42278.295020261561</v>
      </c>
      <c r="G54" s="905">
        <v>44074.313129770373</v>
      </c>
      <c r="H54" s="905">
        <v>49081.424477453496</v>
      </c>
      <c r="I54" s="906"/>
      <c r="K54" s="907"/>
      <c r="L54" s="5"/>
      <c r="M54" s="902"/>
      <c r="N54" s="902"/>
    </row>
    <row r="55" spans="2:14" x14ac:dyDescent="0.25">
      <c r="B55" s="903" t="s">
        <v>1077</v>
      </c>
      <c r="C55" s="863"/>
      <c r="D55" s="904">
        <v>29696.875084389336</v>
      </c>
      <c r="E55" s="905">
        <v>6774.8321432534649</v>
      </c>
      <c r="F55" s="905">
        <v>7155.5492746641667</v>
      </c>
      <c r="G55" s="905">
        <v>7459.5231240027097</v>
      </c>
      <c r="H55" s="905">
        <v>8306.9705424689946</v>
      </c>
      <c r="I55" s="906"/>
      <c r="K55" s="888"/>
      <c r="L55" s="5"/>
      <c r="M55" s="911"/>
      <c r="N55" s="911"/>
    </row>
    <row r="56" spans="2:14" x14ac:dyDescent="0.25">
      <c r="B56" s="908" t="s">
        <v>1064</v>
      </c>
      <c r="C56" s="898"/>
      <c r="D56" s="909"/>
      <c r="E56" s="900"/>
      <c r="F56" s="900"/>
      <c r="G56" s="900"/>
      <c r="H56" s="900"/>
      <c r="I56" s="901"/>
      <c r="K56" s="5"/>
      <c r="L56" s="5"/>
      <c r="M56" s="912"/>
      <c r="N56" s="912"/>
    </row>
    <row r="57" spans="2:14" x14ac:dyDescent="0.25">
      <c r="B57" s="903" t="s">
        <v>1078</v>
      </c>
      <c r="C57" s="863"/>
      <c r="D57" s="904">
        <v>14985.132639654974</v>
      </c>
      <c r="E57" s="905">
        <v>0</v>
      </c>
      <c r="F57" s="905">
        <v>0</v>
      </c>
      <c r="G57" s="905">
        <v>0</v>
      </c>
      <c r="H57" s="905">
        <v>14985.132639654974</v>
      </c>
      <c r="I57" s="906"/>
      <c r="K57" s="888"/>
      <c r="L57" s="5"/>
      <c r="M57" s="914"/>
      <c r="N57" s="914"/>
    </row>
    <row r="58" spans="2:14" x14ac:dyDescent="0.25">
      <c r="B58" s="897" t="s">
        <v>26</v>
      </c>
      <c r="C58" s="898"/>
      <c r="D58" s="909">
        <v>16135.123894473314</v>
      </c>
      <c r="E58" s="910">
        <v>3604.9012297143545</v>
      </c>
      <c r="F58" s="910">
        <v>4576.4353171315834</v>
      </c>
      <c r="G58" s="910">
        <v>4167.307019035673</v>
      </c>
      <c r="H58" s="910">
        <v>3786.4803285917028</v>
      </c>
      <c r="I58" s="901">
        <v>0</v>
      </c>
      <c r="K58" s="5"/>
      <c r="L58" s="5"/>
      <c r="M58" s="5"/>
      <c r="N58" s="5"/>
    </row>
    <row r="59" spans="2:14" x14ac:dyDescent="0.25">
      <c r="B59" s="897" t="s">
        <v>854</v>
      </c>
      <c r="C59" s="898"/>
      <c r="D59" s="909">
        <v>39377.625397864402</v>
      </c>
      <c r="E59" s="910">
        <v>9931.3789322943703</v>
      </c>
      <c r="F59" s="910">
        <v>11844.477979530508</v>
      </c>
      <c r="G59" s="910">
        <v>8683.7317450607316</v>
      </c>
      <c r="H59" s="910">
        <v>8918.0367409787941</v>
      </c>
      <c r="I59" s="901">
        <v>0</v>
      </c>
      <c r="K59" s="919"/>
      <c r="L59" s="5"/>
      <c r="M59" s="920"/>
      <c r="N59" s="920"/>
    </row>
    <row r="60" spans="2:14" x14ac:dyDescent="0.25">
      <c r="B60" s="903" t="s">
        <v>855</v>
      </c>
      <c r="C60" s="863"/>
      <c r="D60" s="865">
        <v>23097.554296390466</v>
      </c>
      <c r="E60" s="913">
        <v>6589.546322145261</v>
      </c>
      <c r="F60" s="913">
        <v>6213.9986862668784</v>
      </c>
      <c r="G60" s="913">
        <v>5014.4846508965447</v>
      </c>
      <c r="H60" s="913">
        <v>5279.5246370817804</v>
      </c>
      <c r="I60" s="906">
        <v>0</v>
      </c>
    </row>
    <row r="61" spans="2:14" x14ac:dyDescent="0.25">
      <c r="B61" s="903" t="s">
        <v>856</v>
      </c>
      <c r="C61" s="863"/>
      <c r="D61" s="865">
        <v>16280.071101473941</v>
      </c>
      <c r="E61" s="913">
        <v>3341.8326101491102</v>
      </c>
      <c r="F61" s="913">
        <v>5630.4792932636301</v>
      </c>
      <c r="G61" s="913">
        <v>3669.2470941641864</v>
      </c>
      <c r="H61" s="913">
        <v>3638.5121038970133</v>
      </c>
      <c r="I61" s="906">
        <v>0</v>
      </c>
    </row>
    <row r="62" spans="2:14" ht="15.75" thickBot="1" x14ac:dyDescent="0.3">
      <c r="B62" s="915" t="s">
        <v>40</v>
      </c>
      <c r="C62" s="884"/>
      <c r="D62" s="916">
        <v>275657.63174539345</v>
      </c>
      <c r="E62" s="917">
        <v>60339.954406788209</v>
      </c>
      <c r="F62" s="917">
        <v>65854.757591587811</v>
      </c>
      <c r="G62" s="917">
        <v>64384.875017869483</v>
      </c>
      <c r="H62" s="917">
        <v>85078.04472914795</v>
      </c>
      <c r="I62" s="918">
        <v>0</v>
      </c>
    </row>
  </sheetData>
  <sheetProtection algorithmName="SHA-512" hashValue="iRFGbMw9T4bHPlOMWdv47kzGoD/JYGurM/LsUVqcqJ6HaBex1+MQy7luZNBw/YCrhJJyGZVz/NrfEyDpxgjajA==" saltValue="WvvgekN2pTbbUvLYFWbuvA==" spinCount="100000" sheet="1" objects="1" scenarios="1"/>
  <mergeCells count="1">
    <mergeCell ref="B2:C3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J75"/>
  <sheetViews>
    <sheetView showGridLines="0" topLeftCell="A70" zoomScale="85" zoomScaleNormal="85" workbookViewId="0">
      <selection activeCell="C24" sqref="C24:C25"/>
    </sheetView>
  </sheetViews>
  <sheetFormatPr baseColWidth="10" defaultRowHeight="15" x14ac:dyDescent="0.25"/>
  <cols>
    <col min="1" max="1" width="3.42578125" style="219" customWidth="1"/>
    <col min="2" max="4" width="28.42578125" style="219" customWidth="1"/>
    <col min="5" max="5" width="11.140625" style="219" customWidth="1"/>
    <col min="6" max="6" width="14.28515625" style="219" bestFit="1" customWidth="1"/>
    <col min="7" max="7" width="11.140625" style="219" customWidth="1"/>
    <col min="8" max="10" width="13.85546875" style="219" customWidth="1"/>
    <col min="11" max="16384" width="11.42578125" style="219"/>
  </cols>
  <sheetData>
    <row r="2" spans="2:4" ht="30" customHeight="1" x14ac:dyDescent="0.25">
      <c r="B2" s="218" t="s">
        <v>550</v>
      </c>
      <c r="C2" s="218" t="s">
        <v>407</v>
      </c>
      <c r="D2" s="218" t="s">
        <v>551</v>
      </c>
    </row>
    <row r="3" spans="2:4" x14ac:dyDescent="0.25">
      <c r="B3" s="220">
        <v>2012</v>
      </c>
      <c r="C3" s="221">
        <f>+'Base de Capital'!D27</f>
        <v>328214907.00403386</v>
      </c>
      <c r="D3" s="221">
        <f>+'Base de Capital'!D73</f>
        <v>36777497.809999995</v>
      </c>
    </row>
    <row r="4" spans="2:4" x14ac:dyDescent="0.25">
      <c r="B4" s="220">
        <v>2013</v>
      </c>
      <c r="C4" s="221">
        <f>+'Base de Capital'!E27</f>
        <v>329397254.11403394</v>
      </c>
      <c r="D4" s="221">
        <f>+'Base de Capital'!E73</f>
        <v>37468274.759999998</v>
      </c>
    </row>
    <row r="5" spans="2:4" x14ac:dyDescent="0.25">
      <c r="B5" s="220">
        <v>2014</v>
      </c>
      <c r="C5" s="221">
        <f>+'Base de Capital'!F27</f>
        <v>339317559.45403385</v>
      </c>
      <c r="D5" s="221">
        <f>+'Base de Capital'!F73</f>
        <v>39608717.949999996</v>
      </c>
    </row>
    <row r="6" spans="2:4" x14ac:dyDescent="0.25">
      <c r="B6" s="220">
        <v>2015</v>
      </c>
      <c r="C6" s="221">
        <f>+'Base de Capital'!G27</f>
        <v>338827374.16403389</v>
      </c>
      <c r="D6" s="221">
        <f>+'Base de Capital'!G73</f>
        <v>41057052.599999994</v>
      </c>
    </row>
    <row r="7" spans="2:4" x14ac:dyDescent="0.25">
      <c r="B7" s="220">
        <v>2016</v>
      </c>
      <c r="C7" s="221">
        <f>+'Base de Capital'!H27</f>
        <v>367674767.96403384</v>
      </c>
      <c r="D7" s="221">
        <f>+'Base de Capital'!H73</f>
        <v>45644352</v>
      </c>
    </row>
    <row r="8" spans="2:4" ht="6" customHeight="1" x14ac:dyDescent="0.25"/>
    <row r="9" spans="2:4" ht="30" customHeight="1" x14ac:dyDescent="0.25">
      <c r="B9" s="218" t="s">
        <v>402</v>
      </c>
      <c r="C9" s="218" t="s">
        <v>407</v>
      </c>
      <c r="D9" s="218" t="s">
        <v>551</v>
      </c>
    </row>
    <row r="10" spans="2:4" x14ac:dyDescent="0.25">
      <c r="B10" s="222">
        <v>2013</v>
      </c>
      <c r="C10" s="221">
        <f>+'Base de Capital'!J27</f>
        <v>143353569.64399999</v>
      </c>
      <c r="D10" s="221">
        <f>+'Base de Capital'!J73</f>
        <v>29688404.170000006</v>
      </c>
    </row>
    <row r="11" spans="2:4" x14ac:dyDescent="0.25">
      <c r="B11" s="220">
        <v>2014</v>
      </c>
      <c r="C11" s="221">
        <f>+'Base de Capital'!K27</f>
        <v>153153465.88939998</v>
      </c>
      <c r="D11" s="221">
        <f>+'Base de Capital'!K73</f>
        <v>31975231.719999999</v>
      </c>
    </row>
    <row r="12" spans="2:4" x14ac:dyDescent="0.25">
      <c r="B12" s="220">
        <v>2015</v>
      </c>
      <c r="C12" s="221">
        <f>+'Base de Capital'!L27</f>
        <v>162298861.11440003</v>
      </c>
      <c r="D12" s="221">
        <f>+'Base de Capital'!L73</f>
        <v>33927841.800000004</v>
      </c>
    </row>
    <row r="13" spans="2:4" x14ac:dyDescent="0.25">
      <c r="B13" s="220">
        <v>2016</v>
      </c>
      <c r="C13" s="221">
        <f>+'Base de Capital'!M27</f>
        <v>172470143.84</v>
      </c>
      <c r="D13" s="221">
        <f>+'Base de Capital'!M73</f>
        <v>36589010</v>
      </c>
    </row>
    <row r="14" spans="2:4" ht="6" customHeight="1" x14ac:dyDescent="0.25"/>
    <row r="15" spans="2:4" ht="30" customHeight="1" x14ac:dyDescent="0.25">
      <c r="B15" s="218" t="s">
        <v>552</v>
      </c>
      <c r="C15" s="218" t="s">
        <v>407</v>
      </c>
      <c r="D15" s="218" t="s">
        <v>551</v>
      </c>
    </row>
    <row r="16" spans="2:4" x14ac:dyDescent="0.25">
      <c r="B16" s="220">
        <v>2013</v>
      </c>
      <c r="C16" s="221">
        <f>+'Base de Capital'!O27</f>
        <v>186043684.47003388</v>
      </c>
      <c r="D16" s="221">
        <f>+'Base de Capital'!O73</f>
        <v>7779870.589999998</v>
      </c>
    </row>
    <row r="17" spans="2:10" x14ac:dyDescent="0.25">
      <c r="B17" s="220">
        <v>2014</v>
      </c>
      <c r="C17" s="221">
        <f>+'Base de Capital'!P27</f>
        <v>186164093.56463391</v>
      </c>
      <c r="D17" s="221">
        <f>+'Base de Capital'!P73</f>
        <v>7633486.2299999977</v>
      </c>
    </row>
    <row r="18" spans="2:10" x14ac:dyDescent="0.25">
      <c r="B18" s="220">
        <v>2015</v>
      </c>
      <c r="C18" s="221">
        <f>+'Base de Capital'!Q27</f>
        <v>176528513.04963386</v>
      </c>
      <c r="D18" s="221">
        <f>+'Base de Capital'!Q73</f>
        <v>7129210.7999999989</v>
      </c>
    </row>
    <row r="19" spans="2:10" x14ac:dyDescent="0.25">
      <c r="B19" s="220">
        <v>2016</v>
      </c>
      <c r="C19" s="221">
        <f>+'Base de Capital'!R27</f>
        <v>195204624.1240339</v>
      </c>
      <c r="D19" s="221">
        <f>+'Base de Capital'!R73</f>
        <v>9055343</v>
      </c>
    </row>
    <row r="21" spans="2:10" ht="25.5" x14ac:dyDescent="0.25">
      <c r="B21" s="223"/>
      <c r="C21" s="224" t="s">
        <v>550</v>
      </c>
      <c r="D21" s="225" t="s">
        <v>553</v>
      </c>
      <c r="E21" s="225" t="s">
        <v>546</v>
      </c>
      <c r="F21" s="226" t="s">
        <v>554</v>
      </c>
      <c r="G21" s="225" t="s">
        <v>555</v>
      </c>
      <c r="H21" s="224" t="s">
        <v>550</v>
      </c>
      <c r="I21" s="225" t="s">
        <v>402</v>
      </c>
      <c r="J21" s="224" t="s">
        <v>552</v>
      </c>
    </row>
    <row r="22" spans="2:10" x14ac:dyDescent="0.25">
      <c r="B22" s="227"/>
      <c r="C22" s="228">
        <v>41274</v>
      </c>
      <c r="D22" s="225">
        <v>2013</v>
      </c>
      <c r="E22" s="225">
        <v>2013</v>
      </c>
      <c r="F22" s="225">
        <v>2013</v>
      </c>
      <c r="G22" s="225">
        <v>2013</v>
      </c>
      <c r="H22" s="228">
        <v>41639</v>
      </c>
      <c r="I22" s="228">
        <v>41639</v>
      </c>
      <c r="J22" s="228">
        <v>41639</v>
      </c>
    </row>
    <row r="23" spans="2:10" ht="6" customHeight="1" x14ac:dyDescent="0.25">
      <c r="B23" s="229"/>
      <c r="C23" s="230"/>
      <c r="D23" s="231"/>
      <c r="E23" s="231"/>
      <c r="F23" s="231"/>
      <c r="G23" s="230"/>
      <c r="H23" s="231"/>
      <c r="I23" s="231"/>
      <c r="J23" s="231"/>
    </row>
    <row r="24" spans="2:10" x14ac:dyDescent="0.25">
      <c r="B24" s="232" t="s">
        <v>9</v>
      </c>
      <c r="C24" s="233">
        <v>328214907.00403386</v>
      </c>
      <c r="D24" s="233">
        <v>3969341.29</v>
      </c>
      <c r="E24" s="233">
        <v>0</v>
      </c>
      <c r="F24" s="233">
        <v>-2786994.1800000006</v>
      </c>
      <c r="G24" s="233">
        <v>0</v>
      </c>
      <c r="H24" s="234">
        <v>329397254.11403394</v>
      </c>
      <c r="I24" s="234">
        <v>143353569.64399999</v>
      </c>
      <c r="J24" s="234">
        <v>186043684.47003388</v>
      </c>
    </row>
    <row r="25" spans="2:10" x14ac:dyDescent="0.25">
      <c r="B25" s="232" t="s">
        <v>397</v>
      </c>
      <c r="C25" s="233">
        <v>36777497.809999995</v>
      </c>
      <c r="D25" s="233">
        <v>2145997.2799999998</v>
      </c>
      <c r="E25" s="233">
        <v>1455220.3299999998</v>
      </c>
      <c r="F25" s="233">
        <v>0</v>
      </c>
      <c r="G25" s="233">
        <v>0</v>
      </c>
      <c r="H25" s="234">
        <v>37468274.759999998</v>
      </c>
      <c r="I25" s="234">
        <v>29688404.170000006</v>
      </c>
      <c r="J25" s="234">
        <v>7779870.589999998</v>
      </c>
    </row>
    <row r="27" spans="2:10" ht="25.5" x14ac:dyDescent="0.25">
      <c r="B27" s="223"/>
      <c r="C27" s="224" t="s">
        <v>550</v>
      </c>
      <c r="D27" s="225" t="s">
        <v>553</v>
      </c>
      <c r="E27" s="225" t="s">
        <v>546</v>
      </c>
      <c r="F27" s="226" t="s">
        <v>554</v>
      </c>
      <c r="G27" s="225" t="s">
        <v>555</v>
      </c>
      <c r="H27" s="224" t="s">
        <v>550</v>
      </c>
      <c r="I27" s="225" t="s">
        <v>402</v>
      </c>
      <c r="J27" s="224" t="s">
        <v>552</v>
      </c>
    </row>
    <row r="28" spans="2:10" x14ac:dyDescent="0.25">
      <c r="B28" s="227"/>
      <c r="C28" s="228">
        <v>41639</v>
      </c>
      <c r="D28" s="225">
        <v>2014</v>
      </c>
      <c r="E28" s="225">
        <v>2014</v>
      </c>
      <c r="F28" s="225">
        <v>2014</v>
      </c>
      <c r="G28" s="225">
        <v>2014</v>
      </c>
      <c r="H28" s="228">
        <v>42004</v>
      </c>
      <c r="I28" s="228">
        <v>42004</v>
      </c>
      <c r="J28" s="228">
        <v>42004</v>
      </c>
    </row>
    <row r="29" spans="2:10" ht="6" customHeight="1" x14ac:dyDescent="0.25"/>
    <row r="30" spans="2:10" x14ac:dyDescent="0.25">
      <c r="B30" s="232" t="s">
        <v>9</v>
      </c>
      <c r="C30" s="233">
        <v>329397254.11403394</v>
      </c>
      <c r="D30" s="233">
        <v>9920305.3399999999</v>
      </c>
      <c r="E30" s="233">
        <v>0</v>
      </c>
      <c r="F30" s="233">
        <v>0</v>
      </c>
      <c r="G30" s="233">
        <v>0</v>
      </c>
      <c r="H30" s="234">
        <v>339317559.45403385</v>
      </c>
      <c r="I30" s="234">
        <v>153153465.88940001</v>
      </c>
      <c r="J30" s="234">
        <v>186164093.56463391</v>
      </c>
    </row>
    <row r="31" spans="2:10" x14ac:dyDescent="0.25">
      <c r="B31" s="232" t="s">
        <v>397</v>
      </c>
      <c r="C31" s="233">
        <v>37468274.759999998</v>
      </c>
      <c r="D31" s="233">
        <v>2739449.5300000003</v>
      </c>
      <c r="E31" s="233">
        <v>599006.34</v>
      </c>
      <c r="F31" s="233">
        <v>0</v>
      </c>
      <c r="G31" s="233">
        <v>0</v>
      </c>
      <c r="H31" s="234">
        <v>39608717.949999996</v>
      </c>
      <c r="I31" s="234">
        <v>31975231.719999999</v>
      </c>
      <c r="J31" s="234">
        <v>7633486.2299999977</v>
      </c>
    </row>
    <row r="33" spans="2:10" ht="25.5" x14ac:dyDescent="0.25">
      <c r="B33" s="223"/>
      <c r="C33" s="224" t="s">
        <v>550</v>
      </c>
      <c r="D33" s="225" t="s">
        <v>553</v>
      </c>
      <c r="E33" s="225" t="s">
        <v>546</v>
      </c>
      <c r="F33" s="226" t="s">
        <v>554</v>
      </c>
      <c r="G33" s="225" t="s">
        <v>555</v>
      </c>
      <c r="H33" s="224" t="s">
        <v>550</v>
      </c>
      <c r="I33" s="225" t="s">
        <v>402</v>
      </c>
      <c r="J33" s="224" t="s">
        <v>552</v>
      </c>
    </row>
    <row r="34" spans="2:10" x14ac:dyDescent="0.25">
      <c r="B34" s="227"/>
      <c r="C34" s="228">
        <v>42004</v>
      </c>
      <c r="D34" s="225">
        <v>2015</v>
      </c>
      <c r="E34" s="225">
        <v>2015</v>
      </c>
      <c r="F34" s="225">
        <v>2015</v>
      </c>
      <c r="G34" s="225">
        <v>2015</v>
      </c>
      <c r="H34" s="228">
        <v>42369</v>
      </c>
      <c r="I34" s="228">
        <v>42369</v>
      </c>
      <c r="J34" s="228">
        <v>42369</v>
      </c>
    </row>
    <row r="35" spans="2:10" ht="6" customHeight="1" x14ac:dyDescent="0.25"/>
    <row r="36" spans="2:10" x14ac:dyDescent="0.25">
      <c r="B36" s="232" t="s">
        <v>9</v>
      </c>
      <c r="C36" s="233">
        <v>339317559.45403385</v>
      </c>
      <c r="D36" s="233">
        <v>-490185.29</v>
      </c>
      <c r="E36" s="233">
        <v>0</v>
      </c>
      <c r="F36" s="233">
        <v>0</v>
      </c>
      <c r="G36" s="233">
        <v>0</v>
      </c>
      <c r="H36" s="234">
        <v>338827374.16403389</v>
      </c>
      <c r="I36" s="234">
        <v>162298861.1144</v>
      </c>
      <c r="J36" s="234">
        <v>176528513.04963389</v>
      </c>
    </row>
    <row r="37" spans="2:10" x14ac:dyDescent="0.25">
      <c r="B37" s="232" t="s">
        <v>397</v>
      </c>
      <c r="C37" s="233">
        <v>39608717.949999996</v>
      </c>
      <c r="D37" s="233">
        <v>2130496.66</v>
      </c>
      <c r="E37" s="233">
        <v>682162.01</v>
      </c>
      <c r="F37" s="233">
        <v>0</v>
      </c>
      <c r="G37" s="233">
        <v>0</v>
      </c>
      <c r="H37" s="234">
        <v>41057052.599999994</v>
      </c>
      <c r="I37" s="234">
        <v>33927841.800000004</v>
      </c>
      <c r="J37" s="234">
        <v>7129210.7999999989</v>
      </c>
    </row>
    <row r="39" spans="2:10" ht="25.5" x14ac:dyDescent="0.25">
      <c r="B39" s="223"/>
      <c r="C39" s="224" t="s">
        <v>550</v>
      </c>
      <c r="D39" s="225" t="s">
        <v>553</v>
      </c>
      <c r="E39" s="225" t="s">
        <v>546</v>
      </c>
      <c r="F39" s="226" t="s">
        <v>554</v>
      </c>
      <c r="G39" s="225" t="s">
        <v>555</v>
      </c>
      <c r="H39" s="224" t="s">
        <v>550</v>
      </c>
      <c r="I39" s="225" t="s">
        <v>402</v>
      </c>
      <c r="J39" s="224" t="s">
        <v>552</v>
      </c>
    </row>
    <row r="40" spans="2:10" x14ac:dyDescent="0.25">
      <c r="B40" s="227"/>
      <c r="C40" s="228">
        <v>42369</v>
      </c>
      <c r="D40" s="225">
        <v>2016</v>
      </c>
      <c r="E40" s="225">
        <v>2016</v>
      </c>
      <c r="F40" s="225">
        <v>2016</v>
      </c>
      <c r="G40" s="225">
        <v>2016</v>
      </c>
      <c r="H40" s="228">
        <v>42735</v>
      </c>
      <c r="I40" s="228">
        <v>42735</v>
      </c>
      <c r="J40" s="228">
        <v>42735</v>
      </c>
    </row>
    <row r="41" spans="2:10" ht="6" customHeight="1" x14ac:dyDescent="0.25"/>
    <row r="42" spans="2:10" x14ac:dyDescent="0.25">
      <c r="B42" s="232" t="s">
        <v>9</v>
      </c>
      <c r="C42" s="233">
        <v>338827374.16403389</v>
      </c>
      <c r="D42" s="233">
        <v>31216473.799999997</v>
      </c>
      <c r="E42" s="233">
        <v>3100</v>
      </c>
      <c r="F42" s="233">
        <v>0</v>
      </c>
      <c r="G42" s="233">
        <v>-2365980</v>
      </c>
      <c r="H42" s="234">
        <v>395482206.29000002</v>
      </c>
      <c r="I42" s="234">
        <v>172470143.84</v>
      </c>
      <c r="J42" s="234">
        <v>223012062.44999999</v>
      </c>
    </row>
    <row r="43" spans="2:10" x14ac:dyDescent="0.25">
      <c r="B43" s="232" t="s">
        <v>397</v>
      </c>
      <c r="C43" s="233">
        <v>40482365</v>
      </c>
      <c r="D43" s="233">
        <v>5274694</v>
      </c>
      <c r="E43" s="233">
        <v>109550</v>
      </c>
      <c r="F43" s="233">
        <v>-31565</v>
      </c>
      <c r="G43" s="233">
        <v>28409</v>
      </c>
      <c r="H43" s="234">
        <v>45644352</v>
      </c>
      <c r="I43" s="234">
        <v>36589010</v>
      </c>
      <c r="J43" s="234">
        <v>9055343</v>
      </c>
    </row>
    <row r="46" spans="2:10" ht="32.25" customHeight="1" x14ac:dyDescent="0.25">
      <c r="B46" s="224"/>
      <c r="C46" s="224" t="s">
        <v>556</v>
      </c>
      <c r="D46" s="224" t="s">
        <v>557</v>
      </c>
    </row>
    <row r="47" spans="2:10" x14ac:dyDescent="0.25">
      <c r="B47" s="235" t="s">
        <v>10</v>
      </c>
      <c r="C47" s="236">
        <v>4819791.26</v>
      </c>
      <c r="D47" s="236">
        <v>4819791.26</v>
      </c>
    </row>
    <row r="48" spans="2:10" x14ac:dyDescent="0.25">
      <c r="B48" s="235" t="s">
        <v>11</v>
      </c>
      <c r="C48" s="236">
        <v>15954394.66</v>
      </c>
      <c r="D48" s="236">
        <v>7145202.8900000006</v>
      </c>
    </row>
    <row r="49" spans="2:4" x14ac:dyDescent="0.25">
      <c r="B49" s="235" t="s">
        <v>12</v>
      </c>
      <c r="C49" s="236">
        <v>758817.42</v>
      </c>
      <c r="D49" s="236">
        <v>586961.55000000005</v>
      </c>
    </row>
    <row r="50" spans="2:4" x14ac:dyDescent="0.25">
      <c r="B50" s="235" t="s">
        <v>13</v>
      </c>
      <c r="C50" s="236">
        <v>26223793.850000001</v>
      </c>
      <c r="D50" s="236">
        <v>20120041.690000001</v>
      </c>
    </row>
    <row r="51" spans="2:4" x14ac:dyDescent="0.25">
      <c r="B51" s="235" t="s">
        <v>14</v>
      </c>
      <c r="C51" s="236">
        <v>6947636.2599999998</v>
      </c>
      <c r="D51" s="236">
        <v>3422362.35</v>
      </c>
    </row>
    <row r="52" spans="2:4" x14ac:dyDescent="0.25">
      <c r="B52" s="235" t="s">
        <v>15</v>
      </c>
      <c r="C52" s="236">
        <v>69052.05</v>
      </c>
      <c r="D52" s="236">
        <v>5097.0400000000081</v>
      </c>
    </row>
    <row r="53" spans="2:4" x14ac:dyDescent="0.25">
      <c r="B53" s="235" t="s">
        <v>16</v>
      </c>
      <c r="C53" s="236">
        <v>85294899.799999997</v>
      </c>
      <c r="D53" s="236">
        <v>54867094.93</v>
      </c>
    </row>
    <row r="54" spans="2:4" x14ac:dyDescent="0.25">
      <c r="B54" s="235" t="s">
        <v>17</v>
      </c>
      <c r="C54" s="236">
        <v>97229480.859999999</v>
      </c>
      <c r="D54" s="236">
        <v>52572802.25</v>
      </c>
    </row>
    <row r="55" spans="2:4" x14ac:dyDescent="0.25">
      <c r="B55" s="235" t="s">
        <v>18</v>
      </c>
      <c r="C55" s="236">
        <v>96796583.969999999</v>
      </c>
      <c r="D55" s="236">
        <v>52400586.07</v>
      </c>
    </row>
    <row r="56" spans="2:4" x14ac:dyDescent="0.25">
      <c r="B56" s="235" t="s">
        <v>19</v>
      </c>
      <c r="C56" s="236">
        <v>31826.04</v>
      </c>
      <c r="D56" s="236">
        <v>6748.630000000001</v>
      </c>
    </row>
    <row r="57" spans="2:4" x14ac:dyDescent="0.25">
      <c r="B57" s="235" t="s">
        <v>20</v>
      </c>
      <c r="C57" s="236">
        <v>3267407.56</v>
      </c>
      <c r="D57" s="236">
        <v>2425893.7600000002</v>
      </c>
    </row>
    <row r="58" spans="2:4" x14ac:dyDescent="0.25">
      <c r="B58" s="235" t="s">
        <v>21</v>
      </c>
      <c r="C58" s="236">
        <v>39402174.299999997</v>
      </c>
      <c r="D58" s="236">
        <v>20388813.389999997</v>
      </c>
    </row>
    <row r="59" spans="2:4" x14ac:dyDescent="0.25">
      <c r="B59" s="235" t="s">
        <v>22</v>
      </c>
      <c r="C59" s="236">
        <v>18597336.09</v>
      </c>
      <c r="D59" s="236">
        <v>4246908.74</v>
      </c>
    </row>
    <row r="60" spans="2:4" x14ac:dyDescent="0.25">
      <c r="B60" s="235" t="s">
        <v>23</v>
      </c>
      <c r="C60" s="236">
        <v>89012.17</v>
      </c>
      <c r="D60" s="236">
        <v>3757.8999999999942</v>
      </c>
    </row>
    <row r="61" spans="2:4" x14ac:dyDescent="0.25">
      <c r="B61" s="235" t="s">
        <v>24</v>
      </c>
      <c r="C61" s="236">
        <v>0</v>
      </c>
      <c r="D61" s="236">
        <v>0</v>
      </c>
    </row>
    <row r="62" spans="2:4" x14ac:dyDescent="0.25">
      <c r="B62" s="237" t="s">
        <v>40</v>
      </c>
      <c r="C62" s="238">
        <f>+SUM(C47:C61)</f>
        <v>395482206.29000002</v>
      </c>
      <c r="D62" s="238">
        <f>+SUM(D47:D61)</f>
        <v>223012062.44999999</v>
      </c>
    </row>
    <row r="64" spans="2:4" ht="32.25" customHeight="1" x14ac:dyDescent="0.25">
      <c r="B64" s="224"/>
      <c r="C64" s="224" t="s">
        <v>556</v>
      </c>
      <c r="D64" s="224" t="s">
        <v>557</v>
      </c>
    </row>
    <row r="65" spans="2:4" x14ac:dyDescent="0.25">
      <c r="B65" s="235" t="s">
        <v>10</v>
      </c>
      <c r="C65" s="236">
        <v>272475</v>
      </c>
      <c r="D65" s="236">
        <v>272475</v>
      </c>
    </row>
    <row r="66" spans="2:4" x14ac:dyDescent="0.25">
      <c r="B66" s="235" t="s">
        <v>11</v>
      </c>
      <c r="C66" s="236">
        <v>981996</v>
      </c>
      <c r="D66" s="236">
        <v>653660</v>
      </c>
    </row>
    <row r="67" spans="2:4" x14ac:dyDescent="0.25">
      <c r="B67" s="235" t="s">
        <v>15</v>
      </c>
      <c r="C67" s="236">
        <v>554148</v>
      </c>
      <c r="D67" s="236">
        <v>146216</v>
      </c>
    </row>
    <row r="68" spans="2:4" x14ac:dyDescent="0.25">
      <c r="B68" s="235" t="s">
        <v>37</v>
      </c>
      <c r="C68" s="236">
        <v>1286786</v>
      </c>
      <c r="D68" s="236">
        <v>1247</v>
      </c>
    </row>
    <row r="69" spans="2:4" x14ac:dyDescent="0.25">
      <c r="B69" s="235" t="s">
        <v>19</v>
      </c>
      <c r="C69" s="236">
        <v>316816</v>
      </c>
      <c r="D69" s="236">
        <v>266345</v>
      </c>
    </row>
    <row r="70" spans="2:4" x14ac:dyDescent="0.25">
      <c r="B70" s="235" t="s">
        <v>20</v>
      </c>
      <c r="C70" s="236">
        <v>16759306</v>
      </c>
      <c r="D70" s="236">
        <v>4260331</v>
      </c>
    </row>
    <row r="71" spans="2:4" x14ac:dyDescent="0.25">
      <c r="B71" s="235" t="s">
        <v>38</v>
      </c>
      <c r="C71" s="236">
        <v>15851735</v>
      </c>
      <c r="D71" s="236">
        <v>1987956</v>
      </c>
    </row>
    <row r="72" spans="2:4" x14ac:dyDescent="0.25">
      <c r="B72" s="235" t="s">
        <v>30</v>
      </c>
      <c r="C72" s="236">
        <v>2994646</v>
      </c>
      <c r="D72" s="236">
        <v>336813</v>
      </c>
    </row>
    <row r="73" spans="2:4" x14ac:dyDescent="0.25">
      <c r="B73" s="235" t="s">
        <v>31</v>
      </c>
      <c r="C73" s="236">
        <v>4797535</v>
      </c>
      <c r="D73" s="236">
        <v>935898</v>
      </c>
    </row>
    <row r="74" spans="2:4" x14ac:dyDescent="0.25">
      <c r="B74" s="235" t="s">
        <v>24</v>
      </c>
      <c r="C74" s="236">
        <v>1828909</v>
      </c>
      <c r="D74" s="236">
        <v>194402</v>
      </c>
    </row>
    <row r="75" spans="2:4" x14ac:dyDescent="0.25">
      <c r="B75" s="237" t="s">
        <v>40</v>
      </c>
      <c r="C75" s="238">
        <f>+SUM(C65:C74)</f>
        <v>45644352</v>
      </c>
      <c r="D75" s="238">
        <f>+SUM(D65:D74)</f>
        <v>9055343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8" tint="-0.499984740745262"/>
  </sheetPr>
  <dimension ref="A1:V279"/>
  <sheetViews>
    <sheetView showGridLines="0" zoomScale="85" zoomScaleNormal="85" workbookViewId="0">
      <pane ySplit="4" topLeftCell="A5" activePane="bottomLeft" state="frozen"/>
      <selection pane="bottomLeft" activeCell="E188" sqref="E188"/>
    </sheetView>
  </sheetViews>
  <sheetFormatPr baseColWidth="10" defaultColWidth="9.140625" defaultRowHeight="12.75" outlineLevelRow="1" outlineLevelCol="1" x14ac:dyDescent="0.2"/>
  <cols>
    <col min="1" max="1" width="3.7109375" style="556" customWidth="1"/>
    <col min="2" max="2" width="51.28515625" style="556" bestFit="1" customWidth="1"/>
    <col min="3" max="3" width="11.7109375" style="556" hidden="1" customWidth="1" outlineLevel="1"/>
    <col min="4" max="4" width="14.85546875" style="556" customWidth="1" collapsed="1"/>
    <col min="5" max="8" width="14.85546875" style="556" customWidth="1"/>
    <col min="9" max="10" width="14.42578125" style="556" customWidth="1"/>
    <col min="11" max="11" width="14.42578125" style="556" customWidth="1" outlineLevel="1"/>
    <col min="12" max="12" width="10.7109375" style="556" customWidth="1" outlineLevel="1"/>
    <col min="13" max="13" width="10.42578125" style="556" customWidth="1" outlineLevel="1"/>
    <col min="14" max="14" width="10.5703125" style="556" customWidth="1" outlineLevel="1"/>
    <col min="15" max="21" width="9.140625" style="556" outlineLevel="1"/>
    <col min="22" max="16384" width="9.140625" style="556"/>
  </cols>
  <sheetData>
    <row r="1" spans="2:13" s="28" customFormat="1" hidden="1" x14ac:dyDescent="0.2"/>
    <row r="2" spans="2:13" s="28" customFormat="1" hidden="1" x14ac:dyDescent="0.2"/>
    <row r="3" spans="2:13" s="28" customFormat="1" hidden="1" x14ac:dyDescent="0.2"/>
    <row r="4" spans="2:13" s="28" customFormat="1" hidden="1" x14ac:dyDescent="0.2"/>
    <row r="5" spans="2:13" s="28" customFormat="1" hidden="1" x14ac:dyDescent="0.2"/>
    <row r="6" spans="2:13" s="89" customFormat="1" hidden="1" x14ac:dyDescent="0.2">
      <c r="B6" s="107" t="s">
        <v>1021</v>
      </c>
    </row>
    <row r="7" spans="2:13" ht="13.5" hidden="1" thickBot="1" x14ac:dyDescent="0.25">
      <c r="B7" s="557"/>
      <c r="C7" s="557"/>
      <c r="D7" s="557"/>
      <c r="E7" s="557"/>
      <c r="F7" s="557"/>
      <c r="G7" s="557"/>
      <c r="H7" s="557"/>
      <c r="I7" s="557"/>
    </row>
    <row r="8" spans="2:13" s="558" customFormat="1" hidden="1" x14ac:dyDescent="0.2">
      <c r="B8" s="559"/>
      <c r="C8" s="560" t="s">
        <v>798</v>
      </c>
      <c r="D8" s="560">
        <v>2016</v>
      </c>
      <c r="E8" s="560">
        <v>2017</v>
      </c>
      <c r="F8" s="560">
        <f>+E8+1</f>
        <v>2018</v>
      </c>
      <c r="G8" s="560">
        <f>+F8+1</f>
        <v>2019</v>
      </c>
      <c r="H8" s="560">
        <f>+G8+1</f>
        <v>2020</v>
      </c>
      <c r="I8" s="561">
        <f>+H8+1</f>
        <v>2021</v>
      </c>
    </row>
    <row r="9" spans="2:13" s="558" customFormat="1" hidden="1" x14ac:dyDescent="0.2">
      <c r="B9" s="562" t="s">
        <v>799</v>
      </c>
      <c r="C9" s="563" t="s">
        <v>633</v>
      </c>
      <c r="D9" s="564"/>
      <c r="E9" s="764">
        <v>1.9742400000000004E-2</v>
      </c>
      <c r="F9" s="564">
        <f>$E$9</f>
        <v>1.9742400000000004E-2</v>
      </c>
      <c r="G9" s="564">
        <f t="shared" ref="G9:I9" si="0">$E$9</f>
        <v>1.9742400000000004E-2</v>
      </c>
      <c r="H9" s="564">
        <f t="shared" si="0"/>
        <v>1.9742400000000004E-2</v>
      </c>
      <c r="I9" s="565">
        <f t="shared" si="0"/>
        <v>1.9742400000000004E-2</v>
      </c>
      <c r="J9" s="566"/>
      <c r="M9" s="567"/>
    </row>
    <row r="10" spans="2:13" s="558" customFormat="1" ht="13.5" hidden="1" thickBot="1" x14ac:dyDescent="0.25">
      <c r="B10" s="568" t="s">
        <v>800</v>
      </c>
      <c r="C10" s="569" t="s">
        <v>633</v>
      </c>
      <c r="D10" s="570"/>
      <c r="E10" s="571">
        <v>7.9074074074074064E-3</v>
      </c>
      <c r="F10" s="570">
        <f>$E$10</f>
        <v>7.9074074074074064E-3</v>
      </c>
      <c r="G10" s="570">
        <f t="shared" ref="G10:I10" si="1">$E$10</f>
        <v>7.9074074074074064E-3</v>
      </c>
      <c r="H10" s="570">
        <f t="shared" si="1"/>
        <v>7.9074074074074064E-3</v>
      </c>
      <c r="I10" s="572">
        <f t="shared" si="1"/>
        <v>7.9074074074074064E-3</v>
      </c>
      <c r="J10" s="566"/>
    </row>
    <row r="11" spans="2:13" s="558" customFormat="1" ht="13.5" hidden="1" thickBot="1" x14ac:dyDescent="0.25">
      <c r="E11" s="573"/>
      <c r="F11" s="573"/>
      <c r="G11" s="573"/>
      <c r="H11" s="573"/>
      <c r="I11" s="573"/>
      <c r="J11" s="566"/>
    </row>
    <row r="12" spans="2:13" s="558" customFormat="1" hidden="1" x14ac:dyDescent="0.2">
      <c r="B12" s="574" t="s">
        <v>801</v>
      </c>
      <c r="C12" s="575" t="s">
        <v>633</v>
      </c>
      <c r="D12" s="976">
        <f>+'IMP Existente'!D12</f>
        <v>3.5000000000000003E-2</v>
      </c>
      <c r="E12" s="573"/>
      <c r="F12" s="573"/>
      <c r="G12" s="573"/>
      <c r="H12" s="573"/>
      <c r="I12" s="573"/>
      <c r="J12" s="577"/>
    </row>
    <row r="13" spans="2:13" s="558" customFormat="1" ht="13.5" hidden="1" thickBot="1" x14ac:dyDescent="0.25">
      <c r="B13" s="578" t="s">
        <v>802</v>
      </c>
      <c r="C13" s="579" t="s">
        <v>633</v>
      </c>
      <c r="D13" s="977">
        <f>+'IMP Existente'!RRT</f>
        <v>7.7600000000000002E-2</v>
      </c>
      <c r="E13" s="573"/>
      <c r="F13" s="573"/>
      <c r="G13" s="573"/>
      <c r="H13" s="573"/>
      <c r="I13" s="573"/>
      <c r="J13" s="577"/>
    </row>
    <row r="14" spans="2:13" hidden="1" x14ac:dyDescent="0.2">
      <c r="B14" s="581"/>
      <c r="J14" s="582"/>
    </row>
    <row r="15" spans="2:13" s="89" customFormat="1" hidden="1" x14ac:dyDescent="0.2">
      <c r="B15" s="107" t="s">
        <v>415</v>
      </c>
    </row>
    <row r="16" spans="2:13" ht="13.5" hidden="1" customHeight="1" x14ac:dyDescent="0.2">
      <c r="B16" s="555" t="s">
        <v>1028</v>
      </c>
      <c r="C16" s="555"/>
      <c r="D16" s="555"/>
      <c r="E16" s="555"/>
      <c r="F16" s="555"/>
      <c r="G16" s="555"/>
      <c r="H16" s="555"/>
      <c r="I16" s="555"/>
    </row>
    <row r="17" spans="2:21" ht="13.5" hidden="1" customHeight="1" thickBot="1" x14ac:dyDescent="0.25">
      <c r="B17" s="583"/>
      <c r="C17" s="555"/>
      <c r="D17" s="555"/>
      <c r="E17" s="555"/>
      <c r="F17" s="555"/>
      <c r="G17" s="555"/>
      <c r="H17" s="555"/>
      <c r="I17" s="555"/>
    </row>
    <row r="18" spans="2:21" ht="13.5" hidden="1" customHeight="1" x14ac:dyDescent="0.2">
      <c r="B18" s="559" t="s">
        <v>777</v>
      </c>
      <c r="C18" s="560" t="s">
        <v>798</v>
      </c>
      <c r="D18" s="560">
        <f>D$8</f>
        <v>2016</v>
      </c>
      <c r="E18" s="560">
        <f t="shared" ref="E18:I18" si="2">E$8</f>
        <v>2017</v>
      </c>
      <c r="F18" s="560">
        <f t="shared" si="2"/>
        <v>2018</v>
      </c>
      <c r="G18" s="560">
        <f t="shared" si="2"/>
        <v>2019</v>
      </c>
      <c r="H18" s="560">
        <f t="shared" si="2"/>
        <v>2020</v>
      </c>
      <c r="I18" s="561">
        <f t="shared" si="2"/>
        <v>2021</v>
      </c>
    </row>
    <row r="19" spans="2:21" hidden="1" x14ac:dyDescent="0.2">
      <c r="B19" s="584" t="s">
        <v>803</v>
      </c>
      <c r="C19" s="563" t="s">
        <v>804</v>
      </c>
      <c r="D19" s="585">
        <f>'Activos Reconocidos'!C64/1000</f>
        <v>413319.11996403383</v>
      </c>
      <c r="E19" s="585">
        <f>'Activos Reconocidos'!D64/1000</f>
        <v>413319.11996403383</v>
      </c>
      <c r="F19" s="585">
        <f>'Activos Reconocidos'!E64/1000</f>
        <v>413319.11996403383</v>
      </c>
      <c r="G19" s="585">
        <f>'Activos Reconocidos'!F64/1000</f>
        <v>413319.11996403383</v>
      </c>
      <c r="H19" s="585">
        <f>'Activos Reconocidos'!G64/1000</f>
        <v>413319.11996403383</v>
      </c>
      <c r="I19" s="586">
        <f>'Activos Reconocidos'!H64/1000</f>
        <v>413319.11996403383</v>
      </c>
    </row>
    <row r="20" spans="2:21" hidden="1" x14ac:dyDescent="0.2">
      <c r="B20" s="584" t="s">
        <v>805</v>
      </c>
      <c r="C20" s="563" t="s">
        <v>804</v>
      </c>
      <c r="D20" s="585">
        <f>'Activos Reconocidos'!C68/1000</f>
        <v>0</v>
      </c>
      <c r="E20" s="585">
        <f>'Activos Reconocidos'!D68/1000</f>
        <v>345480.16800000001</v>
      </c>
      <c r="F20" s="585">
        <f>'Activos Reconocidos'!E68/1000</f>
        <v>345480.16800000001</v>
      </c>
      <c r="G20" s="585">
        <f>'Activos Reconocidos'!F68/1000</f>
        <v>345480.16800000001</v>
      </c>
      <c r="H20" s="585">
        <f>'Activos Reconocidos'!G68/1000</f>
        <v>345480.16800000001</v>
      </c>
      <c r="I20" s="586">
        <f>'Activos Reconocidos'!H68/1000</f>
        <v>345480.16800000001</v>
      </c>
    </row>
    <row r="21" spans="2:21" hidden="1" x14ac:dyDescent="0.2">
      <c r="B21" s="584" t="s">
        <v>806</v>
      </c>
      <c r="C21" s="563" t="s">
        <v>804</v>
      </c>
      <c r="D21" s="585">
        <f>'Activos Reconocidos'!C184/1000</f>
        <v>30496.959555000001</v>
      </c>
      <c r="E21" s="585">
        <f>'Activos Reconocidos'!D184/1000</f>
        <v>34548.959555000001</v>
      </c>
      <c r="F21" s="585">
        <f>'Activos Reconocidos'!E184/1000</f>
        <v>40875.959555000001</v>
      </c>
      <c r="G21" s="585">
        <f>'Activos Reconocidos'!F184/1000</f>
        <v>42953.959555000001</v>
      </c>
      <c r="H21" s="585">
        <f>'Activos Reconocidos'!G184/1000</f>
        <v>45802.959555000001</v>
      </c>
      <c r="I21" s="586">
        <f>'Activos Reconocidos'!H184/1000</f>
        <v>45802.959555000001</v>
      </c>
    </row>
    <row r="22" spans="2:21" hidden="1" x14ac:dyDescent="0.2">
      <c r="B22" s="587" t="s">
        <v>807</v>
      </c>
      <c r="C22" s="588" t="s">
        <v>804</v>
      </c>
      <c r="D22" s="589">
        <f>+'Activos Reconocidos'!C257/1000</f>
        <v>0</v>
      </c>
      <c r="E22" s="589">
        <f>+'Activos Reconocidos'!D257/1000</f>
        <v>0</v>
      </c>
      <c r="F22" s="589">
        <f>+'Activos Reconocidos'!E257/1000</f>
        <v>0</v>
      </c>
      <c r="G22" s="589">
        <f>+'Activos Reconocidos'!F257/1000</f>
        <v>0</v>
      </c>
      <c r="H22" s="589">
        <f>+'Activos Reconocidos'!G257/1000</f>
        <v>0</v>
      </c>
      <c r="I22" s="590">
        <f>+'Activos Reconocidos'!H257/1000</f>
        <v>0</v>
      </c>
    </row>
    <row r="23" spans="2:21" hidden="1" x14ac:dyDescent="0.2">
      <c r="B23" s="584" t="s">
        <v>808</v>
      </c>
      <c r="C23" s="563" t="s">
        <v>804</v>
      </c>
      <c r="D23" s="585">
        <f>'Activos Reconocidos'!C62/1000</f>
        <v>204259.9661240339</v>
      </c>
      <c r="E23" s="585">
        <f>'Activos Reconocidos'!D62/1000</f>
        <v>188786.04443471515</v>
      </c>
      <c r="F23" s="585">
        <f>'Activos Reconocidos'!E62/1000</f>
        <v>173312.12274539642</v>
      </c>
      <c r="G23" s="585">
        <f>'Activos Reconocidos'!F62/1000</f>
        <v>157838.20105607776</v>
      </c>
      <c r="H23" s="585">
        <f>'Activos Reconocidos'!G62/1000</f>
        <v>142364.27936675903</v>
      </c>
      <c r="I23" s="586">
        <f>'Activos Reconocidos'!H62/1000</f>
        <v>126890.35767744032</v>
      </c>
    </row>
    <row r="24" spans="2:21" hidden="1" x14ac:dyDescent="0.2">
      <c r="B24" s="584" t="s">
        <v>809</v>
      </c>
      <c r="C24" s="563" t="s">
        <v>804</v>
      </c>
      <c r="D24" s="585">
        <f>'Activos Reconocidos'!C66/1000</f>
        <v>0</v>
      </c>
      <c r="E24" s="585">
        <f>'Activos Reconocidos'!D66/1000</f>
        <v>339449.17887037195</v>
      </c>
      <c r="F24" s="585">
        <f>'Activos Reconocidos'!E66/1000</f>
        <v>327413.30672753748</v>
      </c>
      <c r="G24" s="585">
        <f>'Activos Reconocidos'!F66/1000</f>
        <v>315377.43458470295</v>
      </c>
      <c r="H24" s="585">
        <f>'Activos Reconocidos'!G66/1000</f>
        <v>303341.56244186847</v>
      </c>
      <c r="I24" s="586">
        <f>'Activos Reconocidos'!H66/1000</f>
        <v>291305.690299034</v>
      </c>
    </row>
    <row r="25" spans="2:21" hidden="1" x14ac:dyDescent="0.2">
      <c r="B25" s="584" t="s">
        <v>810</v>
      </c>
      <c r="C25" s="563" t="s">
        <v>804</v>
      </c>
      <c r="D25" s="585">
        <f>'Activos Reconocidos'!C185/1000</f>
        <v>14766.818485</v>
      </c>
      <c r="E25" s="585">
        <f>'Activos Reconocidos'!D185/1000</f>
        <v>17984.387026563571</v>
      </c>
      <c r="F25" s="585">
        <f>'Activos Reconocidos'!E185/1000</f>
        <v>23281.688650318916</v>
      </c>
      <c r="G25" s="585">
        <f>'Activos Reconocidos'!F185/1000</f>
        <v>24208.367671334541</v>
      </c>
      <c r="H25" s="585">
        <f>'Activos Reconocidos'!G185/1000</f>
        <v>25857.001815637836</v>
      </c>
      <c r="I25" s="586">
        <f>'Activos Reconocidos'!H185/1000</f>
        <v>24582.054603776745</v>
      </c>
    </row>
    <row r="26" spans="2:21" ht="13.5" hidden="1" thickBot="1" x14ac:dyDescent="0.25">
      <c r="B26" s="591" t="s">
        <v>811</v>
      </c>
      <c r="C26" s="592" t="s">
        <v>804</v>
      </c>
      <c r="D26" s="731">
        <f>+'Activos Reconocidos'!C260/1000</f>
        <v>0</v>
      </c>
      <c r="E26" s="731">
        <f>+'Activos Reconocidos'!D260/1000</f>
        <v>0</v>
      </c>
      <c r="F26" s="731">
        <f>+'Activos Reconocidos'!E260/1000</f>
        <v>0</v>
      </c>
      <c r="G26" s="731">
        <f>+'Activos Reconocidos'!F260/1000</f>
        <v>0</v>
      </c>
      <c r="H26" s="731">
        <f>+'Activos Reconocidos'!G260/1000</f>
        <v>0</v>
      </c>
      <c r="I26" s="732">
        <f>+'Activos Reconocidos'!H260/1000</f>
        <v>0</v>
      </c>
    </row>
    <row r="27" spans="2:21" ht="13.5" hidden="1" thickBot="1" x14ac:dyDescent="0.25">
      <c r="B27" s="594"/>
      <c r="C27" s="595"/>
      <c r="D27" s="596"/>
      <c r="E27" s="596"/>
      <c r="F27" s="596"/>
      <c r="G27" s="596"/>
      <c r="H27" s="596"/>
      <c r="I27" s="596"/>
    </row>
    <row r="28" spans="2:21" ht="13.5" hidden="1" thickBot="1" x14ac:dyDescent="0.25">
      <c r="B28" s="597" t="s">
        <v>778</v>
      </c>
      <c r="C28" s="560" t="s">
        <v>798</v>
      </c>
      <c r="D28" s="560">
        <f>D$8</f>
        <v>2016</v>
      </c>
      <c r="E28" s="560">
        <f t="shared" ref="E28:I28" si="3">E$8</f>
        <v>2017</v>
      </c>
      <c r="F28" s="560">
        <f t="shared" si="3"/>
        <v>2018</v>
      </c>
      <c r="G28" s="560">
        <f t="shared" si="3"/>
        <v>2019</v>
      </c>
      <c r="H28" s="560">
        <f t="shared" si="3"/>
        <v>2020</v>
      </c>
      <c r="I28" s="561">
        <f t="shared" si="3"/>
        <v>2021</v>
      </c>
      <c r="K28" s="1019" t="s">
        <v>1045</v>
      </c>
      <c r="L28" s="1020"/>
      <c r="M28" s="1020"/>
      <c r="N28" s="1020"/>
      <c r="O28" s="1020"/>
      <c r="P28" s="1020"/>
      <c r="Q28" s="1020"/>
      <c r="R28" s="1020"/>
      <c r="S28" s="1020"/>
      <c r="T28" s="1020"/>
      <c r="U28" s="1021"/>
    </row>
    <row r="29" spans="2:21" hidden="1" x14ac:dyDescent="0.2">
      <c r="B29" s="584" t="s">
        <v>812</v>
      </c>
      <c r="C29" s="563" t="s">
        <v>804</v>
      </c>
      <c r="D29" s="589"/>
      <c r="E29" s="589">
        <f>'Activos Reconocidos'!D153/1000</f>
        <v>4792.2</v>
      </c>
      <c r="F29" s="596">
        <f>'Activos Reconocidos'!E153/1000</f>
        <v>10449.6</v>
      </c>
      <c r="G29" s="589">
        <f>'Activos Reconocidos'!F153/1000</f>
        <v>15687</v>
      </c>
      <c r="H29" s="589">
        <f>'Activos Reconocidos'!G153/1000</f>
        <v>19913.599999999999</v>
      </c>
      <c r="I29" s="598">
        <f>'Activos Reconocidos'!H153/1000</f>
        <v>23068.5</v>
      </c>
      <c r="K29" s="1022" t="s">
        <v>1037</v>
      </c>
      <c r="L29" s="1023"/>
      <c r="M29" s="1023"/>
      <c r="N29" s="1023"/>
      <c r="O29" s="1023"/>
      <c r="P29" s="1023"/>
      <c r="Q29" s="1023"/>
      <c r="R29" s="1023"/>
      <c r="S29" s="1023"/>
      <c r="T29" s="1023"/>
      <c r="U29" s="1024"/>
    </row>
    <row r="30" spans="2:21" hidden="1" x14ac:dyDescent="0.2">
      <c r="B30" s="584" t="s">
        <v>813</v>
      </c>
      <c r="C30" s="563" t="s">
        <v>804</v>
      </c>
      <c r="D30" s="589"/>
      <c r="E30" s="589">
        <f>'Activos Reconocidos'!D158/1000</f>
        <v>12787.8</v>
      </c>
      <c r="F30" s="596">
        <f>'Activos Reconocidos'!E158/1000</f>
        <v>148410.4</v>
      </c>
      <c r="G30" s="589">
        <f>'Activos Reconocidos'!F158/1000</f>
        <v>425575</v>
      </c>
      <c r="H30" s="589">
        <f>'Activos Reconocidos'!G158/1000</f>
        <v>659800.4</v>
      </c>
      <c r="I30" s="598">
        <f>'Activos Reconocidos'!H158/1000</f>
        <v>815293.5</v>
      </c>
      <c r="K30" s="1025" t="s">
        <v>1036</v>
      </c>
      <c r="L30" s="1026"/>
      <c r="M30" s="1026"/>
      <c r="N30" s="1026"/>
      <c r="O30" s="1026"/>
      <c r="P30" s="1026"/>
      <c r="Q30" s="1026"/>
      <c r="R30" s="1026"/>
      <c r="S30" s="1026"/>
      <c r="T30" s="1026"/>
      <c r="U30" s="1027"/>
    </row>
    <row r="31" spans="2:21" hidden="1" x14ac:dyDescent="0.2">
      <c r="B31" s="584" t="s">
        <v>814</v>
      </c>
      <c r="C31" s="563" t="s">
        <v>804</v>
      </c>
      <c r="D31" s="589"/>
      <c r="E31" s="589">
        <f>'Activos Reconocidos'!D151/1000</f>
        <v>4680.1369087709645</v>
      </c>
      <c r="F31" s="596">
        <f>'Activos Reconocidos'!E151/1000</f>
        <v>10038.290432029651</v>
      </c>
      <c r="G31" s="589">
        <f>'Activos Reconocidos'!F151/1000</f>
        <v>14789.172376890943</v>
      </c>
      <c r="H31" s="589">
        <f>'Activos Reconocidos'!G151/1000</f>
        <v>18432.152886232347</v>
      </c>
      <c r="I31" s="598">
        <f>'Activos Reconocidos'!H151/1000</f>
        <v>20865.597403550317</v>
      </c>
      <c r="K31" s="950"/>
      <c r="L31" s="951"/>
      <c r="M31" s="951"/>
      <c r="N31" s="951"/>
      <c r="O31" s="951"/>
      <c r="P31" s="951"/>
      <c r="Q31" s="951"/>
      <c r="R31" s="951"/>
      <c r="S31" s="951"/>
      <c r="T31" s="951"/>
      <c r="U31" s="952"/>
    </row>
    <row r="32" spans="2:21" ht="13.5" hidden="1" thickBot="1" x14ac:dyDescent="0.25">
      <c r="B32" s="599" t="s">
        <v>815</v>
      </c>
      <c r="C32" s="569" t="s">
        <v>804</v>
      </c>
      <c r="D32" s="593"/>
      <c r="E32" s="593">
        <f>'Activos Reconocidos'!D156/1000</f>
        <v>12487.597481449786</v>
      </c>
      <c r="F32" s="600">
        <f>'Activos Reconocidos'!E156/1000</f>
        <v>144477.01830648628</v>
      </c>
      <c r="G32" s="593">
        <f>'Activos Reconocidos'!F156/1000</f>
        <v>409936.75358226831</v>
      </c>
      <c r="H32" s="593">
        <f>'Activos Reconocidos'!G156/1000</f>
        <v>627201.87373793521</v>
      </c>
      <c r="I32" s="601">
        <f>'Activos Reconocidos'!H156/1000</f>
        <v>758231.6492981948</v>
      </c>
      <c r="K32" s="953"/>
      <c r="L32" s="954"/>
      <c r="M32" s="954"/>
      <c r="N32" s="954"/>
      <c r="O32" s="954"/>
      <c r="P32" s="954"/>
      <c r="Q32" s="954"/>
      <c r="R32" s="954"/>
      <c r="S32" s="954"/>
      <c r="T32" s="954"/>
      <c r="U32" s="955"/>
    </row>
    <row r="33" spans="1:12" ht="13.5" hidden="1" thickBot="1" x14ac:dyDescent="0.25">
      <c r="B33" s="581"/>
      <c r="C33" s="602"/>
      <c r="D33" s="596"/>
      <c r="E33" s="596"/>
      <c r="F33" s="596"/>
      <c r="G33" s="596"/>
      <c r="H33" s="596"/>
      <c r="I33" s="596"/>
    </row>
    <row r="34" spans="1:12" hidden="1" x14ac:dyDescent="0.2">
      <c r="B34" s="597" t="s">
        <v>1002</v>
      </c>
      <c r="C34" s="560" t="s">
        <v>798</v>
      </c>
      <c r="D34" s="560">
        <f>D$8</f>
        <v>2016</v>
      </c>
      <c r="E34" s="560">
        <f t="shared" ref="E34:I34" si="4">E$8</f>
        <v>2017</v>
      </c>
      <c r="F34" s="560">
        <f t="shared" si="4"/>
        <v>2018</v>
      </c>
      <c r="G34" s="560">
        <f t="shared" si="4"/>
        <v>2019</v>
      </c>
      <c r="H34" s="560">
        <f t="shared" si="4"/>
        <v>2020</v>
      </c>
      <c r="I34" s="561">
        <f t="shared" si="4"/>
        <v>2021</v>
      </c>
    </row>
    <row r="35" spans="1:12" hidden="1" x14ac:dyDescent="0.2">
      <c r="B35" s="584" t="s">
        <v>1029</v>
      </c>
      <c r="C35" s="563" t="s">
        <v>804</v>
      </c>
      <c r="D35" s="765"/>
      <c r="E35" s="589">
        <f>'Activos Reconocidos'!D69/1000</f>
        <v>173114.76168767121</v>
      </c>
      <c r="F35" s="596">
        <f>'Activos Reconocidos'!E69/1000</f>
        <v>0</v>
      </c>
      <c r="G35" s="589">
        <f>'Activos Reconocidos'!F69/1000</f>
        <v>0</v>
      </c>
      <c r="H35" s="589">
        <f>'Activos Reconocidos'!G69/1000</f>
        <v>0</v>
      </c>
      <c r="I35" s="598">
        <f>'Activos Reconocidos'!H69/1000</f>
        <v>0</v>
      </c>
      <c r="L35" s="603"/>
    </row>
    <row r="36" spans="1:12" hidden="1" x14ac:dyDescent="0.2">
      <c r="B36" s="584" t="s">
        <v>816</v>
      </c>
      <c r="C36" s="563" t="s">
        <v>804</v>
      </c>
      <c r="D36" s="589"/>
      <c r="E36" s="589">
        <f>'Activos Reconocidos'!D154/1000</f>
        <v>3216.6821917808215</v>
      </c>
      <c r="F36" s="596">
        <f>'Activos Reconocidos'!E154/1000</f>
        <v>3797.4328767123279</v>
      </c>
      <c r="G36" s="589">
        <f>'Activos Reconocidos'!F154/1000</f>
        <v>3515.5150684931496</v>
      </c>
      <c r="H36" s="589">
        <f>'Activos Reconocidos'!G154/1000</f>
        <v>1065.3347945205478</v>
      </c>
      <c r="I36" s="598">
        <f>'Activos Reconocidos'!H154/1000</f>
        <v>795.20767123287669</v>
      </c>
    </row>
    <row r="37" spans="1:12" hidden="1" x14ac:dyDescent="0.2">
      <c r="B37" s="584" t="s">
        <v>817</v>
      </c>
      <c r="C37" s="563" t="s">
        <v>804</v>
      </c>
      <c r="D37" s="589"/>
      <c r="E37" s="589">
        <f>'Activos Reconocidos'!D159/1000</f>
        <v>8583.5917808219183</v>
      </c>
      <c r="F37" s="596">
        <f>'Activos Reconocidos'!E159/1000</f>
        <v>91034.347945205474</v>
      </c>
      <c r="G37" s="589">
        <f>'Activos Reconocidos'!F159/1000</f>
        <v>186041.99178082196</v>
      </c>
      <c r="H37" s="589">
        <f>'Activos Reconocidos'!G159/1000</f>
        <v>59037.63506849316</v>
      </c>
      <c r="I37" s="598">
        <f>'Activos Reconocidos'!H159/1000</f>
        <v>39192.78136986302</v>
      </c>
      <c r="L37" s="603"/>
    </row>
    <row r="38" spans="1:12" ht="13.5" hidden="1" thickBot="1" x14ac:dyDescent="0.25">
      <c r="B38" s="599" t="s">
        <v>818</v>
      </c>
      <c r="C38" s="569" t="s">
        <v>804</v>
      </c>
      <c r="D38" s="593"/>
      <c r="E38" s="593">
        <f>'Activos Reconocidos'!D176/1000</f>
        <v>2719.8356164383567</v>
      </c>
      <c r="F38" s="600">
        <f>'Activos Reconocidos'!E176/1000</f>
        <v>4246.8904109589048</v>
      </c>
      <c r="G38" s="593">
        <f>'Activos Reconocidos'!F176/1000</f>
        <v>1394.8219178082195</v>
      </c>
      <c r="H38" s="593">
        <f>'Activos Reconocidos'!G176/1000</f>
        <v>718.10410958904117</v>
      </c>
      <c r="I38" s="601">
        <f>'Activos Reconocidos'!H176/1000</f>
        <v>0</v>
      </c>
      <c r="L38" s="603"/>
    </row>
    <row r="39" spans="1:12" hidden="1" x14ac:dyDescent="0.2">
      <c r="B39" s="594"/>
      <c r="C39" s="604"/>
      <c r="D39" s="605"/>
      <c r="E39" s="605"/>
      <c r="F39" s="605"/>
      <c r="G39" s="605"/>
      <c r="H39" s="605"/>
      <c r="I39" s="605"/>
    </row>
    <row r="40" spans="1:12" s="89" customFormat="1" hidden="1" x14ac:dyDescent="0.2">
      <c r="B40" s="107" t="s">
        <v>779</v>
      </c>
    </row>
    <row r="41" spans="1:12" hidden="1" x14ac:dyDescent="0.2">
      <c r="B41" s="555" t="s">
        <v>1028</v>
      </c>
      <c r="C41" s="555"/>
      <c r="D41" s="555"/>
      <c r="E41" s="555"/>
      <c r="F41" s="555"/>
      <c r="G41" s="555"/>
      <c r="H41" s="555"/>
      <c r="I41" s="555"/>
      <c r="J41" s="606"/>
    </row>
    <row r="42" spans="1:12" ht="13.5" hidden="1" thickBot="1" x14ac:dyDescent="0.25">
      <c r="B42" s="583"/>
      <c r="C42" s="555"/>
      <c r="D42" s="555"/>
      <c r="E42" s="555"/>
      <c r="F42" s="555"/>
      <c r="G42" s="555"/>
      <c r="H42" s="555"/>
      <c r="I42" s="555"/>
      <c r="J42" s="606"/>
    </row>
    <row r="43" spans="1:12" hidden="1" x14ac:dyDescent="0.2">
      <c r="B43" s="597" t="s">
        <v>819</v>
      </c>
      <c r="C43" s="560" t="s">
        <v>798</v>
      </c>
      <c r="D43" s="560">
        <f>D$8</f>
        <v>2016</v>
      </c>
      <c r="E43" s="560">
        <f t="shared" ref="E43:I43" si="5">E$8</f>
        <v>2017</v>
      </c>
      <c r="F43" s="560">
        <f t="shared" si="5"/>
        <v>2018</v>
      </c>
      <c r="G43" s="560">
        <f t="shared" si="5"/>
        <v>2019</v>
      </c>
      <c r="H43" s="560">
        <f t="shared" si="5"/>
        <v>2020</v>
      </c>
      <c r="I43" s="561">
        <f t="shared" si="5"/>
        <v>2021</v>
      </c>
      <c r="J43" s="606"/>
    </row>
    <row r="44" spans="1:12" hidden="1" x14ac:dyDescent="0.2">
      <c r="B44" s="584" t="s">
        <v>820</v>
      </c>
      <c r="C44" s="563" t="s">
        <v>804</v>
      </c>
      <c r="D44" s="585">
        <f>('Activos Reconocidos'!C193+'Activos Reconocidos'!C195)/1000</f>
        <v>798705.00513052323</v>
      </c>
      <c r="E44" s="585">
        <f>('Activos Reconocidos'!D193+'Activos Reconocidos'!D195)/1000</f>
        <v>798705.00513052323</v>
      </c>
      <c r="F44" s="607">
        <f>('Activos Reconocidos'!E193+'Activos Reconocidos'!E195)/1000</f>
        <v>798705.00513052323</v>
      </c>
      <c r="G44" s="585">
        <f>('Activos Reconocidos'!F193+'Activos Reconocidos'!F195)/1000</f>
        <v>798705.00513052323</v>
      </c>
      <c r="H44" s="585">
        <f>('Activos Reconocidos'!G193+'Activos Reconocidos'!G195)/1000</f>
        <v>798705.00513052323</v>
      </c>
      <c r="I44" s="608">
        <f>('Activos Reconocidos'!H193+'Activos Reconocidos'!H195)/1000</f>
        <v>798705.00513052323</v>
      </c>
      <c r="J44" s="609"/>
    </row>
    <row r="45" spans="1:12" hidden="1" x14ac:dyDescent="0.2">
      <c r="B45" s="584" t="s">
        <v>821</v>
      </c>
      <c r="C45" s="563" t="s">
        <v>804</v>
      </c>
      <c r="D45" s="585">
        <f>('Activos Reconocidos'!C194+'Activos Reconocidos'!C196)/1000</f>
        <v>0</v>
      </c>
      <c r="E45" s="585">
        <f>('Activos Reconocidos'!D194+'Activos Reconocidos'!D196)/1000</f>
        <v>345480.16800000001</v>
      </c>
      <c r="F45" s="607">
        <f>('Activos Reconocidos'!E194+'Activos Reconocidos'!E196)/1000</f>
        <v>345480.16800000001</v>
      </c>
      <c r="G45" s="585">
        <f>('Activos Reconocidos'!F194+'Activos Reconocidos'!F196)/1000</f>
        <v>345480.16800000001</v>
      </c>
      <c r="H45" s="585">
        <f>('Activos Reconocidos'!G194+'Activos Reconocidos'!G196)/1000</f>
        <v>345480.16800000001</v>
      </c>
      <c r="I45" s="608">
        <f>('Activos Reconocidos'!H194+'Activos Reconocidos'!H196)/1000</f>
        <v>345480.16800000001</v>
      </c>
      <c r="J45" s="609"/>
    </row>
    <row r="46" spans="1:12" s="555" customFormat="1" ht="13.5" hidden="1" thickBot="1" x14ac:dyDescent="0.25">
      <c r="B46" s="591" t="s">
        <v>822</v>
      </c>
      <c r="C46" s="592" t="s">
        <v>804</v>
      </c>
      <c r="D46" s="593">
        <f>'Activos Reconocidos'!C197/1000</f>
        <v>65601.620907903925</v>
      </c>
      <c r="E46" s="593">
        <f>'Activos Reconocidos'!D197/1000</f>
        <v>69653.620907903925</v>
      </c>
      <c r="F46" s="600">
        <f>'Activos Reconocidos'!E197/1000</f>
        <v>75980.620907903925</v>
      </c>
      <c r="G46" s="593">
        <f>'Activos Reconocidos'!F197/1000</f>
        <v>78058.620907903925</v>
      </c>
      <c r="H46" s="593">
        <f>'Activos Reconocidos'!G197/1000</f>
        <v>80907.620907903925</v>
      </c>
      <c r="I46" s="601">
        <f>'Activos Reconocidos'!H197/1000</f>
        <v>80907.620907903925</v>
      </c>
      <c r="J46" s="610"/>
    </row>
    <row r="47" spans="1:12" ht="13.5" hidden="1" thickBot="1" x14ac:dyDescent="0.25">
      <c r="A47" s="558"/>
      <c r="B47" s="581"/>
      <c r="C47" s="602"/>
      <c r="D47" s="607"/>
      <c r="E47" s="607"/>
      <c r="F47" s="607"/>
      <c r="G47" s="607"/>
      <c r="H47" s="607"/>
      <c r="I47" s="607"/>
      <c r="J47" s="609"/>
    </row>
    <row r="48" spans="1:12" hidden="1" x14ac:dyDescent="0.2">
      <c r="B48" s="597" t="s">
        <v>823</v>
      </c>
      <c r="C48" s="560"/>
      <c r="D48" s="560">
        <f>D$8</f>
        <v>2016</v>
      </c>
      <c r="E48" s="560">
        <f t="shared" ref="E48:I48" si="6">E$8</f>
        <v>2017</v>
      </c>
      <c r="F48" s="560">
        <f t="shared" si="6"/>
        <v>2018</v>
      </c>
      <c r="G48" s="560">
        <f t="shared" si="6"/>
        <v>2019</v>
      </c>
      <c r="H48" s="560">
        <f t="shared" si="6"/>
        <v>2020</v>
      </c>
      <c r="I48" s="561">
        <f t="shared" si="6"/>
        <v>2021</v>
      </c>
      <c r="J48" s="609"/>
    </row>
    <row r="49" spans="2:12" hidden="1" x14ac:dyDescent="0.2">
      <c r="B49" s="584" t="s">
        <v>824</v>
      </c>
      <c r="C49" s="563" t="s">
        <v>804</v>
      </c>
      <c r="D49" s="585"/>
      <c r="E49" s="585">
        <f>('Activos Reconocidos'!D206+'Activos Reconocidos'!D208)/1000</f>
        <v>4792.2</v>
      </c>
      <c r="F49" s="607">
        <f>('Activos Reconocidos'!E206+'Activos Reconocidos'!E208)/1000</f>
        <v>10449.6</v>
      </c>
      <c r="G49" s="585">
        <f>('Activos Reconocidos'!F206+'Activos Reconocidos'!F208)/1000</f>
        <v>19468.400000000001</v>
      </c>
      <c r="H49" s="585">
        <f>('Activos Reconocidos'!G206+'Activos Reconocidos'!G208)/1000</f>
        <v>25316.2</v>
      </c>
      <c r="I49" s="608">
        <f>('Activos Reconocidos'!H206+'Activos Reconocidos'!H208)/1000</f>
        <v>28471.1</v>
      </c>
      <c r="J49" s="609"/>
    </row>
    <row r="50" spans="2:12" hidden="1" x14ac:dyDescent="0.2">
      <c r="B50" s="584" t="s">
        <v>825</v>
      </c>
      <c r="C50" s="563" t="s">
        <v>804</v>
      </c>
      <c r="D50" s="585"/>
      <c r="E50" s="585">
        <f>('Activos Reconocidos'!D207+'Activos Reconocidos'!D209)/1000</f>
        <v>12787.8</v>
      </c>
      <c r="F50" s="607">
        <f>('Activos Reconocidos'!E207+'Activos Reconocidos'!E209)/1000</f>
        <v>148410.4</v>
      </c>
      <c r="G50" s="585">
        <f>('Activos Reconocidos'!F207+'Activos Reconocidos'!F209)/1000</f>
        <v>427195.6</v>
      </c>
      <c r="H50" s="585">
        <f>('Activos Reconocidos'!G207+'Activos Reconocidos'!G209)/1000</f>
        <v>662115.80000000005</v>
      </c>
      <c r="I50" s="608">
        <f>('Activos Reconocidos'!H207+'Activos Reconocidos'!H209)/1000</f>
        <v>817608.9</v>
      </c>
      <c r="J50" s="609"/>
    </row>
    <row r="51" spans="2:12" ht="13.5" hidden="1" thickBot="1" x14ac:dyDescent="0.25">
      <c r="B51" s="599" t="s">
        <v>826</v>
      </c>
      <c r="C51" s="569" t="s">
        <v>804</v>
      </c>
      <c r="D51" s="612"/>
      <c r="E51" s="612"/>
      <c r="F51" s="611"/>
      <c r="G51" s="612"/>
      <c r="H51" s="612"/>
      <c r="I51" s="613"/>
      <c r="J51" s="609"/>
    </row>
    <row r="52" spans="2:12" ht="13.5" hidden="1" thickBot="1" x14ac:dyDescent="0.25">
      <c r="B52" s="594"/>
      <c r="C52" s="602"/>
      <c r="D52" s="596"/>
      <c r="E52" s="596"/>
      <c r="F52" s="596"/>
      <c r="G52" s="596"/>
      <c r="H52" s="596"/>
      <c r="I52" s="596"/>
    </row>
    <row r="53" spans="2:12" hidden="1" x14ac:dyDescent="0.2">
      <c r="B53" s="597" t="s">
        <v>827</v>
      </c>
      <c r="C53" s="560"/>
      <c r="D53" s="560">
        <f>D$8</f>
        <v>2016</v>
      </c>
      <c r="E53" s="560">
        <f t="shared" ref="E53:I53" si="7">E$8</f>
        <v>2017</v>
      </c>
      <c r="F53" s="560">
        <f t="shared" si="7"/>
        <v>2018</v>
      </c>
      <c r="G53" s="560">
        <f t="shared" si="7"/>
        <v>2019</v>
      </c>
      <c r="H53" s="560">
        <f t="shared" si="7"/>
        <v>2020</v>
      </c>
      <c r="I53" s="561">
        <f t="shared" si="7"/>
        <v>2021</v>
      </c>
      <c r="J53" s="609"/>
    </row>
    <row r="54" spans="2:12" hidden="1" x14ac:dyDescent="0.2">
      <c r="B54" s="584" t="s">
        <v>828</v>
      </c>
      <c r="C54" s="563" t="s">
        <v>804</v>
      </c>
      <c r="D54" s="765"/>
      <c r="E54" s="589">
        <f t="shared" ref="E54:I57" si="8">E35</f>
        <v>173114.76168767121</v>
      </c>
      <c r="F54" s="596">
        <f t="shared" si="8"/>
        <v>0</v>
      </c>
      <c r="G54" s="589">
        <f t="shared" si="8"/>
        <v>0</v>
      </c>
      <c r="H54" s="589">
        <f t="shared" si="8"/>
        <v>0</v>
      </c>
      <c r="I54" s="598">
        <f t="shared" si="8"/>
        <v>0</v>
      </c>
      <c r="J54" s="609"/>
      <c r="L54" s="603"/>
    </row>
    <row r="55" spans="2:12" hidden="1" x14ac:dyDescent="0.2">
      <c r="B55" s="584" t="s">
        <v>829</v>
      </c>
      <c r="C55" s="563" t="s">
        <v>804</v>
      </c>
      <c r="D55" s="585"/>
      <c r="E55" s="585">
        <f t="shared" si="8"/>
        <v>3216.6821917808215</v>
      </c>
      <c r="F55" s="607">
        <f t="shared" si="8"/>
        <v>3797.4328767123279</v>
      </c>
      <c r="G55" s="585">
        <f t="shared" si="8"/>
        <v>3515.5150684931496</v>
      </c>
      <c r="H55" s="585">
        <f t="shared" si="8"/>
        <v>1065.3347945205478</v>
      </c>
      <c r="I55" s="608">
        <f t="shared" si="8"/>
        <v>795.20767123287669</v>
      </c>
      <c r="J55" s="609"/>
      <c r="K55" s="609"/>
    </row>
    <row r="56" spans="2:12" hidden="1" x14ac:dyDescent="0.2">
      <c r="B56" s="584" t="s">
        <v>830</v>
      </c>
      <c r="C56" s="563" t="s">
        <v>804</v>
      </c>
      <c r="D56" s="585"/>
      <c r="E56" s="585">
        <f t="shared" si="8"/>
        <v>8583.5917808219183</v>
      </c>
      <c r="F56" s="607">
        <f t="shared" si="8"/>
        <v>91034.347945205474</v>
      </c>
      <c r="G56" s="585">
        <f t="shared" si="8"/>
        <v>186041.99178082196</v>
      </c>
      <c r="H56" s="585">
        <f t="shared" si="8"/>
        <v>59037.63506849316</v>
      </c>
      <c r="I56" s="608">
        <f t="shared" si="8"/>
        <v>39192.78136986302</v>
      </c>
      <c r="J56" s="609"/>
      <c r="K56" s="609"/>
      <c r="L56" s="603"/>
    </row>
    <row r="57" spans="2:12" s="555" customFormat="1" ht="13.5" hidden="1" thickBot="1" x14ac:dyDescent="0.25">
      <c r="B57" s="591" t="s">
        <v>831</v>
      </c>
      <c r="C57" s="592" t="s">
        <v>804</v>
      </c>
      <c r="D57" s="593"/>
      <c r="E57" s="593">
        <f t="shared" si="8"/>
        <v>2719.8356164383567</v>
      </c>
      <c r="F57" s="600">
        <f t="shared" si="8"/>
        <v>4246.8904109589048</v>
      </c>
      <c r="G57" s="593">
        <f t="shared" si="8"/>
        <v>1394.8219178082195</v>
      </c>
      <c r="H57" s="593">
        <f t="shared" si="8"/>
        <v>718.10410958904117</v>
      </c>
      <c r="I57" s="601">
        <f t="shared" si="8"/>
        <v>0</v>
      </c>
      <c r="J57" s="610"/>
      <c r="K57" s="610"/>
      <c r="L57" s="614"/>
    </row>
    <row r="58" spans="2:12" hidden="1" x14ac:dyDescent="0.2">
      <c r="B58" s="615"/>
      <c r="C58" s="615"/>
      <c r="D58" s="615"/>
      <c r="E58" s="615"/>
      <c r="F58" s="615"/>
      <c r="G58" s="615"/>
      <c r="H58" s="615"/>
      <c r="I58" s="615"/>
    </row>
    <row r="59" spans="2:12" s="89" customFormat="1" hidden="1" x14ac:dyDescent="0.2">
      <c r="B59" s="107" t="s">
        <v>1052</v>
      </c>
    </row>
    <row r="60" spans="2:12" hidden="1" x14ac:dyDescent="0.2">
      <c r="B60" s="555" t="s">
        <v>1028</v>
      </c>
      <c r="C60" s="555"/>
      <c r="D60" s="555"/>
      <c r="E60" s="555"/>
      <c r="F60" s="555"/>
      <c r="G60" s="555"/>
      <c r="H60" s="555"/>
      <c r="I60" s="555"/>
    </row>
    <row r="61" spans="2:12" ht="13.5" hidden="1" thickBot="1" x14ac:dyDescent="0.25">
      <c r="B61" s="616"/>
      <c r="C61" s="555"/>
      <c r="D61" s="555"/>
      <c r="E61" s="555"/>
      <c r="F61" s="555"/>
      <c r="G61" s="555"/>
      <c r="H61" s="555"/>
      <c r="I61" s="555"/>
    </row>
    <row r="62" spans="2:12" hidden="1" x14ac:dyDescent="0.2">
      <c r="B62" s="559" t="s">
        <v>832</v>
      </c>
      <c r="C62" s="560"/>
      <c r="D62" s="560"/>
      <c r="E62" s="560">
        <f>E8</f>
        <v>2017</v>
      </c>
      <c r="F62" s="560">
        <f>F8</f>
        <v>2018</v>
      </c>
      <c r="G62" s="560">
        <f>G8</f>
        <v>2019</v>
      </c>
      <c r="H62" s="560">
        <f>H8</f>
        <v>2020</v>
      </c>
      <c r="I62" s="561">
        <f>I8</f>
        <v>2021</v>
      </c>
    </row>
    <row r="63" spans="2:12" hidden="1" x14ac:dyDescent="0.2">
      <c r="B63" s="617" t="s">
        <v>833</v>
      </c>
      <c r="C63" s="563" t="s">
        <v>804</v>
      </c>
      <c r="D63" s="618"/>
      <c r="E63" s="585">
        <f>D44*E$9</f>
        <v>15768.353693288846</v>
      </c>
      <c r="F63" s="585">
        <f>E44*F$9</f>
        <v>15768.353693288846</v>
      </c>
      <c r="G63" s="585">
        <f>F44*G$9</f>
        <v>15768.353693288846</v>
      </c>
      <c r="H63" s="585">
        <f>G44*H$9</f>
        <v>15768.353693288846</v>
      </c>
      <c r="I63" s="586">
        <f>H44*I$9</f>
        <v>15768.353693288846</v>
      </c>
      <c r="K63" s="609"/>
    </row>
    <row r="64" spans="2:12" hidden="1" x14ac:dyDescent="0.2">
      <c r="B64" s="617" t="s">
        <v>834</v>
      </c>
      <c r="C64" s="563" t="s">
        <v>804</v>
      </c>
      <c r="D64" s="618"/>
      <c r="E64" s="585">
        <f>D44*E$10</f>
        <v>6315.6858739024701</v>
      </c>
      <c r="F64" s="585">
        <f>E44*F$10</f>
        <v>6315.6858739024701</v>
      </c>
      <c r="G64" s="585">
        <f>F44*G$10</f>
        <v>6315.6858739024701</v>
      </c>
      <c r="H64" s="585">
        <f>G44*H$10</f>
        <v>6315.6858739024701</v>
      </c>
      <c r="I64" s="586">
        <f>H44*I$10</f>
        <v>6315.6858739024701</v>
      </c>
      <c r="K64" s="609"/>
    </row>
    <row r="65" spans="1:12" hidden="1" x14ac:dyDescent="0.2">
      <c r="B65" s="617" t="s">
        <v>427</v>
      </c>
      <c r="C65" s="563" t="s">
        <v>804</v>
      </c>
      <c r="D65" s="618"/>
      <c r="E65" s="585">
        <f>-'Activos Reconocidos'!D63/1000</f>
        <v>15473.921689318706</v>
      </c>
      <c r="F65" s="585">
        <f>-'Activos Reconocidos'!E63/1000</f>
        <v>15473.921689318706</v>
      </c>
      <c r="G65" s="585">
        <f>-'Activos Reconocidos'!F63/1000</f>
        <v>15473.921689318706</v>
      </c>
      <c r="H65" s="585">
        <f>-'Activos Reconocidos'!G63/1000</f>
        <v>15473.921689318706</v>
      </c>
      <c r="I65" s="586">
        <f>-'Activos Reconocidos'!H63/1000</f>
        <v>15473.921689318706</v>
      </c>
      <c r="K65" s="609"/>
    </row>
    <row r="66" spans="1:12" hidden="1" x14ac:dyDescent="0.2">
      <c r="B66" s="617" t="s">
        <v>835</v>
      </c>
      <c r="C66" s="563" t="s">
        <v>804</v>
      </c>
      <c r="D66" s="618"/>
      <c r="E66" s="585">
        <f>D23*$D$13</f>
        <v>15850.573371225031</v>
      </c>
      <c r="F66" s="585">
        <f>E23*$D$13</f>
        <v>14649.797048133896</v>
      </c>
      <c r="G66" s="585">
        <f>F23*$D$13</f>
        <v>13449.020725042763</v>
      </c>
      <c r="H66" s="585">
        <f>G23*$D$13</f>
        <v>12248.244401951635</v>
      </c>
      <c r="I66" s="586">
        <f>H23*$D$13</f>
        <v>11047.468078860502</v>
      </c>
      <c r="K66" s="609"/>
    </row>
    <row r="67" spans="1:12" hidden="1" x14ac:dyDescent="0.2">
      <c r="B67" s="617" t="s">
        <v>836</v>
      </c>
      <c r="C67" s="563" t="s">
        <v>804</v>
      </c>
      <c r="D67" s="618"/>
      <c r="E67" s="585">
        <f>+GEN_OBL!F9</f>
        <v>0</v>
      </c>
      <c r="F67" s="585">
        <f>SUM(GEN_OBL!G9:H9)</f>
        <v>16000</v>
      </c>
      <c r="G67" s="585">
        <f>SUM(GEN_OBL!I9:J9)</f>
        <v>16000</v>
      </c>
      <c r="H67" s="585">
        <f>SUM(GEN_OBL!K9:L9)</f>
        <v>16000</v>
      </c>
      <c r="I67" s="586">
        <f>SUM(GEN_OBL!M9:N9)</f>
        <v>0</v>
      </c>
      <c r="K67" s="609"/>
    </row>
    <row r="68" spans="1:12" hidden="1" x14ac:dyDescent="0.2">
      <c r="B68" s="621" t="s">
        <v>837</v>
      </c>
      <c r="C68" s="588" t="s">
        <v>804</v>
      </c>
      <c r="D68" s="622"/>
      <c r="E68" s="622">
        <f>+'IMP Existente'!E68</f>
        <v>15</v>
      </c>
      <c r="F68" s="622">
        <f>+'IMP Existente'!F68</f>
        <v>130</v>
      </c>
      <c r="G68" s="622">
        <f>+'IMP Existente'!G68</f>
        <v>130</v>
      </c>
      <c r="H68" s="622">
        <f>+'IMP Existente'!H68</f>
        <v>130</v>
      </c>
      <c r="I68" s="978">
        <f>+'IMP Existente'!I68</f>
        <v>15</v>
      </c>
      <c r="K68" s="609"/>
    </row>
    <row r="69" spans="1:12" ht="13.5" hidden="1" thickBot="1" x14ac:dyDescent="0.25">
      <c r="B69" s="623" t="s">
        <v>413</v>
      </c>
      <c r="C69" s="624"/>
      <c r="D69" s="624"/>
      <c r="E69" s="625">
        <f>SUM(E63:E68)</f>
        <v>53423.534627735047</v>
      </c>
      <c r="F69" s="625">
        <f t="shared" ref="F69:I69" si="9">SUM(F63:F68)</f>
        <v>68337.75830464391</v>
      </c>
      <c r="G69" s="625">
        <f t="shared" si="9"/>
        <v>67136.981981552788</v>
      </c>
      <c r="H69" s="625">
        <f t="shared" si="9"/>
        <v>65936.205658461651</v>
      </c>
      <c r="I69" s="626">
        <f t="shared" si="9"/>
        <v>48620.429335370522</v>
      </c>
      <c r="K69" s="609"/>
      <c r="L69" s="603"/>
    </row>
    <row r="70" spans="1:12" ht="13.5" hidden="1" thickBot="1" x14ac:dyDescent="0.25">
      <c r="A70" s="627"/>
      <c r="B70" s="628"/>
      <c r="C70" s="627"/>
      <c r="D70" s="627"/>
      <c r="E70" s="629"/>
      <c r="F70" s="629"/>
      <c r="G70" s="629"/>
      <c r="H70" s="629"/>
      <c r="I70" s="629"/>
      <c r="K70" s="609"/>
    </row>
    <row r="71" spans="1:12" hidden="1" x14ac:dyDescent="0.2">
      <c r="B71" s="559" t="s">
        <v>838</v>
      </c>
      <c r="C71" s="560"/>
      <c r="D71" s="560"/>
      <c r="E71" s="560">
        <f>E8</f>
        <v>2017</v>
      </c>
      <c r="F71" s="560">
        <f>F8</f>
        <v>2018</v>
      </c>
      <c r="G71" s="560">
        <f>G8</f>
        <v>2019</v>
      </c>
      <c r="H71" s="560">
        <f>H8</f>
        <v>2020</v>
      </c>
      <c r="I71" s="561">
        <f>I8</f>
        <v>2021</v>
      </c>
      <c r="K71" s="609"/>
    </row>
    <row r="72" spans="1:12" hidden="1" x14ac:dyDescent="0.2">
      <c r="B72" s="617" t="s">
        <v>833</v>
      </c>
      <c r="C72" s="563" t="s">
        <v>804</v>
      </c>
      <c r="D72" s="618"/>
      <c r="E72" s="585">
        <f>(D45+E54)*E$9</f>
        <v>3417.7008711426806</v>
      </c>
      <c r="F72" s="585">
        <f>(E45+F54)*F$9</f>
        <v>6820.6076687232016</v>
      </c>
      <c r="G72" s="585">
        <f>(F45+G54)*G$9</f>
        <v>6820.6076687232016</v>
      </c>
      <c r="H72" s="585">
        <f>(G45+H54)*H$9</f>
        <v>6820.6076687232016</v>
      </c>
      <c r="I72" s="586">
        <f>(H45+I54)*I$9</f>
        <v>6820.6076687232016</v>
      </c>
      <c r="K72" s="609"/>
    </row>
    <row r="73" spans="1:12" hidden="1" x14ac:dyDescent="0.2">
      <c r="B73" s="617" t="s">
        <v>834</v>
      </c>
      <c r="C73" s="563" t="s">
        <v>804</v>
      </c>
      <c r="D73" s="618"/>
      <c r="E73" s="585">
        <f>(D45+E54)*E$10</f>
        <v>1368.8889489006592</v>
      </c>
      <c r="F73" s="585">
        <f>(E45+F54)*F$10</f>
        <v>2731.8524395555551</v>
      </c>
      <c r="G73" s="585">
        <f>(F45+G54)*G$10</f>
        <v>2731.8524395555551</v>
      </c>
      <c r="H73" s="585">
        <f>(G45+H54)*H$10</f>
        <v>2731.8524395555551</v>
      </c>
      <c r="I73" s="586">
        <f>(H45+I54)*I$10</f>
        <v>2731.8524395555551</v>
      </c>
      <c r="K73" s="609"/>
    </row>
    <row r="74" spans="1:12" hidden="1" x14ac:dyDescent="0.2">
      <c r="B74" s="617" t="s">
        <v>427</v>
      </c>
      <c r="C74" s="563" t="s">
        <v>804</v>
      </c>
      <c r="D74" s="618"/>
      <c r="E74" s="585">
        <f>-'Activos Reconocidos'!D67/1000</f>
        <v>6030.9891296280402</v>
      </c>
      <c r="F74" s="585">
        <f>-'Activos Reconocidos'!E67/1000</f>
        <v>12035.872142834463</v>
      </c>
      <c r="G74" s="585">
        <f>-'Activos Reconocidos'!F67/1000</f>
        <v>12035.872142834463</v>
      </c>
      <c r="H74" s="585">
        <f>-'Activos Reconocidos'!G67/1000</f>
        <v>12035.872142834463</v>
      </c>
      <c r="I74" s="586">
        <f>-'Activos Reconocidos'!H67/1000</f>
        <v>12035.872142834463</v>
      </c>
      <c r="K74" s="609"/>
    </row>
    <row r="75" spans="1:12" hidden="1" x14ac:dyDescent="0.2">
      <c r="B75" s="617" t="s">
        <v>835</v>
      </c>
      <c r="C75" s="563" t="s">
        <v>804</v>
      </c>
      <c r="D75" s="618"/>
      <c r="E75" s="585">
        <f>(D24+E35)*$D$13</f>
        <v>13433.705506963286</v>
      </c>
      <c r="F75" s="585">
        <f t="shared" ref="F75:I75" si="10">(E24+F35)*$D$13</f>
        <v>26341.256280340865</v>
      </c>
      <c r="G75" s="585">
        <f t="shared" si="10"/>
        <v>25407.27260205691</v>
      </c>
      <c r="H75" s="585">
        <f t="shared" si="10"/>
        <v>24473.288923772951</v>
      </c>
      <c r="I75" s="586">
        <f t="shared" si="10"/>
        <v>23539.305245488995</v>
      </c>
      <c r="K75" s="609"/>
    </row>
    <row r="76" spans="1:12" hidden="1" x14ac:dyDescent="0.2">
      <c r="B76" s="617" t="s">
        <v>836</v>
      </c>
      <c r="C76" s="563" t="s">
        <v>804</v>
      </c>
      <c r="D76" s="618"/>
      <c r="E76" s="618"/>
      <c r="F76" s="618"/>
      <c r="G76" s="618"/>
      <c r="H76" s="618"/>
      <c r="I76" s="620"/>
      <c r="K76" s="609"/>
    </row>
    <row r="77" spans="1:12" ht="13.5" hidden="1" thickBot="1" x14ac:dyDescent="0.25">
      <c r="B77" s="630" t="s">
        <v>837</v>
      </c>
      <c r="C77" s="569" t="s">
        <v>804</v>
      </c>
      <c r="D77" s="631"/>
      <c r="E77" s="631"/>
      <c r="F77" s="631"/>
      <c r="G77" s="631"/>
      <c r="H77" s="631"/>
      <c r="I77" s="632"/>
      <c r="K77" s="609"/>
    </row>
    <row r="78" spans="1:12" ht="13.5" hidden="1" thickBot="1" x14ac:dyDescent="0.25">
      <c r="B78" s="623" t="s">
        <v>413</v>
      </c>
      <c r="C78" s="624"/>
      <c r="D78" s="624"/>
      <c r="E78" s="625">
        <f>SUM(E72:E77)</f>
        <v>24251.284456634668</v>
      </c>
      <c r="F78" s="625">
        <f t="shared" ref="F78:I78" si="11">SUM(F72:F77)</f>
        <v>47929.588531454086</v>
      </c>
      <c r="G78" s="625">
        <f t="shared" si="11"/>
        <v>46995.604853170131</v>
      </c>
      <c r="H78" s="625">
        <f t="shared" si="11"/>
        <v>46061.621174886168</v>
      </c>
      <c r="I78" s="626">
        <f t="shared" si="11"/>
        <v>45127.637496602212</v>
      </c>
      <c r="L78" s="603"/>
    </row>
    <row r="79" spans="1:12" ht="13.5" thickBot="1" x14ac:dyDescent="0.25">
      <c r="A79" s="627"/>
      <c r="B79" s="628"/>
      <c r="C79" s="627"/>
      <c r="D79" s="627"/>
      <c r="E79" s="629"/>
      <c r="F79" s="629"/>
      <c r="G79" s="629"/>
      <c r="H79" s="629"/>
      <c r="I79" s="629"/>
    </row>
    <row r="80" spans="1:12" x14ac:dyDescent="0.2">
      <c r="B80" s="559" t="s">
        <v>839</v>
      </c>
      <c r="C80" s="560"/>
      <c r="D80" s="560"/>
      <c r="E80" s="560" t="str">
        <f>"jul"&amp;E8-2000&amp;"-jun"&amp;F8-2000</f>
        <v>jul17-jun18</v>
      </c>
      <c r="F80" s="560" t="str">
        <f>"jul"&amp;F8-2000&amp;"-jun"&amp;G8-2000</f>
        <v>jul18-jun19</v>
      </c>
      <c r="G80" s="560" t="str">
        <f>"jul"&amp;G8-2000&amp;"-jun"&amp;H8-2000</f>
        <v>jul19-jun20</v>
      </c>
      <c r="H80" s="560" t="str">
        <f>"jul"&amp;H8-2000&amp;"-jun"&amp;I8-2000</f>
        <v>jul20-jun21</v>
      </c>
      <c r="I80" s="633" t="s">
        <v>840</v>
      </c>
    </row>
    <row r="81" spans="1:11" x14ac:dyDescent="0.2">
      <c r="B81" s="617" t="s">
        <v>841</v>
      </c>
      <c r="C81" s="563" t="s">
        <v>804</v>
      </c>
      <c r="D81" s="618"/>
      <c r="E81" s="585">
        <f>D49*E$9*(1+$D$13)^1.5</f>
        <v>0</v>
      </c>
      <c r="F81" s="585">
        <f>E49*F$9*(1+$D$13)^1.5</f>
        <v>105.83303624241566</v>
      </c>
      <c r="G81" s="585">
        <f>F49*G$9*(1+$D$13)^1.5</f>
        <v>230.77352688092037</v>
      </c>
      <c r="H81" s="585">
        <f>G49*H$9*(1+$D$13)^1.5</f>
        <v>429.94864212300092</v>
      </c>
      <c r="I81" s="586">
        <f>H49*I$9*(1+$D$13)^1.5</f>
        <v>559.09400945708512</v>
      </c>
      <c r="K81" s="609"/>
    </row>
    <row r="82" spans="1:11" x14ac:dyDescent="0.2">
      <c r="B82" s="617" t="s">
        <v>842</v>
      </c>
      <c r="C82" s="563" t="s">
        <v>804</v>
      </c>
      <c r="D82" s="618"/>
      <c r="E82" s="585">
        <f>D55*E$9*(1+$D$13)^1.5</f>
        <v>0</v>
      </c>
      <c r="F82" s="585">
        <f>E55*F$9*(1+$D$13)^1.5</f>
        <v>71.038613368196792</v>
      </c>
      <c r="G82" s="585">
        <f>F55*G$9*(1+$D$13)^1.5</f>
        <v>83.864164949133283</v>
      </c>
      <c r="H82" s="585">
        <f>G55*H$9*(1+$D$13)^1.5</f>
        <v>77.638169036057306</v>
      </c>
      <c r="I82" s="586">
        <f>H55*I$9*(1+$D$13)^1.5</f>
        <v>23.527318542381281</v>
      </c>
      <c r="K82" s="609"/>
    </row>
    <row r="83" spans="1:11" x14ac:dyDescent="0.2">
      <c r="B83" s="617" t="s">
        <v>843</v>
      </c>
      <c r="C83" s="563" t="s">
        <v>804</v>
      </c>
      <c r="D83" s="618"/>
      <c r="E83" s="585">
        <f>D49*E$10*(1+$D$13)^1.5</f>
        <v>0</v>
      </c>
      <c r="F83" s="585">
        <f>E49*F$10*(1+$D$13)^1.5</f>
        <v>42.389219888751818</v>
      </c>
      <c r="G83" s="585">
        <f>F49*G$10*(1+$D$13)^1.5</f>
        <v>92.431532938838316</v>
      </c>
      <c r="H83" s="585">
        <f>G49*H$10*(1+$D$13)^1.5</f>
        <v>172.20697977592255</v>
      </c>
      <c r="I83" s="586">
        <f>H49*I$10*(1+$D$13)^1.5</f>
        <v>223.93346866733833</v>
      </c>
      <c r="K83" s="609"/>
    </row>
    <row r="84" spans="1:11" x14ac:dyDescent="0.2">
      <c r="B84" s="617" t="s">
        <v>844</v>
      </c>
      <c r="C84" s="563" t="s">
        <v>804</v>
      </c>
      <c r="D84" s="618"/>
      <c r="E84" s="585">
        <f>D55*E$10*(1+$D$13)^1.5</f>
        <v>0</v>
      </c>
      <c r="F84" s="585">
        <f>E55*F$10*(1+$D$13)^1.5</f>
        <v>28.453038007518341</v>
      </c>
      <c r="G84" s="585">
        <f>F55*G$10*(1+$D$13)^1.5</f>
        <v>33.590045745948466</v>
      </c>
      <c r="H84" s="585">
        <f>G55*H$10*(1+$D$13)^1.5</f>
        <v>31.096352669040634</v>
      </c>
      <c r="I84" s="586">
        <f>H55*I$10*(1+$D$13)^1.5</f>
        <v>9.4233777513604888</v>
      </c>
      <c r="K84" s="609"/>
    </row>
    <row r="85" spans="1:11" x14ac:dyDescent="0.2">
      <c r="B85" s="617" t="s">
        <v>427</v>
      </c>
      <c r="C85" s="563" t="s">
        <v>804</v>
      </c>
      <c r="D85" s="618"/>
      <c r="E85" s="585">
        <f>-'Activos Reconocidos'!C152/1000*(1+$D$13)^1.5</f>
        <v>0</v>
      </c>
      <c r="F85" s="585">
        <f>-'Activos Reconocidos'!D152/1000*(1+$D$13)^1.5</f>
        <v>125.35711027987094</v>
      </c>
      <c r="G85" s="585">
        <f>-'Activos Reconocidos'!E152/1000*(1+$D$13)^1.5</f>
        <v>334.74601828585048</v>
      </c>
      <c r="H85" s="585">
        <f>-'Activos Reconocidos'!F152/1000*(1+$D$13)^1.5</f>
        <v>544.23358147887166</v>
      </c>
      <c r="I85" s="586">
        <f>-'Activos Reconocidos'!G152/1000*(1+$D$13)^1.5</f>
        <v>652.85413823223075</v>
      </c>
      <c r="K85" s="609"/>
    </row>
    <row r="86" spans="1:11" x14ac:dyDescent="0.2">
      <c r="B86" s="617" t="s">
        <v>845</v>
      </c>
      <c r="C86" s="563" t="s">
        <v>804</v>
      </c>
      <c r="D86" s="618"/>
      <c r="E86" s="585">
        <f>D36*D$12*(1+$D$13)^1.5</f>
        <v>0</v>
      </c>
      <c r="F86" s="585">
        <f>E36*E$11*(1+$D$13)^1.5</f>
        <v>0</v>
      </c>
      <c r="G86" s="585">
        <f>F36*F$11*(1+$D$13)^1.5</f>
        <v>0</v>
      </c>
      <c r="H86" s="585">
        <f>G36*G$11*(1+$D$13)^1.5</f>
        <v>0</v>
      </c>
      <c r="I86" s="586">
        <f>H36*H$11*(1+$D$13)^1.5</f>
        <v>0</v>
      </c>
      <c r="K86" s="609"/>
    </row>
    <row r="87" spans="1:11" x14ac:dyDescent="0.2">
      <c r="B87" s="617" t="s">
        <v>835</v>
      </c>
      <c r="C87" s="563" t="s">
        <v>804</v>
      </c>
      <c r="D87" s="618"/>
      <c r="E87" s="585">
        <f>D31*$D$13*(1+$D$13)^1.5</f>
        <v>0</v>
      </c>
      <c r="F87" s="585">
        <f>E31*$D$13*(1+$D$13)^1.5</f>
        <v>406.2624217828573</v>
      </c>
      <c r="G87" s="585">
        <f>F31*$D$13*(1+$D$13)^1.5</f>
        <v>871.38053030739411</v>
      </c>
      <c r="H87" s="585">
        <f>G31*$D$13*(1+$D$13)^1.5</f>
        <v>1283.7840223733256</v>
      </c>
      <c r="I87" s="586">
        <f>H31*$D$13*(1+$D$13)^1.5</f>
        <v>1600.0153876265795</v>
      </c>
      <c r="K87" s="609"/>
    </row>
    <row r="88" spans="1:11" x14ac:dyDescent="0.2">
      <c r="B88" s="617" t="s">
        <v>846</v>
      </c>
      <c r="C88" s="563" t="s">
        <v>804</v>
      </c>
      <c r="D88" s="618"/>
      <c r="E88" s="585">
        <f>D36*D$13*(1+$D$13)^1.5</f>
        <v>0</v>
      </c>
      <c r="F88" s="585">
        <f>E36*E$12*(1+$D$13)^1.5</f>
        <v>0</v>
      </c>
      <c r="G88" s="585">
        <f>F36*F$12*(1+$D$13)^1.5</f>
        <v>0</v>
      </c>
      <c r="H88" s="585">
        <f>G36*G$12*(1+$D$13)^1.5</f>
        <v>0</v>
      </c>
      <c r="I88" s="586">
        <f>H36*H$12*(1+$D$13)^1.5</f>
        <v>0</v>
      </c>
      <c r="K88" s="609"/>
    </row>
    <row r="89" spans="1:11" x14ac:dyDescent="0.2">
      <c r="B89" s="617" t="s">
        <v>836</v>
      </c>
      <c r="C89" s="563" t="s">
        <v>804</v>
      </c>
      <c r="D89" s="618"/>
      <c r="E89" s="619"/>
      <c r="F89" s="619"/>
      <c r="G89" s="619"/>
      <c r="H89" s="618"/>
      <c r="I89" s="620"/>
    </row>
    <row r="90" spans="1:11" ht="13.5" thickBot="1" x14ac:dyDescent="0.25">
      <c r="B90" s="630" t="s">
        <v>837</v>
      </c>
      <c r="C90" s="569" t="s">
        <v>804</v>
      </c>
      <c r="D90" s="631"/>
      <c r="E90" s="631"/>
      <c r="F90" s="631"/>
      <c r="G90" s="631"/>
      <c r="H90" s="631"/>
      <c r="I90" s="632"/>
    </row>
    <row r="91" spans="1:11" ht="13.5" thickBot="1" x14ac:dyDescent="0.25">
      <c r="B91" s="623" t="s">
        <v>413</v>
      </c>
      <c r="C91" s="624"/>
      <c r="D91" s="624"/>
      <c r="E91" s="625">
        <f>SUM(E81:E90)</f>
        <v>0</v>
      </c>
      <c r="F91" s="625">
        <f t="shared" ref="F91:I91" si="12">SUM(F81:F90)</f>
        <v>779.33343956961085</v>
      </c>
      <c r="G91" s="625">
        <f t="shared" si="12"/>
        <v>1646.785819108085</v>
      </c>
      <c r="H91" s="625">
        <f t="shared" si="12"/>
        <v>2538.9077474562187</v>
      </c>
      <c r="I91" s="626">
        <f t="shared" si="12"/>
        <v>3068.8477002769755</v>
      </c>
    </row>
    <row r="92" spans="1:11" ht="13.5" thickBot="1" x14ac:dyDescent="0.25">
      <c r="A92" s="627"/>
      <c r="B92" s="628"/>
      <c r="C92" s="627"/>
      <c r="D92" s="627"/>
      <c r="E92" s="629"/>
      <c r="F92" s="629"/>
      <c r="G92" s="629"/>
      <c r="H92" s="629"/>
      <c r="I92" s="629"/>
    </row>
    <row r="93" spans="1:11" x14ac:dyDescent="0.2">
      <c r="B93" s="559" t="s">
        <v>847</v>
      </c>
      <c r="C93" s="560"/>
      <c r="D93" s="560"/>
      <c r="E93" s="560" t="str">
        <f>E80</f>
        <v>jul17-jun18</v>
      </c>
      <c r="F93" s="560" t="str">
        <f t="shared" ref="F93:I93" si="13">F80</f>
        <v>jul18-jun19</v>
      </c>
      <c r="G93" s="560" t="str">
        <f t="shared" si="13"/>
        <v>jul19-jun20</v>
      </c>
      <c r="H93" s="560" t="str">
        <f t="shared" si="13"/>
        <v>jul20-jun21</v>
      </c>
      <c r="I93" s="633" t="str">
        <f t="shared" si="13"/>
        <v>Diferido Proximo Período</v>
      </c>
    </row>
    <row r="94" spans="1:11" x14ac:dyDescent="0.2">
      <c r="B94" s="617" t="s">
        <v>848</v>
      </c>
      <c r="C94" s="563" t="s">
        <v>804</v>
      </c>
      <c r="D94" s="618"/>
      <c r="E94" s="585">
        <f>D50*E$9*(1+$D$13)^1.5</f>
        <v>0</v>
      </c>
      <c r="F94" s="585">
        <f>E50*F$9*(1+$D$13)^1.5</f>
        <v>282.41135613304175</v>
      </c>
      <c r="G94" s="585">
        <f>F50*G$9*(1+$D$13)^1.5</f>
        <v>3277.5600438110687</v>
      </c>
      <c r="H94" s="585">
        <f>G50*H$9*(1+$D$13)^1.5</f>
        <v>9434.3740698218971</v>
      </c>
      <c r="I94" s="586">
        <f>H50*I$9*(1+$D$13)^1.5</f>
        <v>14622.454291990325</v>
      </c>
      <c r="K94" s="609"/>
    </row>
    <row r="95" spans="1:11" x14ac:dyDescent="0.2">
      <c r="B95" s="617" t="s">
        <v>849</v>
      </c>
      <c r="C95" s="563" t="s">
        <v>804</v>
      </c>
      <c r="D95" s="618"/>
      <c r="E95" s="585">
        <f>D56*E$9*(1+$D$13)^1.5</f>
        <v>0</v>
      </c>
      <c r="F95" s="585">
        <f>E56*F$9*(1+$D$13)^1.5</f>
        <v>189.56378699341161</v>
      </c>
      <c r="G95" s="585">
        <f>F56*G$9*(1+$D$13)^1.5</f>
        <v>2010.4422698112785</v>
      </c>
      <c r="H95" s="585">
        <f>G56*H$9*(1+$D$13)^1.5</f>
        <v>4108.6325401174672</v>
      </c>
      <c r="I95" s="586">
        <f>H56*I$9*(1+$D$13)^1.5</f>
        <v>1303.8128984329423</v>
      </c>
      <c r="K95" s="609"/>
    </row>
    <row r="96" spans="1:11" x14ac:dyDescent="0.2">
      <c r="B96" s="617" t="s">
        <v>850</v>
      </c>
      <c r="C96" s="563" t="s">
        <v>804</v>
      </c>
      <c r="D96" s="618"/>
      <c r="E96" s="585">
        <f>D50*E$10*(1+$D$13)^1.5</f>
        <v>0</v>
      </c>
      <c r="F96" s="585">
        <f>E50*F$10*(1+$D$13)^1.5</f>
        <v>113.11399067096124</v>
      </c>
      <c r="G96" s="585">
        <f>F50*G$10*(1+$D$13)^1.5</f>
        <v>1312.7584573635518</v>
      </c>
      <c r="H96" s="585">
        <f>G50*H$10*(1+$D$13)^1.5</f>
        <v>3778.7421693391898</v>
      </c>
      <c r="I96" s="586">
        <f>H50*I$10*(1+$D$13)^1.5</f>
        <v>5856.7197191304249</v>
      </c>
      <c r="K96" s="609"/>
    </row>
    <row r="97" spans="1:12" x14ac:dyDescent="0.2">
      <c r="B97" s="617" t="s">
        <v>851</v>
      </c>
      <c r="C97" s="563" t="s">
        <v>804</v>
      </c>
      <c r="D97" s="618"/>
      <c r="E97" s="585">
        <f>D56*E$10*(1+$D$13)^1.5</f>
        <v>0</v>
      </c>
      <c r="F97" s="585">
        <f>E56*F$10*(1+$D$13)^1.5</f>
        <v>75.92582935448084</v>
      </c>
      <c r="G97" s="585">
        <f>F56*G$10*(1+$D$13)^1.5</f>
        <v>805.24080641009493</v>
      </c>
      <c r="H97" s="585">
        <f>G56*H$10*(1+$D$13)^1.5</f>
        <v>1645.6272480569719</v>
      </c>
      <c r="I97" s="586">
        <f>H56*I$10*(1+$D$13)^1.5</f>
        <v>522.21511928346933</v>
      </c>
      <c r="K97" s="609"/>
    </row>
    <row r="98" spans="1:12" x14ac:dyDescent="0.2">
      <c r="B98" s="617" t="s">
        <v>427</v>
      </c>
      <c r="C98" s="563" t="s">
        <v>804</v>
      </c>
      <c r="D98" s="618"/>
      <c r="E98" s="585">
        <f>-'Activos Reconocidos'!C157/1000*(1+$D$13)^1.5</f>
        <v>0</v>
      </c>
      <c r="F98" s="585">
        <f>-'Activos Reconocidos'!D157/1000*(1+$D$13)^1.5</f>
        <v>335.81547511731924</v>
      </c>
      <c r="G98" s="585">
        <f>-'Activos Reconocidos'!E157/1000*(1+$D$13)^1.5</f>
        <v>4064.1823950009366</v>
      </c>
      <c r="H98" s="585">
        <f>-'Activos Reconocidos'!F157/1000*(1+$D$13)^1.5</f>
        <v>13093.410167009468</v>
      </c>
      <c r="I98" s="586">
        <f>-'Activos Reconocidos'!G157/1000*(1+$D$13)^1.5</f>
        <v>18972.273988749945</v>
      </c>
      <c r="K98" s="609"/>
    </row>
    <row r="99" spans="1:12" x14ac:dyDescent="0.2">
      <c r="B99" s="617" t="s">
        <v>852</v>
      </c>
      <c r="C99" s="563" t="s">
        <v>804</v>
      </c>
      <c r="D99" s="618"/>
      <c r="E99" s="585">
        <f>D37*D$12*(1+$D$13)^1.5</f>
        <v>0</v>
      </c>
      <c r="F99" s="585">
        <f>E37*E$11*(1+$D$13)^1.5</f>
        <v>0</v>
      </c>
      <c r="G99" s="585">
        <f>F37*F$11*(1+$D$13)^1.5</f>
        <v>0</v>
      </c>
      <c r="H99" s="585">
        <f>G37*G$11*(1+$D$13)^1.5</f>
        <v>0</v>
      </c>
      <c r="I99" s="586">
        <f>H37*H$11*(1+$D$13)^1.5</f>
        <v>0</v>
      </c>
      <c r="K99" s="609"/>
    </row>
    <row r="100" spans="1:12" x14ac:dyDescent="0.2">
      <c r="B100" s="617" t="s">
        <v>835</v>
      </c>
      <c r="C100" s="563" t="s">
        <v>804</v>
      </c>
      <c r="D100" s="618"/>
      <c r="E100" s="585">
        <f>D32*$D$13*(1+$D$13)^1.5</f>
        <v>0</v>
      </c>
      <c r="F100" s="585">
        <f>E32*$D$13*(1+$D$13)^1.5</f>
        <v>1083.9942706709335</v>
      </c>
      <c r="G100" s="585">
        <f>F32*$D$13*(1+$D$13)^1.5</f>
        <v>12541.424426956171</v>
      </c>
      <c r="H100" s="585">
        <f>G32*$D$13*(1+$D$13)^1.5</f>
        <v>35584.834703450964</v>
      </c>
      <c r="I100" s="586">
        <f>H32*$D$13*(1+$D$13)^1.5</f>
        <v>54444.679106285781</v>
      </c>
      <c r="K100" s="609"/>
    </row>
    <row r="101" spans="1:12" x14ac:dyDescent="0.2">
      <c r="B101" s="617" t="s">
        <v>853</v>
      </c>
      <c r="C101" s="563" t="s">
        <v>804</v>
      </c>
      <c r="D101" s="618"/>
      <c r="E101" s="585">
        <f>D37*D$13*(1+$D$13)^1.5</f>
        <v>0</v>
      </c>
      <c r="F101" s="585">
        <f>E37*E$12*(1+$D$13)^1.5</f>
        <v>0</v>
      </c>
      <c r="G101" s="585">
        <f>F37*F$12*(1+$D$13)^1.5</f>
        <v>0</v>
      </c>
      <c r="H101" s="585">
        <f>G37*G$12*(1+$D$13)^1.5</f>
        <v>0</v>
      </c>
      <c r="I101" s="586">
        <f>H37*H$12*(1+$D$13)^1.5</f>
        <v>0</v>
      </c>
      <c r="K101" s="609"/>
    </row>
    <row r="102" spans="1:12" x14ac:dyDescent="0.2">
      <c r="B102" s="617" t="s">
        <v>836</v>
      </c>
      <c r="C102" s="563" t="s">
        <v>804</v>
      </c>
      <c r="D102" s="618"/>
      <c r="E102" s="618"/>
      <c r="F102" s="618"/>
      <c r="G102" s="618"/>
      <c r="H102" s="618"/>
      <c r="I102" s="620"/>
    </row>
    <row r="103" spans="1:12" ht="13.5" thickBot="1" x14ac:dyDescent="0.25">
      <c r="B103" s="630" t="s">
        <v>837</v>
      </c>
      <c r="C103" s="569" t="s">
        <v>804</v>
      </c>
      <c r="D103" s="631"/>
      <c r="E103" s="631"/>
      <c r="F103" s="631"/>
      <c r="G103" s="631"/>
      <c r="H103" s="631"/>
      <c r="I103" s="632"/>
    </row>
    <row r="104" spans="1:12" ht="13.5" thickBot="1" x14ac:dyDescent="0.25">
      <c r="B104" s="623" t="s">
        <v>413</v>
      </c>
      <c r="C104" s="624"/>
      <c r="D104" s="624"/>
      <c r="E104" s="625">
        <f>SUM(E94:E103)</f>
        <v>0</v>
      </c>
      <c r="F104" s="625">
        <f t="shared" ref="F104:I104" si="14">SUM(F94:F103)</f>
        <v>2080.8247089401484</v>
      </c>
      <c r="G104" s="625">
        <f t="shared" si="14"/>
        <v>24011.608399353099</v>
      </c>
      <c r="H104" s="625">
        <f t="shared" si="14"/>
        <v>67645.620897795961</v>
      </c>
      <c r="I104" s="626">
        <f t="shared" si="14"/>
        <v>95722.155123872886</v>
      </c>
    </row>
    <row r="105" spans="1:12" ht="13.5" hidden="1" thickBot="1" x14ac:dyDescent="0.25">
      <c r="A105" s="627"/>
      <c r="B105" s="628"/>
      <c r="C105" s="627"/>
      <c r="D105" s="627"/>
      <c r="E105" s="629"/>
      <c r="F105" s="629"/>
      <c r="G105" s="629"/>
      <c r="H105" s="629"/>
      <c r="I105" s="629"/>
    </row>
    <row r="106" spans="1:12" hidden="1" x14ac:dyDescent="0.2">
      <c r="B106" s="559" t="s">
        <v>26</v>
      </c>
      <c r="C106" s="560"/>
      <c r="D106" s="560"/>
      <c r="E106" s="560">
        <f>E8</f>
        <v>2017</v>
      </c>
      <c r="F106" s="560">
        <f>F8</f>
        <v>2018</v>
      </c>
      <c r="G106" s="560">
        <f>G8</f>
        <v>2019</v>
      </c>
      <c r="H106" s="560">
        <f>H8</f>
        <v>2020</v>
      </c>
      <c r="I106" s="561">
        <f>I8</f>
        <v>2021</v>
      </c>
    </row>
    <row r="107" spans="1:12" hidden="1" x14ac:dyDescent="0.2">
      <c r="B107" s="617" t="s">
        <v>833</v>
      </c>
      <c r="C107" s="563" t="s">
        <v>804</v>
      </c>
      <c r="D107" s="618"/>
      <c r="E107" s="585">
        <f>(D46+E57)*E$9</f>
        <v>1348.8295232861753</v>
      </c>
      <c r="F107" s="585">
        <f>(E46+F57)*F$9</f>
        <v>1458.9734546615177</v>
      </c>
      <c r="G107" s="585">
        <f>(F46+G57)*G$9</f>
        <v>1527.5769424423397</v>
      </c>
      <c r="H107" s="585">
        <f>(G46+H57)*H$9</f>
        <v>1555.2416159853533</v>
      </c>
      <c r="I107" s="586">
        <f>(H46+I57)*I$9</f>
        <v>1597.3106150122028</v>
      </c>
      <c r="L107" s="603"/>
    </row>
    <row r="108" spans="1:12" hidden="1" x14ac:dyDescent="0.2">
      <c r="B108" s="617" t="s">
        <v>834</v>
      </c>
      <c r="C108" s="563" t="s">
        <v>804</v>
      </c>
      <c r="D108" s="618"/>
      <c r="E108" s="585">
        <f>(D46+E57)*E$10</f>
        <v>540.24559140544727</v>
      </c>
      <c r="F108" s="585">
        <f>(E46+F57)*F$10</f>
        <v>584.36145061397087</v>
      </c>
      <c r="G108" s="585">
        <f>(F46+G57)*G$10</f>
        <v>611.83914975146445</v>
      </c>
      <c r="H108" s="585">
        <f>(G46+H57)*H$10</f>
        <v>622.9196589346202</v>
      </c>
      <c r="I108" s="586">
        <f>(H46+I57)*I$10</f>
        <v>639.76952088286987</v>
      </c>
    </row>
    <row r="109" spans="1:12" hidden="1" x14ac:dyDescent="0.2">
      <c r="B109" s="617" t="s">
        <v>427</v>
      </c>
      <c r="C109" s="563" t="s">
        <v>804</v>
      </c>
      <c r="D109" s="618"/>
      <c r="E109" s="585">
        <f>-'Activos Reconocidos'!D186/1000+E38*$D$12</f>
        <v>929.62570501177356</v>
      </c>
      <c r="F109" s="585">
        <f>-'Activos Reconocidos'!E186/1000+F38*$D$12</f>
        <v>1178.339540628212</v>
      </c>
      <c r="G109" s="585">
        <f>-'Activos Reconocidos'!F186/1000+G38*$D$12</f>
        <v>1200.1397461076638</v>
      </c>
      <c r="H109" s="585">
        <f>-'Activos Reconocidos'!G186/1000+H38*$D$12</f>
        <v>1225.4994995323214</v>
      </c>
      <c r="I109" s="586">
        <f>-'Activos Reconocidos'!H186/1000+I38*$D$12</f>
        <v>1274.9472118610884</v>
      </c>
    </row>
    <row r="110" spans="1:12" ht="13.5" hidden="1" thickBot="1" x14ac:dyDescent="0.25">
      <c r="B110" s="630" t="s">
        <v>835</v>
      </c>
      <c r="C110" s="569" t="s">
        <v>804</v>
      </c>
      <c r="D110" s="631"/>
      <c r="E110" s="612">
        <f>(D25+E38)*$D$13</f>
        <v>1356.9643582716164</v>
      </c>
      <c r="F110" s="612">
        <f>(E25+F38)*$D$13</f>
        <v>1725.1471291517441</v>
      </c>
      <c r="G110" s="612">
        <f>(F25+G38)*$D$13</f>
        <v>1914.8972200866656</v>
      </c>
      <c r="H110" s="612">
        <f>(G25+H38)*$D$13</f>
        <v>1934.29421019967</v>
      </c>
      <c r="I110" s="634">
        <f>(H25+I38)*$D$13</f>
        <v>2006.503340893496</v>
      </c>
    </row>
    <row r="111" spans="1:12" ht="13.5" hidden="1" thickBot="1" x14ac:dyDescent="0.25">
      <c r="B111" s="623" t="s">
        <v>413</v>
      </c>
      <c r="C111" s="624"/>
      <c r="D111" s="624"/>
      <c r="E111" s="625">
        <f>SUM(E107:E110)</f>
        <v>4175.6651779750127</v>
      </c>
      <c r="F111" s="625">
        <f t="shared" ref="F111:I111" si="15">SUM(F107:F110)</f>
        <v>4946.8215750554446</v>
      </c>
      <c r="G111" s="625">
        <f t="shared" si="15"/>
        <v>5254.4530583881333</v>
      </c>
      <c r="H111" s="625">
        <f t="shared" si="15"/>
        <v>5337.9549846519649</v>
      </c>
      <c r="I111" s="626">
        <f t="shared" si="15"/>
        <v>5518.5306886496564</v>
      </c>
    </row>
    <row r="112" spans="1:12" x14ac:dyDescent="0.2">
      <c r="B112" s="628"/>
      <c r="C112" s="627"/>
      <c r="D112" s="627"/>
      <c r="E112" s="629"/>
      <c r="F112" s="629"/>
      <c r="G112" s="629"/>
      <c r="H112" s="629"/>
      <c r="I112" s="629"/>
    </row>
    <row r="113" spans="2:15" hidden="1" x14ac:dyDescent="0.2">
      <c r="B113" s="559" t="s">
        <v>1019</v>
      </c>
      <c r="C113" s="560"/>
      <c r="D113" s="560"/>
      <c r="E113" s="560">
        <f>E8</f>
        <v>2017</v>
      </c>
      <c r="F113" s="560">
        <f>F8</f>
        <v>2018</v>
      </c>
      <c r="G113" s="560">
        <f>G8</f>
        <v>2019</v>
      </c>
      <c r="H113" s="560">
        <f>H8</f>
        <v>2020</v>
      </c>
      <c r="I113" s="561">
        <f>I8</f>
        <v>2021</v>
      </c>
    </row>
    <row r="114" spans="2:15" hidden="1" x14ac:dyDescent="0.2">
      <c r="B114" s="617" t="s">
        <v>855</v>
      </c>
      <c r="C114" s="563" t="s">
        <v>804</v>
      </c>
      <c r="D114" s="618"/>
      <c r="E114" s="589">
        <f>+(SUMIF(CND_HID!$12:$12,'IMPA Indicativo'!E$113,CND_HID!$23:$23)+SUMIF(CND_HID!$12:$12,'IMPA Indicativo'!E$113,CND_HID!$29:$29))/1000</f>
        <v>3968.2589607008567</v>
      </c>
      <c r="F114" s="589">
        <f>+(SUMIF(CND_HID!$12:$12,'IMPA Indicativo'!F$113,CND_HID!$23:$23)+SUMIF(CND_HID!$12:$12,'IMPA Indicativo'!F$113,CND_HID!$29:$29))/1000</f>
        <v>4611.2581096897229</v>
      </c>
      <c r="G114" s="589">
        <f>+(SUMIF(CND_HID!$12:$12,'IMPA Indicativo'!G$113,CND_HID!$23:$23)+SUMIF(CND_HID!$12:$12,'IMPA Indicativo'!G$113,CND_HID!$29:$29))/1000</f>
        <v>5837.3934028983376</v>
      </c>
      <c r="H114" s="589">
        <f>+(SUMIF(CND_HID!$12:$12,'IMPA Indicativo'!H$113,CND_HID!$23:$23)+SUMIF(CND_HID!$12:$12,'IMPA Indicativo'!H$113,CND_HID!$29:$29))/1000</f>
        <v>4637.0328355575821</v>
      </c>
      <c r="I114" s="590">
        <f>+(SUMIF(CND_HID!$12:$12,'IMPA Indicativo'!I$113,CND_HID!$23:$23)+SUMIF(CND_HID!$12:$12,'IMPA Indicativo'!I$113,CND_HID!$29:$29))/1000</f>
        <v>4111.0328355575812</v>
      </c>
      <c r="O114" s="629"/>
    </row>
    <row r="115" spans="2:15" hidden="1" x14ac:dyDescent="0.2">
      <c r="B115" s="617" t="s">
        <v>856</v>
      </c>
      <c r="C115" s="563" t="s">
        <v>804</v>
      </c>
      <c r="D115" s="618"/>
      <c r="E115" s="589">
        <f>+(SUMIF(CND_HID!$77:$77,'IMPA Indicativo'!E$113,CND_HID!$146:$146)+SUMIF(CND_HID!$88:$88,'IMPA Indicativo'!E$113,CND_HID!$92:$92)-SUMIF('Activos Reconocidos'!$250:$250,'IMPA Indicativo'!E$113,'Activos Reconocidos'!$255:$255)+ActNetoHidro*RRT)/1000</f>
        <v>3222.9667539023421</v>
      </c>
      <c r="F115" s="589">
        <f>+(SUMIF(CND_HID!$77:$77,'IMPA Indicativo'!F$113,CND_HID!$146:$146)+SUMIF(CND_HID!$88:$88,'IMPA Indicativo'!F$113,CND_HID!$92:$92)-SUMIF('Activos Reconocidos'!$250:$250,'IMPA Indicativo'!F$113,'Activos Reconocidos'!$255:$255)+ActNetoHidro*RRT)/1000</f>
        <v>3405.3667539023422</v>
      </c>
      <c r="G115" s="589">
        <f>+(SUMIF(CND_HID!$77:$77,'IMPA Indicativo'!G$113,CND_HID!$146:$146)+SUMIF(CND_HID!$88:$88,'IMPA Indicativo'!G$113,CND_HID!$92:$92)-SUMIF('Activos Reconocidos'!$250:$250,'IMPA Indicativo'!G$113,'Activos Reconocidos'!$255:$255)+ActNetoHidro*RRT)/1000</f>
        <v>2347.3667539023422</v>
      </c>
      <c r="H115" s="589">
        <f>+(SUMIF(CND_HID!$77:$77,'IMPA Indicativo'!H$113,CND_HID!$146:$146)+SUMIF(CND_HID!$88:$88,'IMPA Indicativo'!H$113,CND_HID!$92:$92)-SUMIF('Activos Reconocidos'!$250:$250,'IMPA Indicativo'!H$113,'Activos Reconocidos'!$255:$255)+ActNetoHidro*RRT)/1000</f>
        <v>1573.366753902342</v>
      </c>
      <c r="I115" s="590">
        <f>+(SUMIF(CND_HID!$77:$77,'IMPA Indicativo'!I$113,CND_HID!$146:$146)+SUMIF(CND_HID!$88:$88,'IMPA Indicativo'!I$113,CND_HID!$92:$92)-SUMIF('Activos Reconocidos'!$250:$250,'IMPA Indicativo'!I$113,'Activos Reconocidos'!$255:$255)+ActNetoHidro*RRT)/1000</f>
        <v>2173.3667539023422</v>
      </c>
      <c r="K115" s="603"/>
    </row>
    <row r="116" spans="2:15" ht="13.5" hidden="1" thickBot="1" x14ac:dyDescent="0.25">
      <c r="B116" s="623" t="s">
        <v>413</v>
      </c>
      <c r="C116" s="624"/>
      <c r="D116" s="624"/>
      <c r="E116" s="625">
        <f>SUM(E114:E115)</f>
        <v>7191.2257146031989</v>
      </c>
      <c r="F116" s="625">
        <f t="shared" ref="F116:I116" si="16">SUM(F114:F115)</f>
        <v>8016.6248635920656</v>
      </c>
      <c r="G116" s="625">
        <f t="shared" si="16"/>
        <v>8184.7601568006794</v>
      </c>
      <c r="H116" s="625">
        <f t="shared" si="16"/>
        <v>6210.3995894599238</v>
      </c>
      <c r="I116" s="626">
        <f t="shared" si="16"/>
        <v>6284.3995894599229</v>
      </c>
    </row>
    <row r="117" spans="2:15" ht="13.5" hidden="1" thickBot="1" x14ac:dyDescent="0.25">
      <c r="B117" s="628"/>
      <c r="C117" s="627"/>
      <c r="D117" s="627"/>
      <c r="E117" s="629"/>
      <c r="F117" s="629"/>
      <c r="G117" s="629"/>
      <c r="H117" s="629"/>
      <c r="I117" s="629"/>
    </row>
    <row r="118" spans="2:15" hidden="1" x14ac:dyDescent="0.2">
      <c r="B118" s="559" t="s">
        <v>857</v>
      </c>
      <c r="C118" s="672"/>
      <c r="D118" s="560" t="s">
        <v>858</v>
      </c>
      <c r="E118" s="560" t="str">
        <f>E80</f>
        <v>jul17-jun18</v>
      </c>
      <c r="F118" s="560" t="str">
        <f>F80</f>
        <v>jul18-jun19</v>
      </c>
      <c r="G118" s="560" t="str">
        <f>G80</f>
        <v>jul19-jun20</v>
      </c>
      <c r="H118" s="561" t="str">
        <f>H80</f>
        <v>jul20-jun21</v>
      </c>
      <c r="I118" s="629"/>
    </row>
    <row r="119" spans="2:15" hidden="1" x14ac:dyDescent="0.2">
      <c r="B119" s="640" t="s">
        <v>859</v>
      </c>
      <c r="C119" s="641" t="s">
        <v>804</v>
      </c>
      <c r="D119" s="643">
        <f>NPV($D$13,E119:H119)</f>
        <v>215637.64494708041</v>
      </c>
      <c r="E119" s="643">
        <f>(E69+F69+E91+F91)/2</f>
        <v>61270.313185974286</v>
      </c>
      <c r="F119" s="643">
        <f>(F69+G69+F91+G91)/2</f>
        <v>68950.429772437186</v>
      </c>
      <c r="G119" s="643">
        <f>(G69+H69+G91+H91)/2</f>
        <v>68629.440603289375</v>
      </c>
      <c r="H119" s="644">
        <f>(H69+I69+H91+I91)/2</f>
        <v>60082.195220782691</v>
      </c>
      <c r="I119" s="629"/>
    </row>
    <row r="120" spans="2:15" hidden="1" x14ac:dyDescent="0.2">
      <c r="B120" s="640" t="s">
        <v>860</v>
      </c>
      <c r="C120" s="641" t="s">
        <v>804</v>
      </c>
      <c r="D120" s="643">
        <f>NPV($D$13,E120:H120)</f>
        <v>254761.71141439196</v>
      </c>
      <c r="E120" s="643">
        <f>(E78+F78+E104+F104)/2</f>
        <v>37130.848848514448</v>
      </c>
      <c r="F120" s="643">
        <f>(F78+G78+F104+G104)/2</f>
        <v>60508.81324645874</v>
      </c>
      <c r="G120" s="643">
        <f>(G78+H78+G104+H104)/2</f>
        <v>92357.227662602672</v>
      </c>
      <c r="H120" s="644">
        <f>(H78+I78+H104+I104)/2</f>
        <v>127278.51734657861</v>
      </c>
      <c r="I120" s="629"/>
    </row>
    <row r="121" spans="2:15" hidden="1" x14ac:dyDescent="0.2">
      <c r="B121" s="674" t="s">
        <v>861</v>
      </c>
      <c r="C121" s="675" t="s">
        <v>804</v>
      </c>
      <c r="D121" s="676">
        <f>NPV(RRT,E121:H121)</f>
        <v>215637.64494708044</v>
      </c>
      <c r="E121" s="676">
        <f>-PMT(RRT,4,$D$119)</f>
        <v>64758.032113490823</v>
      </c>
      <c r="F121" s="676">
        <f>-PMT(RRT,4,$D$119)</f>
        <v>64758.032113490823</v>
      </c>
      <c r="G121" s="676">
        <f>-PMT(RRT,4,$D$119)</f>
        <v>64758.032113490823</v>
      </c>
      <c r="H121" s="677">
        <f>-PMT(RRT,4,$D$119)</f>
        <v>64758.032113490823</v>
      </c>
      <c r="I121" s="629"/>
    </row>
    <row r="122" spans="2:15" ht="13.5" hidden="1" thickBot="1" x14ac:dyDescent="0.25">
      <c r="B122" s="678" t="s">
        <v>862</v>
      </c>
      <c r="C122" s="660" t="s">
        <v>804</v>
      </c>
      <c r="D122" s="679">
        <f>NPV(RRT,E122:H122)</f>
        <v>254761.71141439199</v>
      </c>
      <c r="E122" s="679">
        <f>-PMT(RRT,4,$D$120)</f>
        <v>76507.360730589571</v>
      </c>
      <c r="F122" s="679">
        <f>-PMT(RRT,4,$D$120)</f>
        <v>76507.360730589571</v>
      </c>
      <c r="G122" s="679">
        <f>-PMT(RRT,4,$D$120)</f>
        <v>76507.360730589571</v>
      </c>
      <c r="H122" s="663">
        <f>-PMT(RRT,4,$D$120)</f>
        <v>76507.360730589571</v>
      </c>
      <c r="I122" s="629"/>
    </row>
    <row r="123" spans="2:15" ht="13.5" hidden="1" thickBot="1" x14ac:dyDescent="0.25">
      <c r="B123" s="628"/>
      <c r="C123" s="627"/>
      <c r="D123" s="627"/>
      <c r="E123" s="629"/>
      <c r="F123" s="629"/>
      <c r="G123" s="629"/>
      <c r="H123" s="629"/>
      <c r="I123" s="629"/>
    </row>
    <row r="124" spans="2:15" hidden="1" x14ac:dyDescent="0.2">
      <c r="B124" s="559" t="s">
        <v>857</v>
      </c>
      <c r="C124" s="560"/>
      <c r="D124" s="560"/>
      <c r="E124" s="560" t="str">
        <f>E80</f>
        <v>jul17-jun18</v>
      </c>
      <c r="F124" s="560" t="str">
        <f>F80</f>
        <v>jul18-jun19</v>
      </c>
      <c r="G124" s="560" t="str">
        <f>G80</f>
        <v>jul19-jun20</v>
      </c>
      <c r="H124" s="560" t="str">
        <f>H80</f>
        <v>jul20-jun21</v>
      </c>
      <c r="I124" s="633" t="str">
        <f>I80</f>
        <v>Diferido Proximo Período</v>
      </c>
    </row>
    <row r="125" spans="2:15" hidden="1" x14ac:dyDescent="0.2">
      <c r="B125" s="635" t="s">
        <v>863</v>
      </c>
      <c r="C125" s="636"/>
      <c r="D125" s="637"/>
      <c r="E125" s="638"/>
      <c r="F125" s="638"/>
      <c r="G125" s="638"/>
      <c r="H125" s="638"/>
      <c r="I125" s="639"/>
    </row>
    <row r="126" spans="2:15" hidden="1" outlineLevel="1" x14ac:dyDescent="0.2">
      <c r="B126" s="640" t="s">
        <v>859</v>
      </c>
      <c r="C126" s="641" t="s">
        <v>804</v>
      </c>
      <c r="D126" s="642"/>
      <c r="E126" s="643">
        <f>E121</f>
        <v>64758.032113490823</v>
      </c>
      <c r="F126" s="643">
        <f>F121</f>
        <v>64758.032113490823</v>
      </c>
      <c r="G126" s="643">
        <f>G121</f>
        <v>64758.032113490823</v>
      </c>
      <c r="H126" s="643">
        <f>H121</f>
        <v>64758.032113490823</v>
      </c>
      <c r="I126" s="644"/>
    </row>
    <row r="127" spans="2:15" hidden="1" outlineLevel="1" x14ac:dyDescent="0.2">
      <c r="B127" s="640" t="s">
        <v>864</v>
      </c>
      <c r="C127" s="641" t="s">
        <v>804</v>
      </c>
      <c r="D127" s="642"/>
      <c r="E127" s="643">
        <f>E91</f>
        <v>0</v>
      </c>
      <c r="F127" s="643">
        <f>F91</f>
        <v>779.33343956961085</v>
      </c>
      <c r="G127" s="643">
        <f>G91</f>
        <v>1646.785819108085</v>
      </c>
      <c r="H127" s="643">
        <f>H91</f>
        <v>2538.9077474562187</v>
      </c>
      <c r="I127" s="644">
        <f>I91</f>
        <v>3068.8477002769755</v>
      </c>
      <c r="K127" s="609"/>
    </row>
    <row r="128" spans="2:15" hidden="1" x14ac:dyDescent="0.2">
      <c r="B128" s="645" t="s">
        <v>865</v>
      </c>
      <c r="C128" s="646" t="s">
        <v>804</v>
      </c>
      <c r="D128" s="647"/>
      <c r="E128" s="648">
        <f>E126+E127</f>
        <v>64758.032113490823</v>
      </c>
      <c r="F128" s="648">
        <f t="shared" ref="F128:I128" si="17">F126+F127</f>
        <v>65537.36555306043</v>
      </c>
      <c r="G128" s="648">
        <f t="shared" si="17"/>
        <v>66404.817932598904</v>
      </c>
      <c r="H128" s="648">
        <f t="shared" si="17"/>
        <v>67296.939860947037</v>
      </c>
      <c r="I128" s="649">
        <f t="shared" si="17"/>
        <v>3068.8477002769755</v>
      </c>
      <c r="K128" s="609"/>
    </row>
    <row r="129" spans="2:9" hidden="1" x14ac:dyDescent="0.2">
      <c r="B129" s="650" t="s">
        <v>866</v>
      </c>
      <c r="C129" s="641"/>
      <c r="D129" s="642"/>
      <c r="E129" s="643"/>
      <c r="F129" s="643"/>
      <c r="G129" s="643"/>
      <c r="H129" s="643"/>
      <c r="I129" s="644"/>
    </row>
    <row r="130" spans="2:9" hidden="1" outlineLevel="1" x14ac:dyDescent="0.2">
      <c r="B130" s="640" t="s">
        <v>860</v>
      </c>
      <c r="C130" s="641" t="s">
        <v>804</v>
      </c>
      <c r="D130" s="642"/>
      <c r="E130" s="643">
        <f>E122</f>
        <v>76507.360730589571</v>
      </c>
      <c r="F130" s="643">
        <f>F122</f>
        <v>76507.360730589571</v>
      </c>
      <c r="G130" s="643">
        <f>G122</f>
        <v>76507.360730589571</v>
      </c>
      <c r="H130" s="643">
        <f>H122</f>
        <v>76507.360730589571</v>
      </c>
      <c r="I130" s="644"/>
    </row>
    <row r="131" spans="2:9" hidden="1" outlineLevel="1" x14ac:dyDescent="0.2">
      <c r="B131" s="640" t="s">
        <v>867</v>
      </c>
      <c r="C131" s="641" t="s">
        <v>804</v>
      </c>
      <c r="D131" s="642"/>
      <c r="E131" s="643">
        <f>E104</f>
        <v>0</v>
      </c>
      <c r="F131" s="643">
        <f>F104</f>
        <v>2080.8247089401484</v>
      </c>
      <c r="G131" s="643">
        <f>G104</f>
        <v>24011.608399353099</v>
      </c>
      <c r="H131" s="643">
        <f>H104</f>
        <v>67645.620897795961</v>
      </c>
      <c r="I131" s="644">
        <f>I104</f>
        <v>95722.155123872886</v>
      </c>
    </row>
    <row r="132" spans="2:9" hidden="1" x14ac:dyDescent="0.2">
      <c r="B132" s="645" t="s">
        <v>868</v>
      </c>
      <c r="C132" s="646" t="s">
        <v>804</v>
      </c>
      <c r="D132" s="651"/>
      <c r="E132" s="648">
        <f>E130+E131</f>
        <v>76507.360730589571</v>
      </c>
      <c r="F132" s="648">
        <f t="shared" ref="F132:I132" si="18">F130+F131</f>
        <v>78588.185439529712</v>
      </c>
      <c r="G132" s="648">
        <f t="shared" si="18"/>
        <v>100518.96912994268</v>
      </c>
      <c r="H132" s="648">
        <f t="shared" si="18"/>
        <v>144152.98162838555</v>
      </c>
      <c r="I132" s="652">
        <f t="shared" si="18"/>
        <v>95722.155123872886</v>
      </c>
    </row>
    <row r="133" spans="2:9" hidden="1" x14ac:dyDescent="0.2">
      <c r="B133" s="653" t="s">
        <v>26</v>
      </c>
      <c r="C133" s="654" t="s">
        <v>804</v>
      </c>
      <c r="D133" s="655"/>
      <c r="E133" s="656">
        <f>(E111+F111)/2</f>
        <v>4561.2433765152291</v>
      </c>
      <c r="F133" s="656">
        <f>(F111+G111)/2</f>
        <v>5100.6373167217889</v>
      </c>
      <c r="G133" s="656">
        <f>(G111+H111)/2</f>
        <v>5296.2040215200486</v>
      </c>
      <c r="H133" s="656">
        <f>(H111+I111)/2</f>
        <v>5428.2428366508102</v>
      </c>
      <c r="I133" s="657">
        <f>(I111+J111)/2</f>
        <v>2759.2653443248282</v>
      </c>
    </row>
    <row r="134" spans="2:9" hidden="1" x14ac:dyDescent="0.2">
      <c r="B134" s="658" t="s">
        <v>854</v>
      </c>
      <c r="C134" s="641"/>
      <c r="D134" s="642"/>
      <c r="E134" s="643"/>
      <c r="F134" s="643"/>
      <c r="G134" s="643"/>
      <c r="H134" s="643"/>
      <c r="I134" s="644"/>
    </row>
    <row r="135" spans="2:9" hidden="1" outlineLevel="1" x14ac:dyDescent="0.2">
      <c r="B135" s="640" t="s">
        <v>855</v>
      </c>
      <c r="C135" s="641" t="s">
        <v>804</v>
      </c>
      <c r="D135" s="642"/>
      <c r="E135" s="643">
        <f t="shared" ref="E135:H136" si="19">(E114+F114)/2</f>
        <v>4289.7585351952894</v>
      </c>
      <c r="F135" s="643">
        <f t="shared" si="19"/>
        <v>5224.3257562940307</v>
      </c>
      <c r="G135" s="643">
        <f t="shared" si="19"/>
        <v>5237.2131192279594</v>
      </c>
      <c r="H135" s="643">
        <f t="shared" si="19"/>
        <v>4374.0328355575821</v>
      </c>
      <c r="I135" s="644"/>
    </row>
    <row r="136" spans="2:9" hidden="1" outlineLevel="1" x14ac:dyDescent="0.2">
      <c r="B136" s="640" t="s">
        <v>856</v>
      </c>
      <c r="C136" s="641" t="s">
        <v>804</v>
      </c>
      <c r="D136" s="642"/>
      <c r="E136" s="643">
        <f t="shared" si="19"/>
        <v>3314.166753902342</v>
      </c>
      <c r="F136" s="643">
        <f t="shared" si="19"/>
        <v>2876.3667539023422</v>
      </c>
      <c r="G136" s="643">
        <f t="shared" si="19"/>
        <v>1960.3667539023422</v>
      </c>
      <c r="H136" s="643">
        <f t="shared" si="19"/>
        <v>1873.3667539023422</v>
      </c>
      <c r="I136" s="644"/>
    </row>
    <row r="137" spans="2:9" ht="13.5" hidden="1" thickBot="1" x14ac:dyDescent="0.25">
      <c r="B137" s="659" t="s">
        <v>869</v>
      </c>
      <c r="C137" s="660" t="s">
        <v>804</v>
      </c>
      <c r="D137" s="661"/>
      <c r="E137" s="662">
        <f>SUM(E135:E136)</f>
        <v>7603.9252890976313</v>
      </c>
      <c r="F137" s="662">
        <f t="shared" ref="F137:H137" si="20">SUM(F135:F136)</f>
        <v>8100.6925101963734</v>
      </c>
      <c r="G137" s="662">
        <f t="shared" si="20"/>
        <v>7197.5798731303021</v>
      </c>
      <c r="H137" s="662">
        <f t="shared" si="20"/>
        <v>6247.3995894599248</v>
      </c>
      <c r="I137" s="663"/>
    </row>
    <row r="138" spans="2:9" ht="13.5" hidden="1" thickBot="1" x14ac:dyDescent="0.25">
      <c r="B138" s="664" t="s">
        <v>1050</v>
      </c>
      <c r="C138" s="665" t="s">
        <v>804</v>
      </c>
      <c r="D138" s="666"/>
      <c r="E138" s="667">
        <f>E128+E132+E133+E137</f>
        <v>153430.56150969325</v>
      </c>
      <c r="F138" s="667">
        <f t="shared" ref="F138:I138" si="21">F128+F132+F133+F137</f>
        <v>157326.88081950831</v>
      </c>
      <c r="G138" s="667">
        <f t="shared" si="21"/>
        <v>179417.57095719193</v>
      </c>
      <c r="H138" s="667">
        <f t="shared" si="21"/>
        <v>223125.56391544332</v>
      </c>
      <c r="I138" s="668">
        <f t="shared" si="21"/>
        <v>101550.26816847469</v>
      </c>
    </row>
    <row r="139" spans="2:9" ht="13.5" hidden="1" thickBot="1" x14ac:dyDescent="0.25">
      <c r="B139" s="628"/>
      <c r="C139" s="627"/>
      <c r="D139" s="627"/>
      <c r="E139" s="629"/>
      <c r="F139" s="629"/>
      <c r="G139" s="629"/>
      <c r="H139" s="629"/>
      <c r="I139" s="629"/>
    </row>
    <row r="140" spans="2:9" hidden="1" x14ac:dyDescent="0.2">
      <c r="B140" s="783" t="s">
        <v>870</v>
      </c>
      <c r="C140" s="784"/>
      <c r="D140" s="784"/>
      <c r="E140" s="560" t="str">
        <f>+E124</f>
        <v>jul17-jun18</v>
      </c>
      <c r="F140" s="560" t="str">
        <f t="shared" ref="F140:H140" si="22">+F124</f>
        <v>jul18-jun19</v>
      </c>
      <c r="G140" s="560" t="str">
        <f t="shared" si="22"/>
        <v>jul19-jun20</v>
      </c>
      <c r="H140" s="561" t="str">
        <f t="shared" si="22"/>
        <v>jul20-jun21</v>
      </c>
      <c r="I140" s="629"/>
    </row>
    <row r="141" spans="2:9" ht="13.5" hidden="1" thickBot="1" x14ac:dyDescent="0.25">
      <c r="B141" s="779"/>
      <c r="C141" s="780"/>
      <c r="D141" s="780"/>
      <c r="E141" s="781">
        <f>1/(1+RRT)^0.5</f>
        <v>0.96332140106614561</v>
      </c>
      <c r="F141" s="781">
        <f>E141/(1+RRT)</f>
        <v>0.8939508176189177</v>
      </c>
      <c r="G141" s="781">
        <f>F141/(1+RRT)</f>
        <v>0.82957574018088143</v>
      </c>
      <c r="H141" s="782">
        <f>G141/(1+RRT)</f>
        <v>0.76983643298151583</v>
      </c>
      <c r="I141" s="629"/>
    </row>
    <row r="142" spans="2:9" ht="13.5" hidden="1" thickBot="1" x14ac:dyDescent="0.25">
      <c r="B142" s="628"/>
      <c r="C142" s="627"/>
      <c r="D142" s="627"/>
      <c r="E142" s="629"/>
      <c r="F142" s="669"/>
      <c r="G142" s="629"/>
      <c r="H142" s="629"/>
      <c r="I142" s="629"/>
    </row>
    <row r="143" spans="2:9" hidden="1" x14ac:dyDescent="0.2">
      <c r="B143" s="559" t="s">
        <v>871</v>
      </c>
      <c r="C143" s="560"/>
      <c r="D143" s="560" t="s">
        <v>858</v>
      </c>
      <c r="E143" s="560" t="str">
        <f>E80</f>
        <v>jul17-jun18</v>
      </c>
      <c r="F143" s="560" t="str">
        <f>F80</f>
        <v>jul18-jun19</v>
      </c>
      <c r="G143" s="560" t="str">
        <f>G80</f>
        <v>jul19-jun20</v>
      </c>
      <c r="H143" s="561" t="str">
        <f>H80</f>
        <v>jul20-jun21</v>
      </c>
      <c r="I143" s="786"/>
    </row>
    <row r="144" spans="2:9" hidden="1" x14ac:dyDescent="0.2">
      <c r="B144" s="635" t="s">
        <v>863</v>
      </c>
      <c r="C144" s="636"/>
      <c r="D144" s="637"/>
      <c r="E144" s="638"/>
      <c r="F144" s="638"/>
      <c r="G144" s="638"/>
      <c r="H144" s="639"/>
      <c r="I144" s="710"/>
    </row>
    <row r="145" spans="2:22" hidden="1" outlineLevel="1" x14ac:dyDescent="0.2">
      <c r="B145" s="640" t="s">
        <v>859</v>
      </c>
      <c r="C145" s="641" t="s">
        <v>804</v>
      </c>
      <c r="D145" s="643">
        <f>SUM(E145:H145)</f>
        <v>223848.07885346035</v>
      </c>
      <c r="E145" s="643">
        <f>E126*E$141</f>
        <v>62382.798225854429</v>
      </c>
      <c r="F145" s="643">
        <f t="shared" ref="F145:H145" si="23">F126*F$141</f>
        <v>57890.495755247248</v>
      </c>
      <c r="G145" s="643">
        <f t="shared" si="23"/>
        <v>53721.692423206441</v>
      </c>
      <c r="H145" s="644">
        <f t="shared" si="23"/>
        <v>49853.092449152231</v>
      </c>
      <c r="I145" s="710"/>
    </row>
    <row r="146" spans="2:22" hidden="1" outlineLevel="1" x14ac:dyDescent="0.2">
      <c r="B146" s="640" t="s">
        <v>864</v>
      </c>
      <c r="C146" s="641" t="s">
        <v>804</v>
      </c>
      <c r="D146" s="643">
        <f t="shared" ref="D146:D157" si="24">SUM(E146:H146)</f>
        <v>4017.3630142778165</v>
      </c>
      <c r="E146" s="643">
        <f t="shared" ref="E146:H146" si="25">E127*E$141</f>
        <v>0</v>
      </c>
      <c r="F146" s="643">
        <f t="shared" si="25"/>
        <v>696.68576550101704</v>
      </c>
      <c r="G146" s="643">
        <f t="shared" si="25"/>
        <v>1366.1335648059687</v>
      </c>
      <c r="H146" s="644">
        <f t="shared" si="25"/>
        <v>1954.5436839708307</v>
      </c>
      <c r="I146" s="710"/>
    </row>
    <row r="147" spans="2:22" hidden="1" x14ac:dyDescent="0.2">
      <c r="B147" s="645" t="s">
        <v>865</v>
      </c>
      <c r="C147" s="646" t="s">
        <v>804</v>
      </c>
      <c r="D147" s="648">
        <f t="shared" si="24"/>
        <v>227865.44186773815</v>
      </c>
      <c r="E147" s="648">
        <f>E145+E146</f>
        <v>62382.798225854429</v>
      </c>
      <c r="F147" s="648">
        <f t="shared" ref="F147:H147" si="26">F145+F146</f>
        <v>58587.181520748265</v>
      </c>
      <c r="G147" s="648">
        <f t="shared" si="26"/>
        <v>55087.82598801241</v>
      </c>
      <c r="H147" s="649">
        <f t="shared" si="26"/>
        <v>51807.636133123058</v>
      </c>
      <c r="I147" s="714"/>
    </row>
    <row r="148" spans="2:22" hidden="1" x14ac:dyDescent="0.2">
      <c r="B148" s="650" t="s">
        <v>866</v>
      </c>
      <c r="C148" s="641"/>
      <c r="D148" s="643">
        <f t="shared" si="24"/>
        <v>0</v>
      </c>
      <c r="E148" s="643"/>
      <c r="F148" s="643"/>
      <c r="G148" s="643"/>
      <c r="H148" s="644"/>
      <c r="I148" s="710"/>
    </row>
    <row r="149" spans="2:22" hidden="1" outlineLevel="1" x14ac:dyDescent="0.2">
      <c r="B149" s="640" t="s">
        <v>860</v>
      </c>
      <c r="C149" s="641" t="s">
        <v>804</v>
      </c>
      <c r="D149" s="643">
        <f t="shared" si="24"/>
        <v>264461.79969887226</v>
      </c>
      <c r="E149" s="643">
        <f t="shared" ref="E149:H150" si="27">E130*E$141</f>
        <v>73701.177930864549</v>
      </c>
      <c r="F149" s="643">
        <f t="shared" si="27"/>
        <v>68393.817678976018</v>
      </c>
      <c r="G149" s="643">
        <f t="shared" si="27"/>
        <v>63468.650407364548</v>
      </c>
      <c r="H149" s="644">
        <f t="shared" si="27"/>
        <v>58898.153681667172</v>
      </c>
      <c r="I149" s="710"/>
    </row>
    <row r="150" spans="2:22" hidden="1" outlineLevel="1" x14ac:dyDescent="0.2">
      <c r="B150" s="640" t="s">
        <v>867</v>
      </c>
      <c r="C150" s="641" t="s">
        <v>804</v>
      </c>
      <c r="D150" s="643">
        <f t="shared" si="24"/>
        <v>73855.666259484628</v>
      </c>
      <c r="E150" s="643">
        <f t="shared" si="27"/>
        <v>0</v>
      </c>
      <c r="F150" s="643">
        <f t="shared" si="27"/>
        <v>1860.1549498786922</v>
      </c>
      <c r="G150" s="643">
        <f t="shared" si="27"/>
        <v>19919.447810826816</v>
      </c>
      <c r="H150" s="644">
        <f t="shared" si="27"/>
        <v>52076.063498779127</v>
      </c>
      <c r="I150" s="710"/>
    </row>
    <row r="151" spans="2:22" hidden="1" x14ac:dyDescent="0.2">
      <c r="B151" s="645" t="s">
        <v>868</v>
      </c>
      <c r="C151" s="646" t="s">
        <v>804</v>
      </c>
      <c r="D151" s="648">
        <f t="shared" si="24"/>
        <v>338317.46595835692</v>
      </c>
      <c r="E151" s="648">
        <f>E149+E150</f>
        <v>73701.177930864549</v>
      </c>
      <c r="F151" s="648">
        <f t="shared" ref="F151:H151" si="28">F149+F150</f>
        <v>70253.97262885471</v>
      </c>
      <c r="G151" s="648">
        <f t="shared" si="28"/>
        <v>83388.098218191357</v>
      </c>
      <c r="H151" s="649">
        <f t="shared" si="28"/>
        <v>110974.2171804463</v>
      </c>
      <c r="I151" s="710"/>
    </row>
    <row r="152" spans="2:22" hidden="1" x14ac:dyDescent="0.2">
      <c r="B152" s="653" t="s">
        <v>26</v>
      </c>
      <c r="C152" s="654" t="s">
        <v>804</v>
      </c>
      <c r="D152" s="656">
        <f t="shared" si="24"/>
        <v>17526.12373375551</v>
      </c>
      <c r="E152" s="656">
        <f t="shared" ref="E152:H152" si="29">E133*E$141</f>
        <v>4393.9433600683269</v>
      </c>
      <c r="F152" s="656">
        <f t="shared" si="29"/>
        <v>4559.7188996610057</v>
      </c>
      <c r="G152" s="656">
        <f t="shared" si="29"/>
        <v>4393.6023713014556</v>
      </c>
      <c r="H152" s="657">
        <f t="shared" si="29"/>
        <v>4178.8591027247248</v>
      </c>
      <c r="I152" s="714"/>
    </row>
    <row r="153" spans="2:22" hidden="1" x14ac:dyDescent="0.2">
      <c r="B153" s="658" t="s">
        <v>854</v>
      </c>
      <c r="C153" s="641"/>
      <c r="D153" s="643">
        <f t="shared" si="24"/>
        <v>0</v>
      </c>
      <c r="E153" s="643"/>
      <c r="F153" s="643"/>
      <c r="G153" s="643"/>
      <c r="H153" s="644"/>
      <c r="I153" s="710"/>
    </row>
    <row r="154" spans="2:22" hidden="1" outlineLevel="1" x14ac:dyDescent="0.2">
      <c r="B154" s="640" t="s">
        <v>855</v>
      </c>
      <c r="C154" s="641" t="s">
        <v>804</v>
      </c>
      <c r="D154" s="643">
        <f t="shared" si="24"/>
        <v>16514.661269444634</v>
      </c>
      <c r="E154" s="643">
        <f t="shared" ref="E154:H155" si="30">E135*E$141</f>
        <v>4132.4162023597828</v>
      </c>
      <c r="F154" s="643">
        <f t="shared" si="30"/>
        <v>4670.2902813466189</v>
      </c>
      <c r="G154" s="643">
        <f t="shared" si="30"/>
        <v>4344.6649498685574</v>
      </c>
      <c r="H154" s="644">
        <f t="shared" si="30"/>
        <v>3367.2898358696743</v>
      </c>
      <c r="I154" s="710"/>
    </row>
    <row r="155" spans="2:22" hidden="1" outlineLevel="1" x14ac:dyDescent="0.2">
      <c r="B155" s="640" t="s">
        <v>856</v>
      </c>
      <c r="C155" s="641" t="s">
        <v>804</v>
      </c>
      <c r="D155" s="643">
        <f t="shared" si="24"/>
        <v>8832.3968525437831</v>
      </c>
      <c r="E155" s="643">
        <f t="shared" si="30"/>
        <v>3192.6077607360439</v>
      </c>
      <c r="F155" s="643">
        <f t="shared" si="30"/>
        <v>2571.3304114228713</v>
      </c>
      <c r="G155" s="643">
        <f t="shared" si="30"/>
        <v>1626.2727008945274</v>
      </c>
      <c r="H155" s="644">
        <f t="shared" si="30"/>
        <v>1442.1859794903403</v>
      </c>
      <c r="I155" s="710"/>
    </row>
    <row r="156" spans="2:22" ht="13.5" hidden="1" thickBot="1" x14ac:dyDescent="0.25">
      <c r="B156" s="659" t="s">
        <v>869</v>
      </c>
      <c r="C156" s="660" t="s">
        <v>804</v>
      </c>
      <c r="D156" s="662">
        <f t="shared" si="24"/>
        <v>25347.058121988419</v>
      </c>
      <c r="E156" s="662">
        <f>SUM(E154:E155)</f>
        <v>7325.0239630958267</v>
      </c>
      <c r="F156" s="662">
        <f t="shared" ref="F156:H156" si="31">SUM(F154:F155)</f>
        <v>7241.6206927694902</v>
      </c>
      <c r="G156" s="662">
        <f t="shared" si="31"/>
        <v>5970.937650763085</v>
      </c>
      <c r="H156" s="785">
        <f t="shared" si="31"/>
        <v>4809.4758153600142</v>
      </c>
      <c r="I156" s="710"/>
    </row>
    <row r="157" spans="2:22" ht="13.5" hidden="1" thickBot="1" x14ac:dyDescent="0.25">
      <c r="B157" s="664" t="s">
        <v>1050</v>
      </c>
      <c r="C157" s="665" t="s">
        <v>804</v>
      </c>
      <c r="D157" s="667">
        <f t="shared" si="24"/>
        <v>609056.0896818391</v>
      </c>
      <c r="E157" s="667">
        <f>E147+E151+E152+E156</f>
        <v>147802.94347988314</v>
      </c>
      <c r="F157" s="667">
        <f t="shared" ref="F157:H157" si="32">F147+F151+F152+F156</f>
        <v>140642.49374203349</v>
      </c>
      <c r="G157" s="667">
        <f t="shared" si="32"/>
        <v>148840.46422826831</v>
      </c>
      <c r="H157" s="668">
        <f t="shared" si="32"/>
        <v>171770.18823165412</v>
      </c>
      <c r="I157" s="710"/>
    </row>
    <row r="158" spans="2:22" ht="13.5" hidden="1" thickBot="1" x14ac:dyDescent="0.25">
      <c r="B158" s="670"/>
      <c r="C158" s="671"/>
      <c r="D158" s="670"/>
      <c r="E158" s="670"/>
      <c r="F158" s="670"/>
      <c r="G158" s="670"/>
      <c r="H158" s="670"/>
      <c r="I158" s="670"/>
    </row>
    <row r="159" spans="2:22" ht="39" hidden="1" thickBot="1" x14ac:dyDescent="0.25">
      <c r="B159" s="793"/>
      <c r="C159" s="793"/>
      <c r="D159" s="793" t="s">
        <v>1056</v>
      </c>
      <c r="E159" s="794" t="s">
        <v>1058</v>
      </c>
      <c r="F159" s="795" t="s">
        <v>1057</v>
      </c>
      <c r="L159" s="673"/>
      <c r="M159" s="673"/>
      <c r="N159" s="673"/>
      <c r="O159" s="594"/>
      <c r="P159" s="594"/>
      <c r="Q159" s="594"/>
      <c r="R159" s="594"/>
      <c r="S159" s="594"/>
      <c r="T159" s="594"/>
      <c r="U159" s="594"/>
      <c r="V159" s="594"/>
    </row>
    <row r="160" spans="2:22" hidden="1" x14ac:dyDescent="0.2">
      <c r="B160" s="788" t="s">
        <v>1053</v>
      </c>
      <c r="C160" s="946"/>
      <c r="D160" s="921">
        <f>+'IMP RevTar_2013_2017'!D53</f>
        <v>205159.74981340076</v>
      </c>
      <c r="E160" s="643">
        <f>+D142</f>
        <v>0</v>
      </c>
      <c r="F160" s="790">
        <f>+D142/D160-1</f>
        <v>-1</v>
      </c>
      <c r="G160" s="673"/>
      <c r="H160" s="673"/>
      <c r="I160" s="673"/>
      <c r="J160" s="673"/>
      <c r="K160" s="673"/>
      <c r="L160" s="673"/>
      <c r="M160" s="673"/>
      <c r="N160" s="673"/>
      <c r="O160" s="594"/>
      <c r="P160" s="594"/>
      <c r="Q160" s="594"/>
      <c r="R160" s="594"/>
      <c r="S160" s="594"/>
      <c r="T160" s="594"/>
      <c r="U160" s="594"/>
      <c r="V160" s="594"/>
    </row>
    <row r="161" spans="2:22" hidden="1" x14ac:dyDescent="0.2">
      <c r="B161" s="787" t="s">
        <v>1054</v>
      </c>
      <c r="C161" s="947"/>
      <c r="D161" s="921">
        <f>+'IMP RevTar_2013_2017'!D57</f>
        <v>14985.132639654974</v>
      </c>
      <c r="E161" s="643">
        <f>+D146</f>
        <v>4017.3630142778165</v>
      </c>
      <c r="F161" s="790">
        <f>+D146/D161-1</f>
        <v>-0.73191007975153199</v>
      </c>
      <c r="G161" s="681"/>
      <c r="H161" s="681"/>
      <c r="I161" s="681"/>
      <c r="J161" s="681"/>
      <c r="K161" s="681"/>
      <c r="L161" s="673"/>
      <c r="M161" s="673"/>
      <c r="N161" s="673"/>
      <c r="O161" s="594"/>
      <c r="P161" s="594"/>
      <c r="Q161" s="594"/>
      <c r="R161" s="594"/>
      <c r="S161" s="594"/>
      <c r="T161" s="594"/>
      <c r="U161" s="594"/>
      <c r="V161" s="594"/>
    </row>
    <row r="162" spans="2:22" hidden="1" x14ac:dyDescent="0.2">
      <c r="B162" s="788" t="s">
        <v>26</v>
      </c>
      <c r="C162" s="947"/>
      <c r="D162" s="921">
        <f>+'IMP RevTar_2013_2017'!D58</f>
        <v>16135.123894473314</v>
      </c>
      <c r="E162" s="643">
        <f>+D147</f>
        <v>227865.44186773815</v>
      </c>
      <c r="F162" s="790">
        <f>+D147/D162-1</f>
        <v>13.122323656020255</v>
      </c>
      <c r="G162" s="682"/>
      <c r="H162" s="682"/>
      <c r="I162" s="682"/>
      <c r="J162" s="682"/>
      <c r="K162" s="682"/>
      <c r="L162" s="680"/>
      <c r="M162" s="680"/>
      <c r="N162" s="680"/>
      <c r="O162" s="594"/>
      <c r="P162" s="594"/>
      <c r="Q162" s="594"/>
      <c r="R162" s="594"/>
      <c r="S162" s="594"/>
      <c r="T162" s="594"/>
      <c r="U162" s="594"/>
      <c r="V162" s="594"/>
    </row>
    <row r="163" spans="2:22" ht="13.5" hidden="1" thickBot="1" x14ac:dyDescent="0.25">
      <c r="B163" s="789" t="s">
        <v>1055</v>
      </c>
      <c r="C163" s="948"/>
      <c r="D163" s="922">
        <f>+'IMP RevTar_2013_2017'!D59</f>
        <v>39377.625397864402</v>
      </c>
      <c r="E163" s="679">
        <f>+D151</f>
        <v>338317.46595835692</v>
      </c>
      <c r="F163" s="791">
        <f>+D151/D163-1</f>
        <v>7.5916167503768559</v>
      </c>
      <c r="G163" s="681"/>
      <c r="H163" s="673"/>
      <c r="I163" s="673"/>
      <c r="J163" s="673"/>
      <c r="K163" s="673"/>
    </row>
    <row r="164" spans="2:22" hidden="1" x14ac:dyDescent="0.2">
      <c r="B164" s="594"/>
      <c r="C164" s="595"/>
      <c r="D164" s="595"/>
      <c r="E164" s="681"/>
      <c r="F164" s="681"/>
      <c r="G164" s="681"/>
      <c r="H164" s="673"/>
      <c r="I164" s="673"/>
      <c r="J164" s="673"/>
      <c r="K164" s="673"/>
      <c r="L164" s="673"/>
      <c r="M164" s="673"/>
      <c r="N164" s="673"/>
      <c r="O164" s="594"/>
      <c r="P164" s="594"/>
      <c r="Q164" s="594"/>
      <c r="R164" s="594"/>
      <c r="S164" s="594"/>
      <c r="T164" s="594"/>
      <c r="U164" s="594"/>
      <c r="V164" s="594"/>
    </row>
    <row r="165" spans="2:22" ht="13.5" hidden="1" thickBot="1" x14ac:dyDescent="0.25">
      <c r="B165" s="931"/>
      <c r="C165" s="932"/>
      <c r="D165" s="932">
        <v>2013</v>
      </c>
      <c r="E165" s="932">
        <v>2014</v>
      </c>
      <c r="F165" s="932">
        <v>2015</v>
      </c>
      <c r="G165" s="932">
        <v>2016</v>
      </c>
      <c r="H165" s="932">
        <v>2017</v>
      </c>
      <c r="I165" s="932">
        <v>2018</v>
      </c>
      <c r="J165" s="932">
        <v>2019</v>
      </c>
      <c r="K165" s="932">
        <v>2020</v>
      </c>
      <c r="L165" s="949">
        <v>2021</v>
      </c>
      <c r="M165" s="681"/>
      <c r="N165" s="681"/>
      <c r="O165" s="594"/>
      <c r="P165" s="594"/>
      <c r="Q165" s="594"/>
      <c r="R165" s="594"/>
      <c r="S165" s="594"/>
      <c r="T165" s="594"/>
      <c r="U165" s="594"/>
      <c r="V165" s="594"/>
    </row>
    <row r="166" spans="2:22" ht="13.5" hidden="1" thickBot="1" x14ac:dyDescent="0.25">
      <c r="B166" s="934"/>
      <c r="C166" s="938"/>
      <c r="D166" s="938" t="str">
        <f t="shared" ref="D166:K166" si="33">"jul"&amp;D165-2000&amp;"-jun"&amp;E165-2000</f>
        <v>jul13-jun14</v>
      </c>
      <c r="E166" s="938" t="str">
        <f t="shared" si="33"/>
        <v>jul14-jun15</v>
      </c>
      <c r="F166" s="938" t="str">
        <f t="shared" si="33"/>
        <v>jul15-jun16</v>
      </c>
      <c r="G166" s="938" t="str">
        <f t="shared" si="33"/>
        <v>jul16-jun17</v>
      </c>
      <c r="H166" s="938" t="str">
        <f t="shared" si="33"/>
        <v>jul17-jun18</v>
      </c>
      <c r="I166" s="938" t="str">
        <f t="shared" si="33"/>
        <v>jul18-jun19</v>
      </c>
      <c r="J166" s="938" t="str">
        <f t="shared" si="33"/>
        <v>jul19-jun20</v>
      </c>
      <c r="K166" s="939" t="str">
        <f t="shared" si="33"/>
        <v>jul20-jun21</v>
      </c>
      <c r="L166" s="682"/>
      <c r="M166" s="682"/>
      <c r="N166" s="682"/>
      <c r="O166" s="594"/>
      <c r="P166" s="594"/>
      <c r="Q166" s="594"/>
      <c r="R166" s="594"/>
      <c r="S166" s="594"/>
      <c r="T166" s="594"/>
      <c r="U166" s="594"/>
      <c r="V166" s="594"/>
    </row>
    <row r="167" spans="2:22" hidden="1" x14ac:dyDescent="0.2">
      <c r="B167" s="774" t="s">
        <v>859</v>
      </c>
      <c r="C167" s="776"/>
      <c r="D167" s="940">
        <f>+'IMP Existente'!D166</f>
        <v>46803.674244779482</v>
      </c>
      <c r="E167" s="940">
        <f>+'IMP Existente'!E166</f>
        <v>49433.844294925722</v>
      </c>
      <c r="F167" s="940">
        <f>+'IMP Existente'!F166</f>
        <v>51533.836253773079</v>
      </c>
      <c r="G167" s="940">
        <f>+'IMP Existente'!G166</f>
        <v>57388.395019922486</v>
      </c>
      <c r="H167" s="940">
        <f>+E145</f>
        <v>62382.798225854429</v>
      </c>
      <c r="I167" s="940">
        <f>+F119</f>
        <v>68950.429772437186</v>
      </c>
      <c r="J167" s="940">
        <f>+G119</f>
        <v>68629.440603289375</v>
      </c>
      <c r="K167" s="941">
        <f>+H119</f>
        <v>60082.195220782691</v>
      </c>
      <c r="L167" s="673"/>
      <c r="M167" s="673"/>
      <c r="N167" s="673"/>
      <c r="O167" s="594"/>
      <c r="P167" s="594"/>
      <c r="Q167" s="594"/>
      <c r="R167" s="594"/>
      <c r="S167" s="594"/>
      <c r="T167" s="594"/>
      <c r="U167" s="594"/>
      <c r="V167" s="594"/>
    </row>
    <row r="168" spans="2:22" hidden="1" x14ac:dyDescent="0.2">
      <c r="B168" s="936" t="s">
        <v>860</v>
      </c>
      <c r="C168" s="588"/>
      <c r="D168" s="942">
        <f>+'IMP Existente'!D167</f>
        <v>0</v>
      </c>
      <c r="E168" s="942">
        <f>+'IMP Existente'!E167</f>
        <v>0</v>
      </c>
      <c r="F168" s="942">
        <f>+'IMP Existente'!F167</f>
        <v>0</v>
      </c>
      <c r="G168" s="942">
        <f>+'IMP Existente'!G167</f>
        <v>14985.132639654974</v>
      </c>
      <c r="H168" s="942">
        <f>+E149</f>
        <v>73701.177930864549</v>
      </c>
      <c r="I168" s="942">
        <f t="shared" ref="I168:K168" si="34">+F149</f>
        <v>68393.817678976018</v>
      </c>
      <c r="J168" s="942">
        <f t="shared" si="34"/>
        <v>63468.650407364548</v>
      </c>
      <c r="K168" s="943">
        <f t="shared" si="34"/>
        <v>58898.153681667172</v>
      </c>
      <c r="L168" s="673"/>
      <c r="M168" s="673"/>
      <c r="N168" s="673"/>
      <c r="O168" s="594"/>
      <c r="P168" s="594"/>
      <c r="Q168" s="594"/>
      <c r="R168" s="594"/>
      <c r="S168" s="594"/>
      <c r="T168" s="594"/>
      <c r="U168" s="594"/>
      <c r="V168" s="594"/>
    </row>
    <row r="169" spans="2:22" hidden="1" x14ac:dyDescent="0.2">
      <c r="B169" s="587" t="s">
        <v>26</v>
      </c>
      <c r="C169" s="588"/>
      <c r="D169" s="942">
        <f>+'IMP Existente'!D168</f>
        <v>3604.9012297143545</v>
      </c>
      <c r="E169" s="942">
        <f>+'IMP Existente'!E168</f>
        <v>4576.4353171315834</v>
      </c>
      <c r="F169" s="942">
        <f>+'IMP Existente'!F168</f>
        <v>4167.307019035673</v>
      </c>
      <c r="G169" s="942">
        <f>+'IMP Existente'!G168</f>
        <v>3786.4803285917028</v>
      </c>
      <c r="H169" s="777">
        <f>+E152</f>
        <v>4393.9433600683269</v>
      </c>
      <c r="I169" s="777">
        <f t="shared" ref="I169:K169" si="35">+F152</f>
        <v>4559.7188996610057</v>
      </c>
      <c r="J169" s="777">
        <f t="shared" si="35"/>
        <v>4393.6023713014556</v>
      </c>
      <c r="K169" s="778">
        <f t="shared" si="35"/>
        <v>4178.8591027247248</v>
      </c>
      <c r="L169" s="673"/>
      <c r="M169" s="673"/>
      <c r="N169" s="673"/>
      <c r="O169" s="594"/>
      <c r="P169" s="594"/>
      <c r="Q169" s="594"/>
      <c r="R169" s="594"/>
      <c r="S169" s="594"/>
      <c r="T169" s="594"/>
      <c r="U169" s="594"/>
      <c r="V169" s="594"/>
    </row>
    <row r="170" spans="2:22" ht="13.5" hidden="1" thickBot="1" x14ac:dyDescent="0.25">
      <c r="B170" s="591" t="s">
        <v>1059</v>
      </c>
      <c r="C170" s="592"/>
      <c r="D170" s="944">
        <f>+'IMP Existente'!D169</f>
        <v>9931.3789322943703</v>
      </c>
      <c r="E170" s="944">
        <f>+'IMP Existente'!E169</f>
        <v>11844.477979530508</v>
      </c>
      <c r="F170" s="944">
        <f>+'IMP Existente'!F169</f>
        <v>8683.7317450607316</v>
      </c>
      <c r="G170" s="944">
        <f>+'IMP Existente'!G169</f>
        <v>8918.0367409787941</v>
      </c>
      <c r="H170" s="944">
        <f>+E156</f>
        <v>7325.0239630958267</v>
      </c>
      <c r="I170" s="944">
        <f t="shared" ref="I170:K170" si="36">+F156</f>
        <v>7241.6206927694902</v>
      </c>
      <c r="J170" s="944">
        <f t="shared" si="36"/>
        <v>5970.937650763085</v>
      </c>
      <c r="K170" s="945">
        <f t="shared" si="36"/>
        <v>4809.4758153600142</v>
      </c>
      <c r="L170" s="673"/>
      <c r="M170" s="673"/>
      <c r="N170" s="673"/>
      <c r="O170" s="594"/>
      <c r="P170" s="594"/>
      <c r="Q170" s="594"/>
      <c r="R170" s="594"/>
      <c r="S170" s="594"/>
      <c r="T170" s="594"/>
      <c r="U170" s="594"/>
      <c r="V170" s="594"/>
    </row>
    <row r="171" spans="2:22" ht="13.5" hidden="1" thickBot="1" x14ac:dyDescent="0.25">
      <c r="B171" s="583"/>
      <c r="C171" s="595"/>
      <c r="D171" s="595"/>
      <c r="E171" s="673"/>
      <c r="F171" s="680"/>
      <c r="G171" s="680"/>
      <c r="H171" s="680"/>
      <c r="I171" s="680"/>
      <c r="J171" s="680"/>
      <c r="K171" s="680"/>
      <c r="L171" s="680"/>
      <c r="M171" s="680"/>
      <c r="N171" s="680"/>
      <c r="O171" s="594"/>
      <c r="P171" s="594"/>
      <c r="Q171" s="594"/>
      <c r="R171" s="594"/>
      <c r="S171" s="594"/>
      <c r="T171" s="594"/>
      <c r="U171" s="594"/>
      <c r="V171" s="594"/>
    </row>
    <row r="172" spans="2:22" ht="13.5" hidden="1" thickBot="1" x14ac:dyDescent="0.25">
      <c r="B172" s="970" t="s">
        <v>1082</v>
      </c>
      <c r="C172" s="956"/>
      <c r="D172" s="957">
        <f>+SUM(D167:D170)</f>
        <v>60339.954406788209</v>
      </c>
      <c r="E172" s="957">
        <f t="shared" ref="E172:K172" si="37">+SUM(E167:E170)</f>
        <v>65854.757591587811</v>
      </c>
      <c r="F172" s="957">
        <f t="shared" si="37"/>
        <v>64384.875017869483</v>
      </c>
      <c r="G172" s="957">
        <f t="shared" si="37"/>
        <v>85078.04472914795</v>
      </c>
      <c r="H172" s="957">
        <f t="shared" si="37"/>
        <v>147802.94347988314</v>
      </c>
      <c r="I172" s="957">
        <f t="shared" si="37"/>
        <v>149145.5870438437</v>
      </c>
      <c r="J172" s="957">
        <f t="shared" si="37"/>
        <v>142462.63103271846</v>
      </c>
      <c r="K172" s="958">
        <f t="shared" si="37"/>
        <v>127968.6838205346</v>
      </c>
      <c r="L172" s="673"/>
      <c r="M172" s="673"/>
      <c r="N172" s="673"/>
      <c r="O172" s="594"/>
      <c r="P172" s="594"/>
      <c r="Q172" s="594"/>
      <c r="R172" s="594"/>
      <c r="S172" s="594"/>
      <c r="T172" s="594"/>
      <c r="U172" s="594"/>
      <c r="V172" s="594"/>
    </row>
    <row r="173" spans="2:22" x14ac:dyDescent="0.2">
      <c r="B173" s="594"/>
      <c r="C173" s="595"/>
      <c r="D173" s="595"/>
      <c r="E173" s="673"/>
      <c r="F173" s="673"/>
      <c r="G173" s="673"/>
      <c r="H173" s="673"/>
      <c r="I173" s="673"/>
      <c r="J173" s="673"/>
      <c r="K173" s="673"/>
      <c r="L173" s="673"/>
      <c r="M173" s="673"/>
      <c r="N173" s="673"/>
      <c r="O173" s="594"/>
      <c r="P173" s="594"/>
      <c r="Q173" s="594"/>
      <c r="R173" s="594"/>
      <c r="S173" s="594"/>
      <c r="T173" s="594"/>
      <c r="U173" s="594"/>
      <c r="V173" s="594"/>
    </row>
    <row r="174" spans="2:22" x14ac:dyDescent="0.2">
      <c r="B174" s="594"/>
      <c r="C174" s="595"/>
      <c r="D174" s="595"/>
      <c r="E174" s="673"/>
      <c r="F174" s="673"/>
      <c r="G174" s="673"/>
      <c r="H174" s="673"/>
      <c r="I174" s="673"/>
      <c r="J174" s="673"/>
      <c r="K174" s="673"/>
      <c r="L174" s="673"/>
      <c r="M174" s="673"/>
      <c r="N174" s="673"/>
      <c r="O174" s="594"/>
      <c r="P174" s="594"/>
      <c r="Q174" s="594"/>
      <c r="R174" s="594"/>
      <c r="S174" s="594"/>
      <c r="T174" s="594"/>
      <c r="U174" s="594"/>
      <c r="V174" s="594"/>
    </row>
    <row r="175" spans="2:22" x14ac:dyDescent="0.2">
      <c r="B175" s="594"/>
      <c r="C175" s="595"/>
      <c r="D175" s="595"/>
      <c r="E175" s="673"/>
      <c r="F175" s="673"/>
      <c r="G175" s="673"/>
      <c r="H175" s="673"/>
      <c r="I175" s="673"/>
      <c r="J175" s="673"/>
      <c r="K175" s="673"/>
      <c r="L175" s="673"/>
      <c r="M175" s="673"/>
      <c r="N175" s="673"/>
      <c r="O175" s="594"/>
      <c r="P175" s="594"/>
      <c r="Q175" s="594"/>
      <c r="R175" s="594"/>
      <c r="S175" s="594"/>
      <c r="T175" s="594"/>
      <c r="U175" s="594"/>
      <c r="V175" s="594"/>
    </row>
    <row r="176" spans="2:22" x14ac:dyDescent="0.2">
      <c r="B176" s="594"/>
      <c r="C176" s="595"/>
      <c r="D176" s="595"/>
      <c r="E176" s="673"/>
      <c r="F176" s="673"/>
      <c r="G176" s="673"/>
      <c r="H176" s="673"/>
      <c r="I176" s="673"/>
      <c r="J176" s="673"/>
      <c r="K176" s="673"/>
      <c r="L176" s="673"/>
      <c r="M176" s="673"/>
      <c r="N176" s="673"/>
      <c r="O176" s="594"/>
      <c r="P176" s="594"/>
      <c r="Q176" s="594"/>
      <c r="R176" s="594"/>
      <c r="S176" s="594"/>
      <c r="T176" s="594"/>
      <c r="U176" s="594"/>
      <c r="V176" s="594"/>
    </row>
    <row r="177" spans="2:22" x14ac:dyDescent="0.2">
      <c r="B177" s="594"/>
      <c r="C177" s="595"/>
      <c r="D177" s="595"/>
      <c r="E177" s="683"/>
      <c r="F177" s="683"/>
      <c r="G177" s="683"/>
      <c r="H177" s="683"/>
      <c r="I177" s="683"/>
      <c r="J177" s="683"/>
      <c r="K177" s="683"/>
      <c r="L177" s="683"/>
      <c r="M177" s="683"/>
      <c r="N177" s="683"/>
      <c r="O177" s="594"/>
      <c r="P177" s="594"/>
      <c r="Q177" s="594"/>
      <c r="R177" s="594"/>
      <c r="S177" s="594"/>
      <c r="T177" s="594"/>
      <c r="U177" s="594"/>
      <c r="V177" s="594"/>
    </row>
    <row r="178" spans="2:22" x14ac:dyDescent="0.2">
      <c r="B178" s="583"/>
      <c r="C178" s="595"/>
      <c r="D178" s="595"/>
      <c r="E178" s="681"/>
      <c r="F178" s="681"/>
      <c r="G178" s="681"/>
      <c r="H178" s="681"/>
      <c r="I178" s="681"/>
      <c r="J178" s="681"/>
      <c r="K178" s="681"/>
      <c r="L178" s="681"/>
      <c r="M178" s="681"/>
      <c r="N178" s="681"/>
      <c r="O178" s="594"/>
      <c r="P178" s="594"/>
      <c r="Q178" s="594"/>
      <c r="R178" s="594"/>
      <c r="S178" s="594"/>
      <c r="T178" s="594"/>
      <c r="U178" s="594"/>
      <c r="V178" s="594"/>
    </row>
    <row r="179" spans="2:22" x14ac:dyDescent="0.2">
      <c r="B179" s="594"/>
      <c r="C179" s="595"/>
      <c r="D179" s="595"/>
      <c r="E179" s="673"/>
      <c r="F179" s="673"/>
      <c r="G179" s="673"/>
      <c r="H179" s="673"/>
      <c r="I179" s="673"/>
      <c r="J179" s="673"/>
      <c r="K179" s="673"/>
      <c r="L179" s="673"/>
      <c r="M179" s="673"/>
      <c r="N179" s="673"/>
      <c r="O179" s="594"/>
      <c r="P179" s="594"/>
      <c r="Q179" s="594"/>
      <c r="R179" s="594"/>
      <c r="S179" s="594"/>
      <c r="T179" s="594"/>
      <c r="U179" s="594"/>
      <c r="V179" s="594"/>
    </row>
    <row r="180" spans="2:22" x14ac:dyDescent="0.2">
      <c r="B180" s="594"/>
      <c r="C180" s="595"/>
      <c r="D180" s="595"/>
      <c r="E180" s="673"/>
      <c r="F180" s="673"/>
      <c r="G180" s="673"/>
      <c r="H180" s="673"/>
      <c r="I180" s="673"/>
      <c r="J180" s="673"/>
      <c r="K180" s="673"/>
      <c r="L180" s="673"/>
      <c r="M180" s="673"/>
      <c r="N180" s="673"/>
      <c r="O180" s="594"/>
      <c r="P180" s="594"/>
      <c r="Q180" s="594"/>
      <c r="R180" s="594"/>
      <c r="S180" s="594"/>
      <c r="T180" s="594"/>
      <c r="U180" s="594"/>
      <c r="V180" s="594"/>
    </row>
    <row r="181" spans="2:22" x14ac:dyDescent="0.2">
      <c r="B181" s="594"/>
      <c r="C181" s="595"/>
      <c r="D181" s="595"/>
      <c r="E181" s="673"/>
      <c r="F181" s="673"/>
      <c r="G181" s="673"/>
      <c r="H181" s="673"/>
      <c r="I181" s="673"/>
      <c r="J181" s="673"/>
      <c r="K181" s="673"/>
      <c r="L181" s="673"/>
      <c r="M181" s="673"/>
      <c r="N181" s="673"/>
      <c r="O181" s="594"/>
      <c r="P181" s="594"/>
      <c r="Q181" s="594"/>
      <c r="R181" s="594"/>
      <c r="S181" s="594"/>
      <c r="T181" s="594"/>
      <c r="U181" s="594"/>
      <c r="V181" s="594"/>
    </row>
    <row r="182" spans="2:22" x14ac:dyDescent="0.2">
      <c r="B182" s="594"/>
      <c r="C182" s="595"/>
      <c r="D182" s="595"/>
      <c r="E182" s="673"/>
      <c r="F182" s="673"/>
      <c r="G182" s="673"/>
      <c r="H182" s="673"/>
      <c r="I182" s="673"/>
      <c r="J182" s="673"/>
      <c r="K182" s="673"/>
      <c r="L182" s="673"/>
      <c r="M182" s="673"/>
      <c r="N182" s="673"/>
      <c r="O182" s="594"/>
      <c r="P182" s="594"/>
      <c r="Q182" s="594"/>
      <c r="R182" s="594"/>
      <c r="S182" s="594"/>
      <c r="T182" s="594"/>
      <c r="U182" s="594"/>
      <c r="V182" s="594"/>
    </row>
    <row r="183" spans="2:22" x14ac:dyDescent="0.2">
      <c r="B183" s="594"/>
      <c r="C183" s="595"/>
      <c r="D183" s="595"/>
      <c r="E183" s="673"/>
      <c r="F183" s="673"/>
      <c r="G183" s="673"/>
      <c r="H183" s="673"/>
      <c r="I183" s="594"/>
      <c r="J183" s="673"/>
      <c r="K183" s="673"/>
      <c r="L183" s="673"/>
      <c r="M183" s="673"/>
      <c r="N183" s="673"/>
      <c r="O183" s="594"/>
      <c r="P183" s="594"/>
      <c r="Q183" s="594"/>
      <c r="R183" s="594"/>
      <c r="S183" s="594"/>
      <c r="T183" s="594"/>
      <c r="U183" s="594"/>
      <c r="V183" s="594"/>
    </row>
    <row r="184" spans="2:22" x14ac:dyDescent="0.2">
      <c r="B184" s="583"/>
      <c r="C184" s="595"/>
      <c r="D184" s="595"/>
      <c r="E184" s="681"/>
      <c r="F184" s="681"/>
      <c r="G184" s="681"/>
      <c r="H184" s="681"/>
      <c r="I184" s="681"/>
      <c r="J184" s="681"/>
      <c r="K184" s="681"/>
      <c r="L184" s="681"/>
      <c r="M184" s="681"/>
      <c r="N184" s="681"/>
      <c r="O184" s="594"/>
      <c r="P184" s="594"/>
      <c r="Q184" s="594"/>
      <c r="R184" s="594"/>
      <c r="S184" s="594"/>
      <c r="T184" s="594"/>
      <c r="U184" s="594"/>
      <c r="V184" s="594"/>
    </row>
    <row r="185" spans="2:22" x14ac:dyDescent="0.2">
      <c r="B185" s="594"/>
      <c r="C185" s="595"/>
      <c r="D185" s="684"/>
      <c r="E185" s="685"/>
      <c r="F185" s="685"/>
      <c r="G185" s="685"/>
      <c r="H185" s="685"/>
      <c r="I185" s="685"/>
      <c r="J185" s="685"/>
      <c r="K185" s="685"/>
      <c r="L185" s="685"/>
      <c r="M185" s="685"/>
      <c r="N185" s="685"/>
      <c r="O185" s="594"/>
      <c r="P185" s="594"/>
      <c r="Q185" s="594"/>
      <c r="R185" s="594"/>
      <c r="S185" s="594"/>
      <c r="T185" s="594"/>
      <c r="U185" s="594"/>
      <c r="V185" s="594"/>
    </row>
    <row r="186" spans="2:22" x14ac:dyDescent="0.2">
      <c r="B186" s="594"/>
      <c r="C186" s="595"/>
      <c r="D186" s="684"/>
      <c r="E186" s="685"/>
      <c r="F186" s="685"/>
      <c r="G186" s="685"/>
      <c r="H186" s="685"/>
      <c r="I186" s="685"/>
      <c r="J186" s="685"/>
      <c r="K186" s="685"/>
      <c r="L186" s="685"/>
      <c r="M186" s="685"/>
      <c r="N186" s="685"/>
      <c r="O186" s="683"/>
      <c r="P186" s="594"/>
      <c r="Q186" s="594"/>
      <c r="R186" s="594"/>
      <c r="S186" s="594"/>
      <c r="T186" s="594"/>
      <c r="U186" s="594"/>
      <c r="V186" s="594"/>
    </row>
    <row r="187" spans="2:22" x14ac:dyDescent="0.2">
      <c r="B187" s="594"/>
      <c r="C187" s="595"/>
      <c r="D187" s="595"/>
      <c r="E187" s="683"/>
      <c r="F187" s="683"/>
      <c r="G187" s="683"/>
      <c r="H187" s="683"/>
      <c r="I187" s="683"/>
      <c r="J187" s="683"/>
      <c r="K187" s="683"/>
      <c r="L187" s="683"/>
      <c r="M187" s="683"/>
      <c r="N187" s="683"/>
      <c r="O187" s="594"/>
      <c r="P187" s="594"/>
      <c r="Q187" s="594"/>
      <c r="R187" s="594"/>
      <c r="S187" s="594"/>
      <c r="T187" s="594"/>
      <c r="U187" s="594"/>
      <c r="V187" s="594"/>
    </row>
    <row r="188" spans="2:22" x14ac:dyDescent="0.2">
      <c r="B188" s="583"/>
      <c r="C188" s="595"/>
      <c r="D188" s="594"/>
      <c r="E188" s="681"/>
      <c r="F188" s="681"/>
      <c r="G188" s="681"/>
      <c r="H188" s="681"/>
      <c r="I188" s="681"/>
      <c r="J188" s="681"/>
      <c r="K188" s="681"/>
      <c r="L188" s="681"/>
      <c r="M188" s="681"/>
      <c r="N188" s="681"/>
      <c r="O188" s="594"/>
      <c r="P188" s="594"/>
      <c r="Q188" s="594"/>
      <c r="R188" s="594"/>
      <c r="S188" s="594"/>
      <c r="T188" s="594"/>
      <c r="U188" s="594"/>
      <c r="V188" s="594"/>
    </row>
    <row r="189" spans="2:22" x14ac:dyDescent="0.2">
      <c r="B189" s="594"/>
      <c r="C189" s="594"/>
      <c r="D189" s="594"/>
      <c r="E189" s="685"/>
      <c r="F189" s="685"/>
      <c r="G189" s="685"/>
      <c r="H189" s="685"/>
      <c r="I189" s="685"/>
      <c r="J189" s="685"/>
      <c r="K189" s="685"/>
      <c r="L189" s="685"/>
      <c r="M189" s="685"/>
      <c r="N189" s="685"/>
      <c r="O189" s="594"/>
      <c r="P189" s="594"/>
      <c r="Q189" s="594"/>
      <c r="R189" s="594"/>
      <c r="S189" s="594"/>
      <c r="T189" s="594"/>
      <c r="U189" s="594"/>
      <c r="V189" s="594"/>
    </row>
    <row r="190" spans="2:22" x14ac:dyDescent="0.2">
      <c r="B190" s="594"/>
      <c r="C190" s="594"/>
      <c r="D190" s="594"/>
      <c r="E190" s="685"/>
      <c r="F190" s="685"/>
      <c r="G190" s="685"/>
      <c r="H190" s="685"/>
      <c r="I190" s="685"/>
      <c r="J190" s="685"/>
      <c r="K190" s="685"/>
      <c r="L190" s="685"/>
      <c r="M190" s="685"/>
      <c r="N190" s="685"/>
      <c r="O190" s="594"/>
      <c r="P190" s="594"/>
      <c r="Q190" s="594"/>
      <c r="R190" s="594"/>
      <c r="S190" s="594"/>
      <c r="T190" s="594"/>
      <c r="U190" s="594"/>
      <c r="V190" s="594"/>
    </row>
    <row r="191" spans="2:22" x14ac:dyDescent="0.2">
      <c r="B191" s="1015"/>
      <c r="C191" s="1015"/>
      <c r="D191" s="1015"/>
      <c r="E191" s="1015"/>
      <c r="F191" s="1015"/>
      <c r="G191" s="1015"/>
      <c r="H191" s="1015"/>
      <c r="I191" s="1015"/>
      <c r="J191" s="594"/>
      <c r="K191" s="594"/>
      <c r="L191" s="594"/>
      <c r="M191" s="594"/>
      <c r="N191" s="594"/>
      <c r="O191" s="594"/>
      <c r="P191" s="594"/>
      <c r="Q191" s="594"/>
      <c r="R191" s="594"/>
      <c r="S191" s="594"/>
      <c r="T191" s="594"/>
      <c r="U191" s="594"/>
      <c r="V191" s="594"/>
    </row>
    <row r="192" spans="2:22" x14ac:dyDescent="0.2">
      <c r="B192" s="1015"/>
      <c r="C192" s="1015"/>
      <c r="D192" s="1015"/>
      <c r="E192" s="1015"/>
      <c r="F192" s="1015"/>
      <c r="G192" s="1015"/>
      <c r="H192" s="1015"/>
      <c r="I192" s="1015"/>
      <c r="J192" s="594"/>
      <c r="K192" s="594"/>
      <c r="L192" s="594"/>
      <c r="M192" s="594"/>
      <c r="N192" s="594"/>
      <c r="O192" s="594"/>
      <c r="P192" s="594"/>
      <c r="Q192" s="594"/>
      <c r="R192" s="594"/>
      <c r="S192" s="594"/>
      <c r="T192" s="594"/>
      <c r="U192" s="594"/>
      <c r="V192" s="594"/>
    </row>
    <row r="193" spans="2:22" x14ac:dyDescent="0.2">
      <c r="B193" s="1015"/>
      <c r="C193" s="1015"/>
      <c r="D193" s="1015"/>
      <c r="E193" s="1015"/>
      <c r="F193" s="1015"/>
      <c r="G193" s="1015"/>
      <c r="H193" s="1015"/>
      <c r="I193" s="1015"/>
      <c r="J193" s="594"/>
      <c r="K193" s="594"/>
      <c r="L193" s="594"/>
      <c r="M193" s="594"/>
      <c r="N193" s="594"/>
      <c r="O193" s="594"/>
      <c r="P193" s="594"/>
      <c r="Q193" s="594"/>
      <c r="R193" s="594"/>
      <c r="S193" s="594"/>
      <c r="T193" s="594"/>
      <c r="U193" s="594"/>
      <c r="V193" s="594"/>
    </row>
    <row r="194" spans="2:22" ht="3" customHeight="1" x14ac:dyDescent="0.2">
      <c r="B194" s="583"/>
      <c r="C194" s="594"/>
      <c r="D194" s="594"/>
      <c r="E194" s="594"/>
      <c r="F194" s="594"/>
      <c r="G194" s="594"/>
      <c r="H194" s="594"/>
      <c r="I194" s="594"/>
      <c r="J194" s="594"/>
      <c r="K194" s="594"/>
      <c r="L194" s="594"/>
      <c r="M194" s="594"/>
      <c r="N194" s="594"/>
      <c r="O194" s="594"/>
      <c r="P194" s="594"/>
      <c r="Q194" s="594"/>
      <c r="R194" s="594"/>
      <c r="S194" s="594"/>
      <c r="T194" s="594"/>
      <c r="U194" s="594"/>
      <c r="V194" s="594"/>
    </row>
    <row r="195" spans="2:22" ht="3" customHeight="1" x14ac:dyDescent="0.2">
      <c r="B195" s="583"/>
      <c r="C195" s="594"/>
      <c r="D195" s="594"/>
      <c r="E195" s="594"/>
      <c r="F195" s="594"/>
      <c r="G195" s="594"/>
      <c r="H195" s="594"/>
      <c r="I195" s="594"/>
      <c r="J195" s="594"/>
      <c r="K195" s="594"/>
      <c r="L195" s="594"/>
      <c r="M195" s="594"/>
      <c r="N195" s="594"/>
      <c r="O195" s="594"/>
      <c r="P195" s="594"/>
      <c r="Q195" s="594"/>
      <c r="R195" s="594"/>
      <c r="S195" s="594"/>
      <c r="T195" s="594"/>
      <c r="U195" s="594"/>
      <c r="V195" s="594"/>
    </row>
    <row r="196" spans="2:22" x14ac:dyDescent="0.2">
      <c r="B196" s="686"/>
      <c r="C196" s="687"/>
      <c r="D196" s="687"/>
      <c r="E196" s="686"/>
      <c r="F196" s="686"/>
      <c r="G196" s="686"/>
      <c r="H196" s="686"/>
      <c r="I196" s="686"/>
      <c r="J196" s="594"/>
      <c r="K196" s="594"/>
      <c r="L196" s="594"/>
      <c r="M196" s="594"/>
      <c r="N196" s="594"/>
      <c r="O196" s="594"/>
      <c r="P196" s="594"/>
      <c r="Q196" s="594"/>
      <c r="R196" s="594"/>
      <c r="S196" s="594"/>
      <c r="T196" s="594"/>
      <c r="U196" s="594"/>
      <c r="V196" s="594"/>
    </row>
    <row r="197" spans="2:22" x14ac:dyDescent="0.2">
      <c r="B197" s="688"/>
      <c r="C197" s="687"/>
      <c r="D197" s="687"/>
      <c r="E197" s="687"/>
      <c r="F197" s="689"/>
      <c r="G197" s="689"/>
      <c r="H197" s="689"/>
      <c r="I197" s="689"/>
      <c r="J197" s="594"/>
      <c r="K197" s="594"/>
      <c r="L197" s="594"/>
      <c r="M197" s="594"/>
      <c r="N197" s="594"/>
      <c r="O197" s="594"/>
      <c r="P197" s="594"/>
      <c r="Q197" s="594"/>
      <c r="R197" s="594"/>
      <c r="S197" s="594"/>
      <c r="T197" s="594"/>
      <c r="U197" s="594"/>
      <c r="V197" s="594"/>
    </row>
    <row r="198" spans="2:22" x14ac:dyDescent="0.2">
      <c r="B198" s="687"/>
      <c r="C198" s="687"/>
      <c r="D198" s="687"/>
      <c r="E198" s="690"/>
      <c r="F198" s="690"/>
      <c r="G198" s="690"/>
      <c r="H198" s="690"/>
      <c r="I198" s="690"/>
      <c r="J198" s="596"/>
      <c r="K198" s="594"/>
      <c r="L198" s="594"/>
      <c r="M198" s="594"/>
      <c r="N198" s="594"/>
      <c r="O198" s="594"/>
      <c r="P198" s="594"/>
      <c r="Q198" s="594"/>
      <c r="R198" s="594"/>
      <c r="S198" s="594"/>
      <c r="T198" s="594"/>
      <c r="U198" s="594"/>
      <c r="V198" s="594"/>
    </row>
    <row r="199" spans="2:22" x14ac:dyDescent="0.2">
      <c r="B199" s="691"/>
      <c r="C199" s="687"/>
      <c r="D199" s="687"/>
      <c r="E199" s="690"/>
      <c r="F199" s="690"/>
      <c r="G199" s="690"/>
      <c r="H199" s="690"/>
      <c r="I199" s="690"/>
      <c r="J199" s="596"/>
      <c r="K199" s="594"/>
      <c r="L199" s="594"/>
      <c r="M199" s="594"/>
      <c r="N199" s="594"/>
      <c r="O199" s="594"/>
      <c r="P199" s="594"/>
      <c r="Q199" s="594"/>
      <c r="R199" s="594"/>
      <c r="S199" s="594"/>
    </row>
    <row r="200" spans="2:22" x14ac:dyDescent="0.2">
      <c r="B200" s="687"/>
      <c r="C200" s="687"/>
      <c r="D200" s="687"/>
      <c r="E200" s="690"/>
      <c r="F200" s="690"/>
      <c r="G200" s="690"/>
      <c r="H200" s="690"/>
      <c r="I200" s="690"/>
      <c r="J200" s="596"/>
      <c r="K200" s="594"/>
      <c r="L200" s="594"/>
      <c r="M200" s="594"/>
      <c r="N200" s="594"/>
      <c r="O200" s="594"/>
      <c r="P200" s="594"/>
      <c r="Q200" s="594"/>
      <c r="R200" s="594"/>
      <c r="S200" s="594"/>
    </row>
    <row r="201" spans="2:22" x14ac:dyDescent="0.2">
      <c r="B201" s="687"/>
      <c r="C201" s="687"/>
      <c r="D201" s="687"/>
      <c r="E201" s="690"/>
      <c r="F201" s="690"/>
      <c r="G201" s="690"/>
      <c r="H201" s="690"/>
      <c r="I201" s="690"/>
      <c r="J201" s="596"/>
      <c r="K201" s="594"/>
      <c r="L201" s="594"/>
      <c r="M201" s="594"/>
      <c r="N201" s="594"/>
      <c r="O201" s="594"/>
      <c r="P201" s="594"/>
      <c r="Q201" s="594"/>
      <c r="R201" s="594"/>
      <c r="S201" s="594"/>
    </row>
    <row r="202" spans="2:22" x14ac:dyDescent="0.2">
      <c r="B202" s="687"/>
      <c r="C202" s="687"/>
      <c r="D202" s="687"/>
      <c r="E202" s="690"/>
      <c r="F202" s="690"/>
      <c r="G202" s="690"/>
      <c r="H202" s="690"/>
      <c r="I202" s="690"/>
      <c r="J202" s="596"/>
      <c r="K202" s="594"/>
      <c r="L202" s="594"/>
      <c r="M202" s="594"/>
      <c r="N202" s="594"/>
      <c r="O202" s="594"/>
      <c r="P202" s="594"/>
      <c r="Q202" s="594"/>
      <c r="R202" s="594"/>
      <c r="S202" s="594"/>
    </row>
    <row r="203" spans="2:22" x14ac:dyDescent="0.2">
      <c r="B203" s="687"/>
      <c r="C203" s="687"/>
      <c r="D203" s="687"/>
      <c r="E203" s="690"/>
      <c r="F203" s="690"/>
      <c r="G203" s="690"/>
      <c r="H203" s="690"/>
      <c r="I203" s="690"/>
      <c r="J203" s="596"/>
      <c r="K203" s="594"/>
      <c r="L203" s="594"/>
      <c r="M203" s="594"/>
      <c r="N203" s="594"/>
      <c r="O203" s="594"/>
      <c r="P203" s="594"/>
      <c r="Q203" s="594"/>
      <c r="R203" s="594"/>
      <c r="S203" s="594"/>
    </row>
    <row r="204" spans="2:22" x14ac:dyDescent="0.2">
      <c r="B204" s="687"/>
      <c r="C204" s="687"/>
      <c r="D204" s="687"/>
      <c r="E204" s="687"/>
      <c r="F204" s="687"/>
      <c r="G204" s="687"/>
      <c r="H204" s="687"/>
      <c r="I204" s="687"/>
      <c r="J204" s="594"/>
      <c r="K204" s="594"/>
      <c r="L204" s="594"/>
      <c r="M204" s="594"/>
      <c r="N204" s="594"/>
      <c r="O204" s="594"/>
      <c r="P204" s="594"/>
      <c r="Q204" s="594"/>
      <c r="R204" s="594"/>
      <c r="S204" s="594"/>
    </row>
    <row r="205" spans="2:22" x14ac:dyDescent="0.2">
      <c r="B205" s="688"/>
      <c r="C205" s="687"/>
      <c r="D205" s="687"/>
      <c r="E205" s="686"/>
      <c r="F205" s="686"/>
      <c r="G205" s="686"/>
      <c r="H205" s="686"/>
      <c r="I205" s="686"/>
      <c r="J205" s="594"/>
      <c r="K205" s="594"/>
      <c r="L205" s="594"/>
      <c r="M205" s="594"/>
      <c r="N205" s="594"/>
      <c r="O205" s="594"/>
      <c r="P205" s="594"/>
      <c r="Q205" s="594"/>
      <c r="R205" s="594"/>
      <c r="S205" s="594"/>
    </row>
    <row r="206" spans="2:22" x14ac:dyDescent="0.2">
      <c r="B206" s="688"/>
      <c r="C206" s="687"/>
      <c r="D206" s="687"/>
      <c r="E206" s="690"/>
      <c r="F206" s="690"/>
      <c r="G206" s="690"/>
      <c r="H206" s="690"/>
      <c r="I206" s="690"/>
      <c r="J206" s="594"/>
      <c r="K206" s="594"/>
      <c r="L206" s="594"/>
      <c r="M206" s="594"/>
      <c r="N206" s="594"/>
      <c r="O206" s="594"/>
      <c r="P206" s="594"/>
      <c r="Q206" s="594"/>
      <c r="R206" s="594"/>
      <c r="S206" s="594"/>
    </row>
    <row r="207" spans="2:22" x14ac:dyDescent="0.2">
      <c r="B207" s="692"/>
      <c r="C207" s="687"/>
      <c r="D207" s="687"/>
      <c r="E207" s="690"/>
      <c r="F207" s="690"/>
      <c r="G207" s="690"/>
      <c r="H207" s="690"/>
      <c r="I207" s="690"/>
      <c r="J207" s="596"/>
      <c r="K207" s="594"/>
      <c r="L207" s="594"/>
      <c r="M207" s="594"/>
      <c r="N207" s="594"/>
      <c r="O207" s="594"/>
      <c r="P207" s="594"/>
      <c r="Q207" s="594"/>
      <c r="R207" s="594"/>
      <c r="S207" s="594"/>
    </row>
    <row r="208" spans="2:22" x14ac:dyDescent="0.2">
      <c r="B208" s="688"/>
      <c r="C208" s="687"/>
      <c r="D208" s="687"/>
      <c r="E208" s="690"/>
      <c r="F208" s="690"/>
      <c r="G208" s="690"/>
      <c r="H208" s="690"/>
      <c r="I208" s="690"/>
      <c r="J208" s="594"/>
      <c r="K208" s="594"/>
      <c r="L208" s="594"/>
      <c r="M208" s="594"/>
      <c r="N208" s="594"/>
      <c r="O208" s="594"/>
      <c r="P208" s="594"/>
      <c r="Q208" s="594"/>
      <c r="R208" s="594"/>
      <c r="S208" s="594"/>
    </row>
    <row r="209" spans="2:19" x14ac:dyDescent="0.2">
      <c r="B209" s="688"/>
      <c r="C209" s="687"/>
      <c r="D209" s="687"/>
      <c r="E209" s="690"/>
      <c r="F209" s="690"/>
      <c r="G209" s="690"/>
      <c r="H209" s="690"/>
      <c r="I209" s="690"/>
      <c r="J209" s="594"/>
      <c r="K209" s="594"/>
      <c r="L209" s="594"/>
      <c r="M209" s="594"/>
      <c r="N209" s="594"/>
      <c r="O209" s="594"/>
      <c r="P209" s="594"/>
      <c r="Q209" s="594"/>
      <c r="R209" s="594"/>
      <c r="S209" s="594"/>
    </row>
    <row r="210" spans="2:19" x14ac:dyDescent="0.2">
      <c r="B210" s="687"/>
      <c r="C210" s="687"/>
      <c r="D210" s="687"/>
      <c r="E210" s="690"/>
      <c r="F210" s="690"/>
      <c r="G210" s="690"/>
      <c r="H210" s="690"/>
      <c r="I210" s="690"/>
      <c r="J210" s="693"/>
      <c r="K210" s="594"/>
      <c r="L210" s="594"/>
      <c r="M210" s="594"/>
      <c r="N210" s="594"/>
      <c r="O210" s="594"/>
      <c r="P210" s="594"/>
      <c r="Q210" s="594"/>
      <c r="R210" s="594"/>
      <c r="S210" s="594"/>
    </row>
    <row r="211" spans="2:19" x14ac:dyDescent="0.2">
      <c r="B211" s="687"/>
      <c r="C211" s="687"/>
      <c r="D211" s="687"/>
      <c r="E211" s="690"/>
      <c r="F211" s="690"/>
      <c r="G211" s="690"/>
      <c r="H211" s="690"/>
      <c r="I211" s="690"/>
      <c r="J211" s="594"/>
      <c r="K211" s="594"/>
      <c r="L211" s="594"/>
      <c r="M211" s="594"/>
      <c r="N211" s="594"/>
      <c r="O211" s="594"/>
      <c r="P211" s="594"/>
      <c r="Q211" s="594"/>
      <c r="R211" s="594"/>
      <c r="S211" s="594"/>
    </row>
    <row r="212" spans="2:19" x14ac:dyDescent="0.2">
      <c r="B212" s="687"/>
      <c r="C212" s="687"/>
      <c r="D212" s="687"/>
      <c r="E212" s="687"/>
      <c r="F212" s="687"/>
      <c r="G212" s="687"/>
      <c r="H212" s="687"/>
      <c r="I212" s="687"/>
      <c r="J212" s="594"/>
      <c r="K212" s="594"/>
      <c r="L212" s="594"/>
      <c r="M212" s="594"/>
      <c r="N212" s="594"/>
      <c r="O212" s="594"/>
      <c r="P212" s="594"/>
      <c r="Q212" s="594"/>
      <c r="R212" s="594"/>
      <c r="S212" s="594"/>
    </row>
    <row r="213" spans="2:19" x14ac:dyDescent="0.2">
      <c r="B213" s="688"/>
      <c r="C213" s="687"/>
      <c r="D213" s="687"/>
      <c r="E213" s="694"/>
      <c r="F213" s="694"/>
      <c r="G213" s="694"/>
      <c r="H213" s="694"/>
      <c r="I213" s="694"/>
      <c r="J213" s="594"/>
      <c r="K213" s="594"/>
      <c r="L213" s="594"/>
      <c r="M213" s="695"/>
      <c r="N213" s="695"/>
      <c r="O213" s="695"/>
      <c r="P213" s="594"/>
      <c r="Q213" s="594"/>
      <c r="R213" s="594"/>
      <c r="S213" s="594"/>
    </row>
    <row r="214" spans="2:19" x14ac:dyDescent="0.2">
      <c r="B214" s="687"/>
      <c r="C214" s="687"/>
      <c r="D214" s="687"/>
      <c r="E214" s="687"/>
      <c r="F214" s="687"/>
      <c r="G214" s="687"/>
      <c r="H214" s="687"/>
      <c r="I214" s="687"/>
      <c r="J214" s="594"/>
      <c r="K214" s="583"/>
      <c r="L214" s="594"/>
      <c r="M214" s="695"/>
      <c r="N214" s="695"/>
      <c r="O214" s="695"/>
      <c r="P214" s="594"/>
      <c r="Q214" s="594"/>
      <c r="R214" s="594"/>
      <c r="S214" s="594"/>
    </row>
    <row r="215" spans="2:19" x14ac:dyDescent="0.2">
      <c r="B215" s="688"/>
      <c r="C215" s="687"/>
      <c r="D215" s="686"/>
      <c r="E215" s="687"/>
      <c r="F215" s="687"/>
      <c r="G215" s="687"/>
      <c r="H215" s="696"/>
      <c r="I215" s="696"/>
      <c r="J215" s="594"/>
      <c r="K215" s="594"/>
      <c r="L215" s="594"/>
      <c r="M215" s="697"/>
      <c r="N215" s="697"/>
      <c r="O215" s="697"/>
      <c r="P215" s="594"/>
      <c r="Q215" s="594"/>
      <c r="R215" s="594"/>
      <c r="S215" s="594"/>
    </row>
    <row r="216" spans="2:19" x14ac:dyDescent="0.2">
      <c r="B216" s="688"/>
      <c r="C216" s="687"/>
      <c r="D216" s="698"/>
      <c r="E216" s="699"/>
      <c r="F216" s="699"/>
      <c r="G216" s="699"/>
      <c r="H216" s="699"/>
      <c r="I216" s="700"/>
      <c r="J216" s="594"/>
      <c r="K216" s="594"/>
      <c r="L216" s="594"/>
      <c r="M216" s="701"/>
      <c r="N216" s="701"/>
      <c r="O216" s="701"/>
      <c r="P216" s="594"/>
      <c r="Q216" s="594"/>
      <c r="R216" s="594"/>
      <c r="S216" s="594"/>
    </row>
    <row r="217" spans="2:19" x14ac:dyDescent="0.2">
      <c r="B217" s="702"/>
      <c r="C217" s="687"/>
      <c r="D217" s="703"/>
      <c r="E217" s="704"/>
      <c r="F217" s="704"/>
      <c r="G217" s="704"/>
      <c r="H217" s="704"/>
      <c r="I217" s="700"/>
      <c r="J217" s="594"/>
      <c r="K217" s="594"/>
      <c r="L217" s="594"/>
      <c r="M217" s="701"/>
      <c r="N217" s="701"/>
      <c r="O217" s="701"/>
      <c r="P217" s="594"/>
      <c r="Q217" s="594"/>
      <c r="R217" s="594"/>
      <c r="S217" s="594"/>
    </row>
    <row r="218" spans="2:19" x14ac:dyDescent="0.2">
      <c r="B218" s="702"/>
      <c r="C218" s="687"/>
      <c r="D218" s="703"/>
      <c r="E218" s="704"/>
      <c r="F218" s="704"/>
      <c r="G218" s="704"/>
      <c r="H218" s="704"/>
      <c r="I218" s="700"/>
      <c r="J218" s="594"/>
      <c r="K218" s="705"/>
      <c r="L218" s="594"/>
      <c r="M218" s="701"/>
      <c r="N218" s="701"/>
      <c r="O218" s="701"/>
      <c r="P218" s="594"/>
      <c r="Q218" s="594"/>
      <c r="R218" s="594"/>
      <c r="S218" s="594"/>
    </row>
    <row r="219" spans="2:19" ht="13.5" customHeight="1" x14ac:dyDescent="0.2">
      <c r="B219" s="692"/>
      <c r="C219" s="687"/>
      <c r="D219" s="706"/>
      <c r="E219" s="699"/>
      <c r="F219" s="699"/>
      <c r="G219" s="699"/>
      <c r="H219" s="699"/>
      <c r="I219" s="700"/>
      <c r="J219" s="594"/>
      <c r="K219" s="594"/>
      <c r="L219" s="594"/>
      <c r="M219" s="701"/>
      <c r="N219" s="701"/>
      <c r="O219" s="701"/>
      <c r="P219" s="594"/>
      <c r="Q219" s="594"/>
      <c r="R219" s="594"/>
      <c r="S219" s="594"/>
    </row>
    <row r="220" spans="2:19" x14ac:dyDescent="0.2">
      <c r="B220" s="702"/>
      <c r="C220" s="687"/>
      <c r="D220" s="706"/>
      <c r="E220" s="699"/>
      <c r="F220" s="699"/>
      <c r="G220" s="699"/>
      <c r="H220" s="699"/>
      <c r="I220" s="700"/>
      <c r="J220" s="594"/>
      <c r="K220" s="705"/>
      <c r="L220" s="594"/>
      <c r="M220" s="701"/>
      <c r="N220" s="701"/>
      <c r="O220" s="701"/>
      <c r="P220" s="594"/>
      <c r="Q220" s="594"/>
      <c r="R220" s="594"/>
      <c r="S220" s="594"/>
    </row>
    <row r="221" spans="2:19" x14ac:dyDescent="0.2">
      <c r="B221" s="688"/>
      <c r="C221" s="687"/>
      <c r="D221" s="706"/>
      <c r="E221" s="700"/>
      <c r="F221" s="700"/>
      <c r="G221" s="700"/>
      <c r="H221" s="700"/>
      <c r="I221" s="700"/>
      <c r="J221" s="594"/>
      <c r="K221" s="583"/>
      <c r="L221" s="594"/>
      <c r="M221" s="707"/>
      <c r="N221" s="707"/>
      <c r="O221" s="707"/>
      <c r="P221" s="594"/>
      <c r="Q221" s="594"/>
      <c r="R221" s="594"/>
      <c r="S221" s="594"/>
    </row>
    <row r="222" spans="2:19" x14ac:dyDescent="0.2">
      <c r="B222" s="688"/>
      <c r="C222" s="687"/>
      <c r="D222" s="706"/>
      <c r="E222" s="700"/>
      <c r="F222" s="700"/>
      <c r="G222" s="700"/>
      <c r="H222" s="700"/>
      <c r="I222" s="700"/>
      <c r="J222" s="594"/>
      <c r="K222" s="594"/>
      <c r="L222" s="594"/>
      <c r="M222" s="701"/>
      <c r="N222" s="701"/>
      <c r="O222" s="701"/>
      <c r="P222" s="594"/>
      <c r="Q222" s="594"/>
      <c r="R222" s="594"/>
      <c r="S222" s="594"/>
    </row>
    <row r="223" spans="2:19" x14ac:dyDescent="0.2">
      <c r="B223" s="702"/>
      <c r="C223" s="687"/>
      <c r="D223" s="690"/>
      <c r="E223" s="700"/>
      <c r="F223" s="700"/>
      <c r="G223" s="700"/>
      <c r="H223" s="700"/>
      <c r="I223" s="700"/>
      <c r="J223" s="594"/>
      <c r="K223" s="583"/>
      <c r="L223" s="594"/>
      <c r="M223" s="708"/>
      <c r="N223" s="708"/>
      <c r="O223" s="708"/>
      <c r="P223" s="594"/>
      <c r="Q223" s="594"/>
      <c r="R223" s="594"/>
      <c r="S223" s="594"/>
    </row>
    <row r="224" spans="2:19" x14ac:dyDescent="0.2">
      <c r="B224" s="702"/>
      <c r="C224" s="687"/>
      <c r="D224" s="690"/>
      <c r="E224" s="700"/>
      <c r="F224" s="700"/>
      <c r="G224" s="700"/>
      <c r="H224" s="700"/>
      <c r="I224" s="700"/>
      <c r="J224" s="594"/>
      <c r="K224" s="594"/>
      <c r="L224" s="594"/>
      <c r="M224" s="594"/>
      <c r="N224" s="594"/>
      <c r="O224" s="594"/>
      <c r="P224" s="594"/>
      <c r="Q224" s="594"/>
      <c r="R224" s="594"/>
      <c r="S224" s="594"/>
    </row>
    <row r="225" spans="1:19" x14ac:dyDescent="0.2">
      <c r="B225" s="688"/>
      <c r="C225" s="687"/>
      <c r="D225" s="706"/>
      <c r="E225" s="709"/>
      <c r="F225" s="709"/>
      <c r="G225" s="709"/>
      <c r="H225" s="709"/>
      <c r="I225" s="709"/>
      <c r="J225" s="594"/>
      <c r="K225" s="710"/>
      <c r="L225" s="594"/>
      <c r="M225" s="711"/>
      <c r="N225" s="711"/>
      <c r="O225" s="711"/>
      <c r="P225" s="594"/>
      <c r="Q225" s="594"/>
      <c r="R225" s="594"/>
      <c r="S225" s="594"/>
    </row>
    <row r="226" spans="1:19" x14ac:dyDescent="0.2">
      <c r="B226" s="583"/>
      <c r="C226" s="594"/>
      <c r="D226" s="710"/>
      <c r="E226" s="712"/>
      <c r="F226" s="594"/>
      <c r="G226" s="712"/>
      <c r="H226" s="712"/>
      <c r="I226" s="712"/>
      <c r="J226" s="594"/>
      <c r="K226" s="583"/>
      <c r="L226" s="594"/>
      <c r="M226" s="594"/>
      <c r="N226" s="594"/>
      <c r="O226" s="594"/>
      <c r="P226" s="594"/>
      <c r="Q226" s="594"/>
      <c r="R226" s="594"/>
      <c r="S226" s="594"/>
    </row>
    <row r="227" spans="1:19" x14ac:dyDescent="0.2">
      <c r="B227" s="594"/>
      <c r="C227" s="594"/>
      <c r="D227" s="594"/>
      <c r="E227" s="594"/>
      <c r="F227" s="594"/>
      <c r="G227" s="594"/>
      <c r="H227" s="594"/>
      <c r="I227" s="710"/>
      <c r="J227" s="594"/>
      <c r="K227" s="713"/>
      <c r="L227" s="594"/>
      <c r="M227" s="594"/>
      <c r="N227" s="594"/>
      <c r="O227" s="594"/>
      <c r="P227" s="594"/>
      <c r="Q227" s="594"/>
      <c r="R227" s="594"/>
      <c r="S227" s="594"/>
    </row>
    <row r="228" spans="1:19" x14ac:dyDescent="0.2">
      <c r="B228" s="594"/>
      <c r="C228" s="594"/>
      <c r="D228" s="594"/>
      <c r="E228" s="710"/>
      <c r="F228" s="710"/>
      <c r="G228" s="710"/>
      <c r="H228" s="710"/>
      <c r="I228" s="710"/>
      <c r="J228" s="594"/>
      <c r="K228" s="713"/>
      <c r="L228" s="594"/>
      <c r="M228" s="594"/>
      <c r="N228" s="594"/>
      <c r="O228" s="594"/>
      <c r="P228" s="594"/>
      <c r="Q228" s="594"/>
      <c r="R228" s="594"/>
      <c r="S228" s="594"/>
    </row>
    <row r="229" spans="1:19" x14ac:dyDescent="0.2">
      <c r="B229" s="594"/>
      <c r="C229" s="594"/>
      <c r="D229" s="682"/>
      <c r="E229" s="583"/>
      <c r="F229" s="594"/>
      <c r="G229" s="594"/>
      <c r="H229" s="594"/>
      <c r="I229" s="594"/>
      <c r="J229" s="594"/>
      <c r="K229" s="594"/>
      <c r="L229" s="594"/>
      <c r="M229" s="594"/>
      <c r="N229" s="594"/>
      <c r="O229" s="594"/>
      <c r="P229" s="594"/>
      <c r="Q229" s="594"/>
      <c r="R229" s="594"/>
      <c r="S229" s="594"/>
    </row>
    <row r="230" spans="1:19" x14ac:dyDescent="0.2">
      <c r="B230" s="594"/>
      <c r="C230" s="594"/>
      <c r="D230" s="594"/>
      <c r="E230" s="594"/>
      <c r="F230" s="714"/>
      <c r="G230" s="714"/>
      <c r="H230" s="714"/>
      <c r="I230" s="714"/>
      <c r="J230" s="594"/>
      <c r="K230" s="594"/>
      <c r="L230" s="594"/>
      <c r="M230" s="594"/>
      <c r="N230" s="594"/>
      <c r="O230" s="594"/>
      <c r="P230" s="594"/>
      <c r="Q230" s="594"/>
      <c r="R230" s="594"/>
      <c r="S230" s="594"/>
    </row>
    <row r="231" spans="1:19" ht="21" customHeight="1" x14ac:dyDescent="0.2">
      <c r="B231" s="1016"/>
      <c r="C231" s="1017"/>
      <c r="D231" s="594"/>
      <c r="E231" s="594"/>
      <c r="F231" s="715"/>
      <c r="G231" s="715"/>
      <c r="H231" s="715"/>
      <c r="I231" s="715"/>
      <c r="J231" s="594"/>
      <c r="K231" s="594"/>
      <c r="L231" s="594"/>
      <c r="M231" s="1015"/>
      <c r="N231" s="1015"/>
      <c r="O231" s="1015"/>
      <c r="P231" s="594"/>
      <c r="Q231" s="594"/>
      <c r="R231" s="594"/>
      <c r="S231" s="594"/>
    </row>
    <row r="232" spans="1:19" ht="18.75" customHeight="1" x14ac:dyDescent="0.2">
      <c r="B232" s="716"/>
      <c r="C232" s="717"/>
      <c r="D232" s="715"/>
      <c r="E232" s="715"/>
      <c r="F232" s="715"/>
      <c r="G232" s="715"/>
      <c r="H232" s="594"/>
      <c r="I232" s="594"/>
      <c r="J232" s="594"/>
      <c r="K232" s="594"/>
      <c r="L232" s="594"/>
      <c r="M232" s="713"/>
      <c r="N232" s="713"/>
      <c r="O232" s="713"/>
      <c r="P232" s="594"/>
      <c r="Q232" s="594"/>
      <c r="R232" s="594"/>
      <c r="S232" s="594"/>
    </row>
    <row r="233" spans="1:19" ht="18.75" customHeight="1" x14ac:dyDescent="0.2">
      <c r="B233" s="716"/>
      <c r="C233" s="717"/>
      <c r="D233" s="715"/>
      <c r="E233" s="715"/>
      <c r="F233" s="715"/>
      <c r="G233" s="718"/>
      <c r="H233" s="583"/>
      <c r="I233" s="718"/>
      <c r="J233" s="583"/>
      <c r="K233" s="718"/>
      <c r="L233" s="594"/>
      <c r="M233" s="713"/>
      <c r="N233" s="713"/>
      <c r="O233" s="713"/>
      <c r="P233" s="594"/>
      <c r="Q233" s="594"/>
      <c r="R233" s="594"/>
      <c r="S233" s="594"/>
    </row>
    <row r="234" spans="1:19" ht="21" customHeight="1" x14ac:dyDescent="0.2">
      <c r="B234" s="686"/>
      <c r="C234" s="719"/>
      <c r="D234" s="715"/>
      <c r="E234" s="715"/>
      <c r="F234" s="583"/>
      <c r="G234" s="710"/>
      <c r="H234" s="710"/>
      <c r="I234" s="710"/>
      <c r="J234" s="710"/>
      <c r="K234" s="710"/>
      <c r="L234" s="594"/>
      <c r="M234" s="713"/>
      <c r="N234" s="713"/>
      <c r="O234" s="713"/>
      <c r="P234" s="594"/>
      <c r="Q234" s="594"/>
      <c r="R234" s="594"/>
      <c r="S234" s="594"/>
    </row>
    <row r="235" spans="1:19" x14ac:dyDescent="0.2">
      <c r="B235" s="594"/>
      <c r="C235" s="594"/>
      <c r="D235" s="715"/>
      <c r="E235" s="715"/>
      <c r="F235" s="594"/>
      <c r="G235" s="594"/>
      <c r="H235" s="594"/>
      <c r="I235" s="594"/>
      <c r="J235" s="594"/>
      <c r="K235" s="594"/>
      <c r="L235" s="594"/>
      <c r="M235" s="713"/>
      <c r="N235" s="713"/>
      <c r="O235" s="713"/>
      <c r="P235" s="594"/>
      <c r="Q235" s="594"/>
      <c r="R235" s="594"/>
      <c r="S235" s="594"/>
    </row>
    <row r="236" spans="1:19" x14ac:dyDescent="0.2">
      <c r="B236" s="594"/>
      <c r="C236" s="594"/>
      <c r="D236" s="594"/>
      <c r="E236" s="594"/>
      <c r="F236" s="594"/>
      <c r="G236" s="715"/>
      <c r="H236" s="583"/>
      <c r="I236" s="583"/>
      <c r="J236" s="583"/>
      <c r="K236" s="701"/>
      <c r="L236" s="701"/>
      <c r="M236" s="701"/>
      <c r="N236" s="701"/>
      <c r="O236" s="701"/>
      <c r="P236" s="594"/>
      <c r="Q236" s="594"/>
      <c r="R236" s="594"/>
      <c r="S236" s="594"/>
    </row>
    <row r="237" spans="1:19" x14ac:dyDescent="0.2">
      <c r="B237" s="594"/>
      <c r="C237" s="594"/>
      <c r="D237" s="594"/>
      <c r="E237" s="594"/>
      <c r="F237" s="583"/>
      <c r="G237" s="710"/>
      <c r="H237" s="710"/>
      <c r="I237" s="710"/>
      <c r="J237" s="710"/>
      <c r="K237" s="701"/>
      <c r="L237" s="701"/>
      <c r="M237" s="701"/>
      <c r="N237" s="701"/>
      <c r="O237" s="701"/>
      <c r="P237" s="594"/>
      <c r="Q237" s="594"/>
      <c r="R237" s="594"/>
      <c r="S237" s="594"/>
    </row>
    <row r="238" spans="1:19" x14ac:dyDescent="0.2">
      <c r="A238" s="720"/>
      <c r="B238" s="693"/>
      <c r="C238" s="693"/>
      <c r="D238" s="693"/>
      <c r="E238" s="693"/>
      <c r="F238" s="693"/>
      <c r="G238" s="693"/>
      <c r="H238" s="693"/>
      <c r="I238" s="693"/>
      <c r="J238" s="721"/>
      <c r="K238" s="721"/>
      <c r="L238" s="721"/>
      <c r="M238" s="721"/>
      <c r="N238" s="721"/>
      <c r="O238" s="721"/>
      <c r="P238" s="594"/>
      <c r="Q238" s="594"/>
      <c r="R238" s="594"/>
      <c r="S238" s="594"/>
    </row>
    <row r="239" spans="1:19" s="594" customFormat="1" x14ac:dyDescent="0.2">
      <c r="E239" s="710"/>
      <c r="J239" s="701"/>
      <c r="K239" s="701"/>
      <c r="L239" s="701"/>
      <c r="M239" s="701"/>
      <c r="N239" s="701"/>
      <c r="O239" s="701"/>
    </row>
    <row r="240" spans="1:19" s="558" customFormat="1" x14ac:dyDescent="0.2">
      <c r="B240" s="594"/>
      <c r="C240" s="594"/>
      <c r="D240" s="594"/>
      <c r="E240" s="594"/>
      <c r="F240" s="594"/>
      <c r="G240" s="594"/>
      <c r="H240" s="594"/>
      <c r="I240" s="594"/>
      <c r="J240" s="701"/>
      <c r="K240" s="701"/>
      <c r="L240" s="701"/>
      <c r="M240" s="701"/>
      <c r="N240" s="701"/>
      <c r="O240" s="701"/>
      <c r="P240" s="594"/>
      <c r="Q240" s="594"/>
      <c r="R240" s="594"/>
      <c r="S240" s="594"/>
    </row>
    <row r="241" spans="2:19" s="558" customFormat="1" x14ac:dyDescent="0.2">
      <c r="B241" s="594"/>
      <c r="C241" s="594"/>
      <c r="D241" s="710"/>
      <c r="E241" s="594"/>
      <c r="F241" s="594"/>
      <c r="G241" s="594"/>
      <c r="H241" s="594"/>
      <c r="I241" s="711"/>
      <c r="J241" s="701"/>
      <c r="K241" s="701"/>
      <c r="L241" s="701"/>
      <c r="M241" s="701"/>
      <c r="N241" s="701"/>
      <c r="O241" s="701"/>
      <c r="P241" s="594"/>
      <c r="Q241" s="594"/>
      <c r="R241" s="594"/>
      <c r="S241" s="594"/>
    </row>
    <row r="242" spans="2:19" s="558" customFormat="1" x14ac:dyDescent="0.2">
      <c r="B242" s="594"/>
      <c r="C242" s="594"/>
      <c r="D242" s="594"/>
      <c r="E242" s="594"/>
      <c r="F242" s="594"/>
      <c r="G242" s="594"/>
      <c r="H242" s="594"/>
      <c r="I242" s="594"/>
      <c r="J242" s="594"/>
      <c r="K242" s="594"/>
      <c r="L242" s="594"/>
      <c r="M242" s="594"/>
      <c r="N242" s="594"/>
      <c r="O242" s="594"/>
      <c r="P242" s="594"/>
      <c r="Q242" s="594"/>
      <c r="R242" s="594"/>
      <c r="S242" s="594"/>
    </row>
    <row r="243" spans="2:19" s="558" customFormat="1" x14ac:dyDescent="0.2">
      <c r="B243" s="583"/>
      <c r="C243" s="713"/>
      <c r="D243" s="713"/>
      <c r="E243" s="713"/>
      <c r="F243" s="713"/>
      <c r="G243" s="713"/>
      <c r="H243" s="713"/>
      <c r="I243" s="713"/>
      <c r="J243" s="594"/>
      <c r="K243" s="594"/>
      <c r="L243" s="594"/>
      <c r="M243" s="594"/>
      <c r="N243" s="594"/>
      <c r="O243" s="594"/>
      <c r="P243" s="594"/>
      <c r="Q243" s="594"/>
      <c r="R243" s="594"/>
      <c r="S243" s="594"/>
    </row>
    <row r="244" spans="2:19" s="558" customFormat="1" x14ac:dyDescent="0.2">
      <c r="B244" s="594"/>
      <c r="C244" s="595"/>
      <c r="D244" s="722"/>
      <c r="E244" s="722"/>
      <c r="F244" s="722"/>
      <c r="G244" s="722"/>
      <c r="H244" s="722"/>
      <c r="I244" s="722"/>
      <c r="J244" s="594"/>
      <c r="K244" s="594"/>
      <c r="L244" s="594"/>
      <c r="M244" s="594"/>
      <c r="N244" s="594"/>
      <c r="O244" s="594"/>
      <c r="P244" s="594"/>
      <c r="Q244" s="594"/>
      <c r="R244" s="594"/>
      <c r="S244" s="594"/>
    </row>
    <row r="245" spans="2:19" s="558" customFormat="1" x14ac:dyDescent="0.2">
      <c r="B245" s="594"/>
      <c r="C245" s="595"/>
      <c r="D245" s="722"/>
      <c r="E245" s="722"/>
      <c r="F245" s="722"/>
      <c r="G245" s="722"/>
      <c r="H245" s="722"/>
      <c r="I245" s="722"/>
      <c r="J245" s="594"/>
      <c r="K245" s="594"/>
      <c r="L245" s="594"/>
      <c r="M245" s="594"/>
      <c r="N245" s="594"/>
      <c r="O245" s="594"/>
      <c r="P245" s="594"/>
      <c r="Q245" s="594"/>
      <c r="R245" s="594"/>
      <c r="S245" s="594"/>
    </row>
    <row r="246" spans="2:19" s="558" customFormat="1" x14ac:dyDescent="0.2">
      <c r="B246" s="594"/>
      <c r="C246" s="595"/>
      <c r="D246" s="723"/>
      <c r="E246" s="722"/>
      <c r="F246" s="722"/>
      <c r="G246" s="722"/>
      <c r="H246" s="722"/>
      <c r="I246" s="722"/>
      <c r="J246" s="594"/>
      <c r="K246" s="594"/>
      <c r="L246" s="594"/>
      <c r="M246" s="594"/>
      <c r="N246" s="594"/>
      <c r="O246" s="594"/>
      <c r="P246" s="594"/>
      <c r="Q246" s="594"/>
      <c r="R246" s="594"/>
      <c r="S246" s="594"/>
    </row>
    <row r="247" spans="2:19" s="558" customFormat="1" x14ac:dyDescent="0.2">
      <c r="B247" s="583"/>
      <c r="C247" s="595"/>
      <c r="D247" s="595"/>
      <c r="E247" s="594"/>
      <c r="F247" s="594"/>
      <c r="G247" s="594"/>
      <c r="H247" s="724"/>
      <c r="I247" s="594"/>
      <c r="J247" s="594"/>
      <c r="K247" s="594"/>
      <c r="L247" s="594"/>
      <c r="M247" s="594"/>
      <c r="N247" s="594"/>
      <c r="O247" s="594"/>
      <c r="P247" s="594"/>
      <c r="Q247" s="594"/>
      <c r="R247" s="594"/>
      <c r="S247" s="594"/>
    </row>
    <row r="248" spans="2:19" s="558" customFormat="1" x14ac:dyDescent="0.2">
      <c r="B248" s="594"/>
      <c r="C248" s="595"/>
      <c r="D248" s="596"/>
      <c r="E248" s="596"/>
      <c r="F248" s="596"/>
      <c r="G248" s="596"/>
      <c r="H248" s="596"/>
      <c r="I248" s="596"/>
      <c r="J248" s="594"/>
      <c r="K248" s="594"/>
      <c r="L248" s="594"/>
      <c r="M248" s="594"/>
      <c r="N248" s="594"/>
      <c r="O248" s="594"/>
      <c r="P248" s="594"/>
      <c r="Q248" s="594"/>
      <c r="R248" s="594"/>
      <c r="S248" s="594"/>
    </row>
    <row r="249" spans="2:19" s="558" customFormat="1" x14ac:dyDescent="0.2">
      <c r="B249" s="594"/>
      <c r="C249" s="595"/>
      <c r="D249" s="596"/>
      <c r="E249" s="596"/>
      <c r="F249" s="596"/>
      <c r="G249" s="596"/>
      <c r="H249" s="596"/>
      <c r="I249" s="596"/>
      <c r="J249" s="594"/>
      <c r="K249" s="594"/>
      <c r="L249" s="594"/>
      <c r="M249" s="594"/>
      <c r="N249" s="594"/>
      <c r="O249" s="594"/>
      <c r="P249" s="594"/>
      <c r="Q249" s="594"/>
      <c r="R249" s="594"/>
      <c r="S249" s="594"/>
    </row>
    <row r="250" spans="2:19" s="558" customFormat="1" x14ac:dyDescent="0.2">
      <c r="B250" s="594"/>
      <c r="C250" s="595"/>
      <c r="D250" s="596"/>
      <c r="E250" s="596"/>
      <c r="F250" s="596"/>
      <c r="G250" s="596"/>
      <c r="H250" s="596"/>
      <c r="I250" s="596"/>
      <c r="J250" s="594"/>
      <c r="K250" s="594"/>
      <c r="L250" s="594"/>
      <c r="M250" s="594"/>
      <c r="N250" s="594"/>
      <c r="O250" s="594"/>
      <c r="P250" s="594"/>
      <c r="Q250" s="594"/>
      <c r="R250" s="594"/>
      <c r="S250" s="594"/>
    </row>
    <row r="251" spans="2:19" s="558" customFormat="1" x14ac:dyDescent="0.2">
      <c r="B251" s="594"/>
      <c r="C251" s="595"/>
      <c r="D251" s="596"/>
      <c r="E251" s="596"/>
      <c r="F251" s="596"/>
      <c r="G251" s="596"/>
      <c r="H251" s="596"/>
      <c r="I251" s="596"/>
      <c r="J251" s="594"/>
      <c r="K251" s="594"/>
      <c r="L251" s="594"/>
      <c r="M251" s="594"/>
      <c r="N251" s="594"/>
      <c r="O251" s="594"/>
      <c r="P251" s="594"/>
      <c r="Q251" s="594"/>
      <c r="R251" s="594"/>
      <c r="S251" s="594"/>
    </row>
    <row r="252" spans="2:19" s="558" customFormat="1" x14ac:dyDescent="0.2">
      <c r="B252" s="594"/>
      <c r="C252" s="595"/>
      <c r="D252" s="596"/>
      <c r="E252" s="596"/>
      <c r="F252" s="596"/>
      <c r="G252" s="596"/>
      <c r="H252" s="596"/>
      <c r="I252" s="596"/>
      <c r="J252" s="594"/>
      <c r="K252" s="594"/>
      <c r="L252" s="594"/>
      <c r="M252" s="594"/>
      <c r="N252" s="594"/>
      <c r="O252" s="594"/>
      <c r="P252" s="594"/>
      <c r="Q252" s="594"/>
      <c r="R252" s="594"/>
      <c r="S252" s="594"/>
    </row>
    <row r="253" spans="2:19" s="558" customFormat="1" x14ac:dyDescent="0.2">
      <c r="B253" s="594"/>
      <c r="C253" s="595"/>
      <c r="D253" s="596"/>
      <c r="E253" s="596"/>
      <c r="F253" s="596"/>
      <c r="G253" s="596"/>
      <c r="H253" s="596"/>
      <c r="I253" s="596"/>
      <c r="J253" s="594"/>
      <c r="K253" s="594"/>
      <c r="L253" s="594"/>
      <c r="M253" s="594"/>
      <c r="N253" s="594"/>
      <c r="O253" s="594"/>
      <c r="P253" s="594"/>
      <c r="Q253" s="594"/>
      <c r="R253" s="594"/>
      <c r="S253" s="594"/>
    </row>
    <row r="254" spans="2:19" s="558" customFormat="1" x14ac:dyDescent="0.2">
      <c r="B254" s="583"/>
      <c r="C254" s="595"/>
      <c r="D254" s="595"/>
      <c r="E254" s="594"/>
      <c r="F254" s="594"/>
      <c r="G254" s="594"/>
      <c r="H254" s="594"/>
      <c r="I254" s="594"/>
      <c r="J254" s="594"/>
      <c r="K254" s="594"/>
      <c r="L254" s="594"/>
      <c r="M254" s="594"/>
      <c r="N254" s="594"/>
      <c r="O254" s="594"/>
      <c r="P254" s="594"/>
      <c r="Q254" s="594"/>
      <c r="R254" s="594"/>
      <c r="S254" s="594"/>
    </row>
    <row r="255" spans="2:19" s="558" customFormat="1" x14ac:dyDescent="0.2">
      <c r="B255" s="594"/>
      <c r="C255" s="595"/>
      <c r="D255" s="596"/>
      <c r="E255" s="596"/>
      <c r="F255" s="596"/>
      <c r="G255" s="596"/>
      <c r="H255" s="596"/>
      <c r="I255" s="596"/>
      <c r="J255" s="594"/>
      <c r="K255" s="594"/>
      <c r="L255" s="594"/>
      <c r="M255" s="594"/>
      <c r="N255" s="594"/>
      <c r="O255" s="594"/>
      <c r="P255" s="594"/>
      <c r="Q255" s="594"/>
      <c r="R255" s="594"/>
      <c r="S255" s="594"/>
    </row>
    <row r="256" spans="2:19" s="558" customFormat="1" x14ac:dyDescent="0.2">
      <c r="B256" s="594"/>
      <c r="C256" s="595"/>
      <c r="D256" s="596"/>
      <c r="E256" s="596"/>
      <c r="F256" s="596"/>
      <c r="G256" s="596"/>
      <c r="H256" s="596"/>
      <c r="I256" s="596"/>
      <c r="J256" s="594"/>
      <c r="K256" s="594"/>
      <c r="L256" s="594"/>
      <c r="M256" s="594"/>
      <c r="N256" s="594"/>
      <c r="O256" s="594"/>
      <c r="P256" s="594"/>
      <c r="Q256" s="594"/>
      <c r="R256" s="594"/>
      <c r="S256" s="594"/>
    </row>
    <row r="257" spans="2:19" s="558" customFormat="1" x14ac:dyDescent="0.2">
      <c r="B257" s="583"/>
      <c r="C257" s="595"/>
      <c r="D257" s="595"/>
      <c r="E257" s="594"/>
      <c r="F257" s="594"/>
      <c r="G257" s="594"/>
      <c r="H257" s="594"/>
      <c r="I257" s="594"/>
      <c r="J257" s="594"/>
      <c r="K257" s="594"/>
      <c r="L257" s="594"/>
      <c r="M257" s="594"/>
      <c r="N257" s="594"/>
      <c r="O257" s="594"/>
      <c r="P257" s="594"/>
      <c r="Q257" s="594"/>
      <c r="R257" s="594"/>
      <c r="S257" s="594"/>
    </row>
    <row r="258" spans="2:19" s="558" customFormat="1" x14ac:dyDescent="0.2">
      <c r="B258" s="594"/>
      <c r="C258" s="595"/>
      <c r="D258" s="684"/>
      <c r="E258" s="596"/>
      <c r="F258" s="596"/>
      <c r="G258" s="596"/>
      <c r="H258" s="596"/>
      <c r="I258" s="596"/>
      <c r="J258" s="594"/>
      <c r="K258" s="594"/>
      <c r="L258" s="594"/>
      <c r="M258" s="594"/>
      <c r="N258" s="594"/>
      <c r="O258" s="594"/>
      <c r="P258" s="594"/>
      <c r="Q258" s="594"/>
      <c r="R258" s="594"/>
      <c r="S258" s="594"/>
    </row>
    <row r="259" spans="2:19" s="558" customFormat="1" x14ac:dyDescent="0.2">
      <c r="B259" s="594"/>
      <c r="C259" s="595"/>
      <c r="D259" s="684"/>
      <c r="E259" s="725"/>
      <c r="F259" s="725"/>
      <c r="G259" s="725"/>
      <c r="H259" s="725"/>
      <c r="I259" s="725"/>
      <c r="J259" s="594"/>
      <c r="K259" s="594"/>
      <c r="L259" s="594"/>
      <c r="M259" s="594"/>
      <c r="N259" s="594"/>
      <c r="O259" s="594"/>
      <c r="P259" s="594"/>
      <c r="Q259" s="594"/>
      <c r="R259" s="594"/>
      <c r="S259" s="594"/>
    </row>
    <row r="260" spans="2:19" s="558" customFormat="1" x14ac:dyDescent="0.2">
      <c r="B260" s="594"/>
      <c r="C260" s="594"/>
      <c r="D260" s="594"/>
      <c r="E260" s="594"/>
      <c r="F260" s="594"/>
      <c r="G260" s="594"/>
      <c r="H260" s="594"/>
      <c r="I260" s="594"/>
      <c r="J260" s="594"/>
      <c r="K260" s="594"/>
      <c r="L260" s="594"/>
      <c r="M260" s="594"/>
      <c r="N260" s="594"/>
      <c r="O260" s="594"/>
      <c r="P260" s="594"/>
      <c r="Q260" s="594"/>
      <c r="R260" s="594"/>
      <c r="S260" s="594"/>
    </row>
    <row r="261" spans="2:19" s="558" customFormat="1" x14ac:dyDescent="0.2">
      <c r="B261" s="583"/>
      <c r="C261" s="595"/>
      <c r="D261" s="713"/>
      <c r="E261" s="713"/>
      <c r="F261" s="713"/>
      <c r="G261" s="713"/>
      <c r="H261" s="713"/>
      <c r="I261" s="713"/>
      <c r="J261" s="701"/>
      <c r="K261" s="701"/>
      <c r="L261" s="701"/>
      <c r="M261" s="701"/>
      <c r="N261" s="701"/>
      <c r="O261" s="701"/>
      <c r="P261" s="594"/>
      <c r="Q261" s="594"/>
      <c r="R261" s="594"/>
      <c r="S261" s="594"/>
    </row>
    <row r="262" spans="2:19" s="558" customFormat="1" x14ac:dyDescent="0.2">
      <c r="B262" s="583"/>
      <c r="C262" s="595"/>
      <c r="D262" s="595"/>
      <c r="E262" s="726"/>
      <c r="F262" s="583"/>
      <c r="G262" s="583"/>
      <c r="H262" s="583"/>
      <c r="I262" s="583"/>
      <c r="J262" s="594"/>
      <c r="K262" s="583"/>
      <c r="L262" s="594"/>
      <c r="M262" s="708"/>
      <c r="N262" s="708"/>
      <c r="O262" s="708"/>
      <c r="P262" s="594"/>
      <c r="Q262" s="594"/>
      <c r="R262" s="594"/>
      <c r="S262" s="594"/>
    </row>
    <row r="263" spans="2:19" s="558" customFormat="1" x14ac:dyDescent="0.2">
      <c r="B263" s="583"/>
      <c r="C263" s="595"/>
      <c r="D263" s="595"/>
      <c r="E263" s="682"/>
      <c r="F263" s="682"/>
      <c r="G263" s="682"/>
      <c r="H263" s="682"/>
      <c r="I263" s="682"/>
      <c r="J263" s="594"/>
      <c r="K263" s="594"/>
      <c r="L263" s="594"/>
      <c r="M263" s="594"/>
      <c r="N263" s="594"/>
      <c r="O263" s="594"/>
      <c r="P263" s="594"/>
      <c r="Q263" s="594"/>
      <c r="R263" s="594"/>
      <c r="S263" s="594"/>
    </row>
    <row r="264" spans="2:19" s="558" customFormat="1" x14ac:dyDescent="0.2">
      <c r="B264" s="594"/>
      <c r="C264" s="595"/>
      <c r="D264" s="595"/>
      <c r="E264" s="596"/>
      <c r="F264" s="596"/>
      <c r="G264" s="596"/>
      <c r="H264" s="596"/>
      <c r="I264" s="596"/>
      <c r="J264" s="594"/>
      <c r="K264" s="594"/>
      <c r="L264" s="594"/>
      <c r="M264" s="711"/>
      <c r="N264" s="711"/>
      <c r="O264" s="711"/>
      <c r="P264" s="594"/>
      <c r="Q264" s="594"/>
      <c r="R264" s="594"/>
      <c r="S264" s="594"/>
    </row>
    <row r="265" spans="2:19" s="558" customFormat="1" x14ac:dyDescent="0.2">
      <c r="B265" s="594"/>
      <c r="C265" s="595"/>
      <c r="D265" s="595"/>
      <c r="E265" s="596"/>
      <c r="F265" s="596"/>
      <c r="G265" s="596"/>
      <c r="H265" s="596"/>
      <c r="I265" s="596"/>
      <c r="J265" s="594"/>
      <c r="K265" s="583"/>
      <c r="L265" s="594"/>
      <c r="M265" s="594"/>
      <c r="N265" s="594"/>
      <c r="O265" s="594"/>
      <c r="P265" s="594"/>
      <c r="Q265" s="594"/>
      <c r="R265" s="594"/>
      <c r="S265" s="594"/>
    </row>
    <row r="266" spans="2:19" s="558" customFormat="1" x14ac:dyDescent="0.2">
      <c r="B266" s="594"/>
      <c r="C266" s="595"/>
      <c r="D266" s="595"/>
      <c r="E266" s="596"/>
      <c r="F266" s="596"/>
      <c r="G266" s="596"/>
      <c r="H266" s="596"/>
      <c r="I266" s="596"/>
      <c r="J266" s="594"/>
      <c r="K266" s="713"/>
      <c r="L266" s="594"/>
      <c r="M266" s="594"/>
      <c r="N266" s="594"/>
      <c r="O266" s="594"/>
      <c r="P266" s="594"/>
      <c r="Q266" s="594"/>
      <c r="R266" s="594"/>
      <c r="S266" s="594"/>
    </row>
    <row r="267" spans="2:19" s="558" customFormat="1" x14ac:dyDescent="0.2">
      <c r="B267" s="594"/>
      <c r="C267" s="595"/>
      <c r="D267" s="595"/>
      <c r="E267" s="596"/>
      <c r="F267" s="596"/>
      <c r="G267" s="596"/>
      <c r="H267" s="596"/>
      <c r="I267" s="596"/>
      <c r="J267" s="594"/>
      <c r="K267" s="713"/>
      <c r="L267" s="594"/>
      <c r="M267" s="594"/>
      <c r="N267" s="594"/>
      <c r="O267" s="594"/>
      <c r="P267" s="594"/>
      <c r="Q267" s="594"/>
      <c r="R267" s="594"/>
      <c r="S267" s="594"/>
    </row>
    <row r="268" spans="2:19" s="558" customFormat="1" x14ac:dyDescent="0.2">
      <c r="B268" s="594"/>
      <c r="C268" s="595"/>
      <c r="D268" s="595"/>
      <c r="E268" s="727"/>
      <c r="F268" s="727"/>
      <c r="G268" s="727"/>
      <c r="H268" s="727"/>
      <c r="I268" s="727"/>
      <c r="J268" s="594"/>
      <c r="K268" s="713"/>
      <c r="L268" s="594"/>
      <c r="M268" s="594"/>
      <c r="N268" s="594"/>
      <c r="O268" s="594"/>
      <c r="P268" s="594"/>
      <c r="Q268" s="594"/>
      <c r="R268" s="594"/>
      <c r="S268" s="594"/>
    </row>
    <row r="269" spans="2:19" s="558" customFormat="1" x14ac:dyDescent="0.2">
      <c r="B269" s="583"/>
      <c r="C269" s="595"/>
      <c r="D269" s="595"/>
      <c r="E269" s="682"/>
      <c r="F269" s="682"/>
      <c r="G269" s="682"/>
      <c r="H269" s="682"/>
      <c r="I269" s="682"/>
      <c r="J269" s="594"/>
      <c r="K269" s="713"/>
      <c r="L269" s="594"/>
      <c r="M269" s="594"/>
      <c r="N269" s="594"/>
      <c r="O269" s="594"/>
      <c r="P269" s="594"/>
      <c r="Q269" s="594"/>
      <c r="R269" s="594"/>
      <c r="S269" s="594"/>
    </row>
    <row r="270" spans="2:19" s="558" customFormat="1" x14ac:dyDescent="0.2">
      <c r="B270" s="594"/>
      <c r="C270" s="595"/>
      <c r="D270" s="595"/>
      <c r="E270" s="596"/>
      <c r="F270" s="596"/>
      <c r="G270" s="596"/>
      <c r="H270" s="596"/>
      <c r="I270" s="596"/>
      <c r="J270" s="594"/>
      <c r="K270" s="594"/>
      <c r="L270" s="594"/>
      <c r="M270" s="594"/>
      <c r="N270" s="594"/>
      <c r="O270" s="594"/>
      <c r="P270" s="594"/>
      <c r="Q270" s="594"/>
      <c r="R270" s="594"/>
      <c r="S270" s="594"/>
    </row>
    <row r="271" spans="2:19" s="558" customFormat="1" x14ac:dyDescent="0.2">
      <c r="B271" s="594"/>
      <c r="C271" s="595"/>
      <c r="D271" s="595"/>
      <c r="E271" s="596"/>
      <c r="F271" s="596"/>
      <c r="G271" s="596"/>
      <c r="H271" s="596"/>
      <c r="I271" s="596"/>
      <c r="J271" s="594"/>
      <c r="K271" s="594"/>
      <c r="L271" s="594"/>
      <c r="M271" s="594"/>
      <c r="N271" s="594"/>
      <c r="O271" s="594"/>
      <c r="P271" s="594"/>
      <c r="Q271" s="594"/>
      <c r="R271" s="594"/>
      <c r="S271" s="594"/>
    </row>
    <row r="272" spans="2:19" s="558" customFormat="1" x14ac:dyDescent="0.2">
      <c r="B272" s="594"/>
      <c r="C272" s="595"/>
      <c r="D272" s="595"/>
      <c r="E272" s="596"/>
      <c r="F272" s="596"/>
      <c r="G272" s="596"/>
      <c r="H272" s="596"/>
      <c r="I272" s="596"/>
      <c r="J272" s="594"/>
      <c r="K272" s="594"/>
      <c r="L272" s="594"/>
      <c r="M272" s="594"/>
      <c r="N272" s="594"/>
      <c r="O272" s="594"/>
      <c r="P272" s="594"/>
      <c r="Q272" s="594"/>
      <c r="R272" s="594"/>
      <c r="S272" s="594"/>
    </row>
    <row r="273" spans="2:19" s="558" customFormat="1" x14ac:dyDescent="0.2">
      <c r="B273" s="594"/>
      <c r="C273" s="595"/>
      <c r="D273" s="595"/>
      <c r="E273" s="596"/>
      <c r="F273" s="596"/>
      <c r="G273" s="596"/>
      <c r="H273" s="596"/>
      <c r="I273" s="596"/>
      <c r="J273" s="594"/>
      <c r="K273" s="594"/>
      <c r="L273" s="594"/>
      <c r="M273" s="594"/>
      <c r="N273" s="594"/>
      <c r="O273" s="594"/>
      <c r="P273" s="594"/>
      <c r="Q273" s="594"/>
      <c r="R273" s="594"/>
      <c r="S273" s="594"/>
    </row>
    <row r="274" spans="2:19" s="558" customFormat="1" x14ac:dyDescent="0.2">
      <c r="B274" s="594"/>
      <c r="C274" s="595"/>
      <c r="D274" s="595"/>
      <c r="E274" s="596"/>
      <c r="F274" s="596"/>
      <c r="G274" s="596"/>
      <c r="H274" s="596"/>
      <c r="I274" s="596"/>
      <c r="J274" s="594"/>
      <c r="K274" s="594"/>
      <c r="L274" s="594"/>
      <c r="M274" s="594"/>
      <c r="N274" s="594"/>
      <c r="O274" s="594"/>
      <c r="P274" s="594"/>
      <c r="Q274" s="594"/>
      <c r="R274" s="594"/>
      <c r="S274" s="594"/>
    </row>
    <row r="275" spans="2:19" s="558" customFormat="1" x14ac:dyDescent="0.2">
      <c r="B275" s="583"/>
      <c r="C275" s="595"/>
      <c r="D275" s="595"/>
      <c r="E275" s="682"/>
      <c r="F275" s="682"/>
      <c r="G275" s="682"/>
      <c r="H275" s="682"/>
      <c r="I275" s="682"/>
      <c r="J275" s="594"/>
      <c r="K275" s="594"/>
      <c r="L275" s="594"/>
      <c r="M275" s="594"/>
      <c r="N275" s="594"/>
      <c r="O275" s="594"/>
      <c r="P275" s="594"/>
      <c r="Q275" s="594"/>
      <c r="R275" s="594"/>
      <c r="S275" s="594"/>
    </row>
    <row r="276" spans="2:19" s="558" customFormat="1" x14ac:dyDescent="0.2">
      <c r="B276" s="594"/>
      <c r="C276" s="595"/>
      <c r="D276" s="684"/>
      <c r="E276" s="684"/>
      <c r="F276" s="684"/>
      <c r="G276" s="684"/>
      <c r="H276" s="684"/>
      <c r="I276" s="684"/>
      <c r="J276" s="594"/>
      <c r="K276" s="594"/>
      <c r="L276" s="594"/>
      <c r="M276" s="594"/>
      <c r="N276" s="594"/>
      <c r="O276" s="594"/>
      <c r="P276" s="594"/>
      <c r="Q276" s="594"/>
      <c r="R276" s="594"/>
      <c r="S276" s="594"/>
    </row>
    <row r="277" spans="2:19" s="558" customFormat="1" x14ac:dyDescent="0.2">
      <c r="B277" s="594"/>
      <c r="C277" s="595"/>
      <c r="D277" s="684"/>
      <c r="E277" s="684"/>
      <c r="F277" s="684"/>
      <c r="G277" s="684"/>
      <c r="H277" s="684"/>
      <c r="I277" s="684"/>
      <c r="J277" s="594"/>
      <c r="K277" s="594"/>
      <c r="L277" s="594"/>
      <c r="M277" s="594"/>
      <c r="N277" s="594"/>
      <c r="O277" s="594"/>
      <c r="P277" s="594"/>
      <c r="Q277" s="594"/>
      <c r="R277" s="594"/>
      <c r="S277" s="594"/>
    </row>
    <row r="278" spans="2:19" s="558" customFormat="1" x14ac:dyDescent="0.2">
      <c r="B278" s="581"/>
      <c r="C278" s="602"/>
      <c r="D278" s="602"/>
      <c r="E278" s="728"/>
      <c r="F278" s="728"/>
      <c r="G278" s="728"/>
      <c r="H278" s="728"/>
      <c r="I278" s="728"/>
    </row>
    <row r="279" spans="2:19" s="558" customFormat="1" x14ac:dyDescent="0.2">
      <c r="B279" s="729"/>
      <c r="C279" s="581"/>
      <c r="D279" s="581"/>
      <c r="E279" s="730"/>
      <c r="F279" s="730"/>
      <c r="G279" s="730"/>
      <c r="H279" s="730"/>
      <c r="I279" s="730"/>
    </row>
  </sheetData>
  <sheetProtection algorithmName="SHA-512" hashValue="aAVd4t43OEWcG9aDz6I+tYpt0Al1yZMdhvsqzuIBnAp3GkIjo38MdxuTNivzHyqVXctB8vfGimQ/wbGsOacX7g==" saltValue="iaFFudmVU15Pndu1qOLtbQ==" spinCount="100000" sheet="1" objects="1" scenarios="1"/>
  <mergeCells count="8">
    <mergeCell ref="K28:U28"/>
    <mergeCell ref="K29:U29"/>
    <mergeCell ref="K30:U30"/>
    <mergeCell ref="B193:I193"/>
    <mergeCell ref="B231:C231"/>
    <mergeCell ref="M231:O231"/>
    <mergeCell ref="B191:I191"/>
    <mergeCell ref="B192:I19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3" manualBreakCount="3">
    <brk id="57" max="16383" man="1"/>
    <brk id="189" max="16383" man="1"/>
    <brk id="23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theme="8" tint="-0.249977111117893"/>
  </sheetPr>
  <dimension ref="A1:XFD286"/>
  <sheetViews>
    <sheetView showGridLines="0" topLeftCell="A176" zoomScale="85" zoomScaleNormal="85" workbookViewId="0">
      <selection activeCell="E40" sqref="E40"/>
    </sheetView>
  </sheetViews>
  <sheetFormatPr baseColWidth="10" defaultRowHeight="12.75" outlineLevelRow="2" outlineLevelCol="1" x14ac:dyDescent="0.2"/>
  <cols>
    <col min="1" max="1" width="3.5703125" style="28" customWidth="1"/>
    <col min="2" max="2" width="57.42578125" style="28" customWidth="1"/>
    <col min="3" max="3" width="13.42578125" style="28" hidden="1" customWidth="1" outlineLevel="1"/>
    <col min="4" max="4" width="13.42578125" style="28" customWidth="1" collapsed="1"/>
    <col min="5" max="8" width="13.42578125" style="28" customWidth="1"/>
    <col min="9" max="9" width="12.85546875" style="28" customWidth="1"/>
    <col min="10" max="10" width="14.42578125" style="28" bestFit="1" customWidth="1"/>
    <col min="11" max="16384" width="11.42578125" style="28"/>
  </cols>
  <sheetData>
    <row r="1" spans="2:8" hidden="1" x14ac:dyDescent="0.2"/>
    <row r="2" spans="2:8" hidden="1" x14ac:dyDescent="0.2"/>
    <row r="3" spans="2:8" hidden="1" x14ac:dyDescent="0.2"/>
    <row r="4" spans="2:8" hidden="1" x14ac:dyDescent="0.2"/>
    <row r="5" spans="2:8" hidden="1" x14ac:dyDescent="0.2"/>
    <row r="6" spans="2:8" s="89" customFormat="1" x14ac:dyDescent="0.2">
      <c r="B6" s="107" t="s">
        <v>772</v>
      </c>
    </row>
    <row r="7" spans="2:8" x14ac:dyDescent="0.2">
      <c r="B7" s="1" t="s">
        <v>423</v>
      </c>
      <c r="C7" s="372"/>
      <c r="D7" s="372"/>
      <c r="E7" s="372"/>
      <c r="F7" s="372"/>
      <c r="G7" s="372"/>
      <c r="H7" s="372"/>
    </row>
    <row r="8" spans="2:8" s="94" customFormat="1" x14ac:dyDescent="0.2"/>
    <row r="9" spans="2:8" x14ac:dyDescent="0.2">
      <c r="B9" s="243" t="s">
        <v>881</v>
      </c>
      <c r="C9" s="107">
        <v>2016</v>
      </c>
      <c r="D9" s="107">
        <v>2017</v>
      </c>
      <c r="E9" s="107">
        <v>2018</v>
      </c>
      <c r="F9" s="107">
        <v>2019</v>
      </c>
      <c r="G9" s="107">
        <v>2020</v>
      </c>
      <c r="H9" s="107">
        <v>2021</v>
      </c>
    </row>
    <row r="10" spans="2:8" x14ac:dyDescent="0.2">
      <c r="B10" s="28" t="s">
        <v>416</v>
      </c>
      <c r="C10" s="331">
        <f>+'Tasa de Depreciación'!$G$27</f>
        <v>3.4838098558625408E-2</v>
      </c>
      <c r="D10" s="331">
        <f>+'Tasa de Depreciación'!$G$27</f>
        <v>3.4838098558625408E-2</v>
      </c>
      <c r="E10" s="331">
        <f>+'Tasa de Depreciación'!$G$27</f>
        <v>3.4838098558625408E-2</v>
      </c>
      <c r="F10" s="331">
        <f>+'Tasa de Depreciación'!$G$27</f>
        <v>3.4838098558625408E-2</v>
      </c>
      <c r="G10" s="331">
        <f>+'Tasa de Depreciación'!$G$27</f>
        <v>3.4838098558625408E-2</v>
      </c>
      <c r="H10" s="331">
        <f>+'Tasa de Depreciación'!$G$27</f>
        <v>3.4838098558625408E-2</v>
      </c>
    </row>
    <row r="11" spans="2:8" x14ac:dyDescent="0.2">
      <c r="B11" s="28" t="s">
        <v>417</v>
      </c>
      <c r="C11" s="344"/>
      <c r="D11" s="325">
        <f>+C14</f>
        <v>367674767.96403384</v>
      </c>
      <c r="E11" s="325">
        <f>+D14</f>
        <v>367674767.96403384</v>
      </c>
      <c r="F11" s="325">
        <f>+E14</f>
        <v>367674767.96403384</v>
      </c>
      <c r="G11" s="325">
        <f>+F14</f>
        <v>367674767.96403384</v>
      </c>
      <c r="H11" s="325">
        <f>+G14</f>
        <v>367674767.96403384</v>
      </c>
    </row>
    <row r="12" spans="2:8" x14ac:dyDescent="0.2">
      <c r="B12" s="28" t="s">
        <v>418</v>
      </c>
      <c r="C12" s="344"/>
      <c r="D12" s="325"/>
      <c r="E12" s="325"/>
      <c r="F12" s="325"/>
      <c r="G12" s="325"/>
      <c r="H12" s="325"/>
    </row>
    <row r="13" spans="2:8" x14ac:dyDescent="0.2">
      <c r="B13" s="28" t="s">
        <v>419</v>
      </c>
      <c r="C13" s="347"/>
      <c r="D13" s="325">
        <f>-C14*D10</f>
        <v>-12809089.803850738</v>
      </c>
      <c r="E13" s="325">
        <f>-D14*E10</f>
        <v>-12809089.803850738</v>
      </c>
      <c r="F13" s="325">
        <f>-E14*F10</f>
        <v>-12809089.803850738</v>
      </c>
      <c r="G13" s="325">
        <f>-F14*G10</f>
        <v>-12809089.803850738</v>
      </c>
      <c r="H13" s="325">
        <f>-G14*H10</f>
        <v>-12809089.803850738</v>
      </c>
    </row>
    <row r="14" spans="2:8" x14ac:dyDescent="0.2">
      <c r="B14" s="28" t="s">
        <v>420</v>
      </c>
      <c r="C14" s="374">
        <f>+'Base de Capital'!H27</f>
        <v>367674767.96403384</v>
      </c>
      <c r="D14" s="325">
        <f>+D11</f>
        <v>367674767.96403384</v>
      </c>
      <c r="E14" s="325">
        <f>+E11</f>
        <v>367674767.96403384</v>
      </c>
      <c r="F14" s="325">
        <f>+F11</f>
        <v>367674767.96403384</v>
      </c>
      <c r="G14" s="325">
        <f>+G11</f>
        <v>367674767.96403384</v>
      </c>
      <c r="H14" s="325">
        <f>+H11</f>
        <v>367674767.96403384</v>
      </c>
    </row>
    <row r="15" spans="2:8" x14ac:dyDescent="0.2">
      <c r="B15" s="28" t="s">
        <v>421</v>
      </c>
      <c r="C15" s="374">
        <f>+'Base de Capital'!R27</f>
        <v>195204624.1240339</v>
      </c>
      <c r="D15" s="325">
        <f>+SUM(D13:D14)+C16</f>
        <v>182395534.32018313</v>
      </c>
      <c r="E15" s="325">
        <f>+SUM(E13:E14)+D16</f>
        <v>169586444.51633239</v>
      </c>
      <c r="F15" s="325">
        <f>+SUM(F13:F14)+E16</f>
        <v>156777354.71248165</v>
      </c>
      <c r="G15" s="325">
        <f>+SUM(G13:G14)+F16</f>
        <v>143968264.90863091</v>
      </c>
      <c r="H15" s="325">
        <f>+SUM(H13:H14)+G16</f>
        <v>131159175.10478017</v>
      </c>
    </row>
    <row r="16" spans="2:8" x14ac:dyDescent="0.2">
      <c r="B16" s="28" t="s">
        <v>319</v>
      </c>
      <c r="C16" s="374">
        <f>-'Base de Capital'!M27</f>
        <v>-172470143.84</v>
      </c>
      <c r="D16" s="325">
        <f>+SUM(C16,D13)</f>
        <v>-185279233.64385074</v>
      </c>
      <c r="E16" s="325">
        <f>+SUM(D16,E13)</f>
        <v>-198088323.44770148</v>
      </c>
      <c r="F16" s="325">
        <f>+SUM(E16,F13)</f>
        <v>-210897413.25155222</v>
      </c>
      <c r="G16" s="325">
        <f>+SUM(F16,G13)</f>
        <v>-223706503.05540296</v>
      </c>
      <c r="H16" s="325">
        <f>+SUM(G16,H13)</f>
        <v>-236515592.8592537</v>
      </c>
    </row>
    <row r="17" spans="2:10" x14ac:dyDescent="0.2">
      <c r="B17" s="28" t="s">
        <v>422</v>
      </c>
      <c r="C17" s="325">
        <f t="shared" ref="C17:H17" si="0">+ROUNDUP(C14+C16,0)</f>
        <v>195204625</v>
      </c>
      <c r="D17" s="325">
        <f t="shared" si="0"/>
        <v>182395535</v>
      </c>
      <c r="E17" s="325">
        <f t="shared" si="0"/>
        <v>169586445</v>
      </c>
      <c r="F17" s="325">
        <f t="shared" si="0"/>
        <v>156777355</v>
      </c>
      <c r="G17" s="325">
        <f t="shared" si="0"/>
        <v>143968265</v>
      </c>
      <c r="H17" s="325">
        <f t="shared" si="0"/>
        <v>131159176</v>
      </c>
    </row>
    <row r="18" spans="2:10" x14ac:dyDescent="0.2">
      <c r="C18" s="325"/>
      <c r="D18" s="325"/>
      <c r="E18" s="325"/>
      <c r="F18" s="325"/>
      <c r="G18" s="325"/>
      <c r="H18" s="325"/>
    </row>
    <row r="19" spans="2:10" hidden="1" outlineLevel="2" x14ac:dyDescent="0.2">
      <c r="B19" s="243" t="s">
        <v>882</v>
      </c>
      <c r="C19" s="107">
        <v>2016</v>
      </c>
      <c r="D19" s="107">
        <v>2017</v>
      </c>
      <c r="E19" s="107">
        <v>2018</v>
      </c>
      <c r="F19" s="107">
        <v>2019</v>
      </c>
      <c r="G19" s="107">
        <v>2020</v>
      </c>
      <c r="H19" s="107">
        <v>2021</v>
      </c>
    </row>
    <row r="20" spans="2:10" hidden="1" outlineLevel="2" x14ac:dyDescent="0.2">
      <c r="B20" s="28" t="s">
        <v>416</v>
      </c>
      <c r="C20" s="346">
        <f t="shared" ref="C20:H20" si="1">C10</f>
        <v>3.4838098558625408E-2</v>
      </c>
      <c r="D20" s="346">
        <f t="shared" si="1"/>
        <v>3.4838098558625408E-2</v>
      </c>
      <c r="E20" s="346">
        <f t="shared" si="1"/>
        <v>3.4838098558625408E-2</v>
      </c>
      <c r="F20" s="346">
        <f t="shared" si="1"/>
        <v>3.4838098558625408E-2</v>
      </c>
      <c r="G20" s="346">
        <f t="shared" si="1"/>
        <v>3.4838098558625408E-2</v>
      </c>
      <c r="H20" s="346">
        <f t="shared" si="1"/>
        <v>3.4838098558625408E-2</v>
      </c>
    </row>
    <row r="21" spans="2:10" hidden="1" outlineLevel="2" x14ac:dyDescent="0.2">
      <c r="B21" s="28" t="s">
        <v>417</v>
      </c>
      <c r="C21" s="325"/>
      <c r="D21" s="325">
        <f>+C24</f>
        <v>0</v>
      </c>
      <c r="E21" s="325">
        <f>+D24</f>
        <v>0</v>
      </c>
      <c r="F21" s="325">
        <f>+E24</f>
        <v>0</v>
      </c>
      <c r="G21" s="325">
        <f>+F24</f>
        <v>0</v>
      </c>
      <c r="H21" s="325">
        <f>+G24</f>
        <v>0</v>
      </c>
    </row>
    <row r="22" spans="2:10" hidden="1" outlineLevel="2" x14ac:dyDescent="0.2">
      <c r="B22" s="28" t="s">
        <v>418</v>
      </c>
      <c r="C22" s="325"/>
      <c r="D22" s="325"/>
      <c r="E22" s="325"/>
      <c r="F22" s="325"/>
      <c r="G22" s="325"/>
      <c r="H22" s="325"/>
    </row>
    <row r="23" spans="2:10" hidden="1" outlineLevel="2" x14ac:dyDescent="0.2">
      <c r="B23" s="28" t="s">
        <v>419</v>
      </c>
      <c r="C23" s="325"/>
      <c r="D23" s="325">
        <f>-C24*D20</f>
        <v>0</v>
      </c>
      <c r="E23" s="325">
        <f>-D24*E20</f>
        <v>0</v>
      </c>
      <c r="F23" s="325">
        <f>-E24*F20</f>
        <v>0</v>
      </c>
      <c r="G23" s="325">
        <f>-F24*G20</f>
        <v>0</v>
      </c>
      <c r="H23" s="325">
        <f>-G24*H20</f>
        <v>0</v>
      </c>
    </row>
    <row r="24" spans="2:10" hidden="1" outlineLevel="2" x14ac:dyDescent="0.2">
      <c r="B24" s="28" t="s">
        <v>420</v>
      </c>
      <c r="C24" s="374">
        <f>('Plan de Expansión'!D11+'Plan de Expansión'!D18+'Plan de Expansión'!E11+'Plan de Expansión'!E18+'Plan de Expansión'!F11+'Plan de Expansión'!F18+SUM('Plan de Expansión'!C12:F12))*1000*0</f>
        <v>0</v>
      </c>
      <c r="D24" s="325">
        <f>+D21</f>
        <v>0</v>
      </c>
      <c r="E24" s="325">
        <f>+E21</f>
        <v>0</v>
      </c>
      <c r="F24" s="325">
        <f>+F21</f>
        <v>0</v>
      </c>
      <c r="G24" s="325">
        <f>+G21</f>
        <v>0</v>
      </c>
      <c r="H24" s="325">
        <f>+H21</f>
        <v>0</v>
      </c>
    </row>
    <row r="25" spans="2:10" hidden="1" outlineLevel="2" x14ac:dyDescent="0.2">
      <c r="B25" s="28" t="s">
        <v>421</v>
      </c>
      <c r="C25" s="325">
        <f>C24</f>
        <v>0</v>
      </c>
      <c r="D25" s="325">
        <f>+SUM(D23:D24)+C26</f>
        <v>0</v>
      </c>
      <c r="E25" s="325">
        <f>+SUM(E23:E24)+D26</f>
        <v>0</v>
      </c>
      <c r="F25" s="325">
        <f>+SUM(F23:F24)+E26</f>
        <v>0</v>
      </c>
      <c r="G25" s="325">
        <f>+SUM(G23:G24)+F26</f>
        <v>0</v>
      </c>
      <c r="H25" s="325">
        <f>+SUM(H23:H24)+G26</f>
        <v>0</v>
      </c>
    </row>
    <row r="26" spans="2:10" hidden="1" outlineLevel="2" x14ac:dyDescent="0.2">
      <c r="B26" s="28" t="s">
        <v>319</v>
      </c>
      <c r="C26" s="325">
        <f>C24-C25</f>
        <v>0</v>
      </c>
      <c r="D26" s="325">
        <f>+SUM(C26,D23)</f>
        <v>0</v>
      </c>
      <c r="E26" s="325">
        <f>+SUM(D26,E23)</f>
        <v>0</v>
      </c>
      <c r="F26" s="325">
        <f>+SUM(E26,F23)</f>
        <v>0</v>
      </c>
      <c r="G26" s="325">
        <f>+SUM(F26,G23)</f>
        <v>0</v>
      </c>
      <c r="H26" s="325">
        <f>+SUM(G26,H23)</f>
        <v>0</v>
      </c>
    </row>
    <row r="27" spans="2:10" hidden="1" outlineLevel="2" x14ac:dyDescent="0.2">
      <c r="B27" s="28" t="s">
        <v>422</v>
      </c>
      <c r="C27" s="325"/>
      <c r="D27" s="325">
        <f>+ROUNDUP(D24+D26,0)</f>
        <v>0</v>
      </c>
      <c r="E27" s="325">
        <f>+ROUNDUP(E24+E26,0)</f>
        <v>0</v>
      </c>
      <c r="F27" s="325">
        <f>+ROUNDUP(F24+F26,0)</f>
        <v>0</v>
      </c>
      <c r="G27" s="325">
        <f>+ROUNDUP(G24+G26,0)</f>
        <v>0</v>
      </c>
      <c r="H27" s="325">
        <f>+ROUNDUP(H24+H26,0)</f>
        <v>0</v>
      </c>
    </row>
    <row r="28" spans="2:10" hidden="1" outlineLevel="2" x14ac:dyDescent="0.2">
      <c r="C28" s="325"/>
      <c r="D28" s="325"/>
      <c r="E28" s="325"/>
      <c r="F28" s="325"/>
      <c r="G28" s="325"/>
      <c r="H28" s="325"/>
    </row>
    <row r="29" spans="2:10" hidden="1" outlineLevel="1" x14ac:dyDescent="0.2">
      <c r="B29" s="243" t="s">
        <v>872</v>
      </c>
      <c r="C29" s="107">
        <f>C$9</f>
        <v>2016</v>
      </c>
      <c r="D29" s="107">
        <f t="shared" ref="D29:H29" si="2">D$9</f>
        <v>2017</v>
      </c>
      <c r="E29" s="107">
        <f t="shared" si="2"/>
        <v>2018</v>
      </c>
      <c r="F29" s="107">
        <f t="shared" si="2"/>
        <v>2019</v>
      </c>
      <c r="G29" s="107">
        <f t="shared" si="2"/>
        <v>2020</v>
      </c>
      <c r="H29" s="107">
        <f t="shared" si="2"/>
        <v>2021</v>
      </c>
    </row>
    <row r="30" spans="2:10" hidden="1" outlineLevel="1" x14ac:dyDescent="0.2">
      <c r="B30" s="327" t="s">
        <v>547</v>
      </c>
      <c r="C30" s="325"/>
      <c r="D30" s="760">
        <f>+'Tercera Línea'!$L$24*1000000</f>
        <v>345480168</v>
      </c>
      <c r="E30" s="374">
        <f>('Plan de Expansión'!F11+'Plan de Expansión'!F18)*1000*0</f>
        <v>0</v>
      </c>
      <c r="F30" s="343">
        <f>('Plan de Expansión'!G11+'Plan de Expansión'!G18)*1000</f>
        <v>0</v>
      </c>
      <c r="G30" s="343">
        <f>('Plan de Expansión'!H11+'Plan de Expansión'!H18)*1000</f>
        <v>0</v>
      </c>
      <c r="H30" s="343">
        <f>('Plan de Expansión'!I11+'Plan de Expansión'!I18)*1000</f>
        <v>0</v>
      </c>
      <c r="J30" s="325"/>
    </row>
    <row r="31" spans="2:10" hidden="1" outlineLevel="1" x14ac:dyDescent="0.2">
      <c r="B31" s="28" t="s">
        <v>788</v>
      </c>
      <c r="C31" s="325"/>
      <c r="D31" s="374">
        <f>+'Tercera Línea'!$M$24*1000000</f>
        <v>173114761.68767121</v>
      </c>
      <c r="E31" s="374">
        <f>+E30*'Plan de Expansión'!AF11</f>
        <v>0</v>
      </c>
      <c r="F31" s="374">
        <f>+F30*'Plan de Expansión'!AG11</f>
        <v>0</v>
      </c>
      <c r="G31" s="374">
        <f>+G30*'Plan de Expansión'!AH11</f>
        <v>0</v>
      </c>
      <c r="H31" s="374">
        <f>+H30*'Plan de Expansión'!AI11</f>
        <v>0</v>
      </c>
      <c r="J31" s="325"/>
    </row>
    <row r="32" spans="2:10" hidden="1" outlineLevel="1" x14ac:dyDescent="0.2">
      <c r="B32" s="327" t="s">
        <v>426</v>
      </c>
      <c r="C32" s="325"/>
      <c r="D32" s="346">
        <f t="shared" ref="D32:H32" si="3">D$10</f>
        <v>3.4838098558625408E-2</v>
      </c>
      <c r="E32" s="346">
        <f t="shared" si="3"/>
        <v>3.4838098558625408E-2</v>
      </c>
      <c r="F32" s="346">
        <f t="shared" si="3"/>
        <v>3.4838098558625408E-2</v>
      </c>
      <c r="G32" s="346">
        <f t="shared" si="3"/>
        <v>3.4838098558625408E-2</v>
      </c>
      <c r="H32" s="346">
        <f t="shared" si="3"/>
        <v>3.4838098558625408E-2</v>
      </c>
      <c r="J32" s="325"/>
    </row>
    <row r="33" spans="2:8" hidden="1" outlineLevel="1" x14ac:dyDescent="0.2">
      <c r="B33" s="327" t="s">
        <v>418</v>
      </c>
      <c r="C33" s="325"/>
      <c r="D33" s="325">
        <f>+C35</f>
        <v>0</v>
      </c>
      <c r="E33" s="325">
        <f t="shared" ref="E33:H33" si="4">+D35</f>
        <v>339449178.87037194</v>
      </c>
      <c r="F33" s="325">
        <f t="shared" si="4"/>
        <v>327413306.72753745</v>
      </c>
      <c r="G33" s="325">
        <f t="shared" si="4"/>
        <v>315377434.58470297</v>
      </c>
      <c r="H33" s="325">
        <f t="shared" si="4"/>
        <v>303341562.44186848</v>
      </c>
    </row>
    <row r="34" spans="2:8" hidden="1" outlineLevel="1" x14ac:dyDescent="0.2">
      <c r="B34" s="327" t="s">
        <v>419</v>
      </c>
      <c r="C34" s="325"/>
      <c r="D34" s="325">
        <f>-(C36+D31)*D32</f>
        <v>-6030989.1296280399</v>
      </c>
      <c r="E34" s="325">
        <f>-(D36+E31)*E32</f>
        <v>-12035872.142834464</v>
      </c>
      <c r="F34" s="325">
        <f t="shared" ref="F34:H34" si="5">-(E36+F31)*F32</f>
        <v>-12035872.142834464</v>
      </c>
      <c r="G34" s="325">
        <f t="shared" si="5"/>
        <v>-12035872.142834464</v>
      </c>
      <c r="H34" s="325">
        <f t="shared" si="5"/>
        <v>-12035872.142834464</v>
      </c>
    </row>
    <row r="35" spans="2:8" hidden="1" outlineLevel="1" x14ac:dyDescent="0.2">
      <c r="B35" s="327" t="s">
        <v>421</v>
      </c>
      <c r="C35" s="325"/>
      <c r="D35" s="325">
        <f>+SUM(D30,D33:D34)</f>
        <v>339449178.87037194</v>
      </c>
      <c r="E35" s="325">
        <f t="shared" ref="E35:H35" si="6">+SUM(E30,E33:E34)</f>
        <v>327413306.72753745</v>
      </c>
      <c r="F35" s="325">
        <f t="shared" si="6"/>
        <v>315377434.58470297</v>
      </c>
      <c r="G35" s="325">
        <f t="shared" si="6"/>
        <v>303341562.44186848</v>
      </c>
      <c r="H35" s="325">
        <f t="shared" si="6"/>
        <v>291305690.299034</v>
      </c>
    </row>
    <row r="36" spans="2:8" hidden="1" outlineLevel="1" x14ac:dyDescent="0.2">
      <c r="B36" s="327" t="s">
        <v>420</v>
      </c>
      <c r="C36" s="325"/>
      <c r="D36" s="325">
        <f>+C36+D30</f>
        <v>345480168</v>
      </c>
      <c r="E36" s="325">
        <f t="shared" ref="E36:H36" si="7">+D36+E30</f>
        <v>345480168</v>
      </c>
      <c r="F36" s="325">
        <f t="shared" si="7"/>
        <v>345480168</v>
      </c>
      <c r="G36" s="325">
        <f t="shared" si="7"/>
        <v>345480168</v>
      </c>
      <c r="H36" s="325">
        <f t="shared" si="7"/>
        <v>345480168</v>
      </c>
    </row>
    <row r="37" spans="2:8" hidden="1" outlineLevel="1" x14ac:dyDescent="0.2">
      <c r="C37" s="325"/>
      <c r="D37" s="535"/>
      <c r="E37" s="325"/>
      <c r="F37" s="325"/>
      <c r="G37" s="325"/>
      <c r="H37" s="325"/>
    </row>
    <row r="38" spans="2:8" collapsed="1" x14ac:dyDescent="0.2">
      <c r="B38" s="243" t="s">
        <v>877</v>
      </c>
      <c r="C38" s="107">
        <v>2016</v>
      </c>
      <c r="D38" s="107">
        <v>2017</v>
      </c>
      <c r="E38" s="107">
        <v>2018</v>
      </c>
      <c r="F38" s="107">
        <v>2019</v>
      </c>
      <c r="G38" s="107">
        <v>2020</v>
      </c>
      <c r="H38" s="107">
        <v>2021</v>
      </c>
    </row>
    <row r="39" spans="2:8" x14ac:dyDescent="0.2">
      <c r="B39" s="333" t="s">
        <v>416</v>
      </c>
      <c r="C39" s="331">
        <f>+'Tasa de Depreciación'!$F$27</f>
        <v>5.8382511060031415E-2</v>
      </c>
      <c r="D39" s="331">
        <f>+'Tasa de Depreciación'!$F$27</f>
        <v>5.8382511060031415E-2</v>
      </c>
      <c r="E39" s="331">
        <f>+'Tasa de Depreciación'!$F$27</f>
        <v>5.8382511060031415E-2</v>
      </c>
      <c r="F39" s="331">
        <f>+'Tasa de Depreciación'!$F$27</f>
        <v>5.8382511060031415E-2</v>
      </c>
      <c r="G39" s="331">
        <f>+'Tasa de Depreciación'!$F$27</f>
        <v>5.8382511060031415E-2</v>
      </c>
      <c r="H39" s="331">
        <f>+'Tasa de Depreciación'!$F$27</f>
        <v>5.8382511060031415E-2</v>
      </c>
    </row>
    <row r="40" spans="2:8" x14ac:dyDescent="0.2">
      <c r="B40" s="333" t="s">
        <v>545</v>
      </c>
      <c r="C40" s="329">
        <v>0.02</v>
      </c>
      <c r="D40" s="329">
        <v>0.02</v>
      </c>
      <c r="E40" s="329">
        <v>0.02</v>
      </c>
      <c r="F40" s="329">
        <v>0.02</v>
      </c>
      <c r="G40" s="329">
        <v>0.02</v>
      </c>
      <c r="H40" s="329">
        <v>0.02</v>
      </c>
    </row>
    <row r="41" spans="2:8" x14ac:dyDescent="0.2">
      <c r="B41" s="333" t="s">
        <v>417</v>
      </c>
      <c r="C41" s="344"/>
      <c r="D41" s="325">
        <f>+C45</f>
        <v>45644352</v>
      </c>
      <c r="E41" s="325">
        <f>+D45</f>
        <v>45644352</v>
      </c>
      <c r="F41" s="325">
        <f>+E45</f>
        <v>45644352</v>
      </c>
      <c r="G41" s="325">
        <f>+F45</f>
        <v>45644352</v>
      </c>
      <c r="H41" s="325">
        <f>+G45</f>
        <v>45644352</v>
      </c>
    </row>
    <row r="42" spans="2:8" x14ac:dyDescent="0.2">
      <c r="B42" s="333" t="s">
        <v>418</v>
      </c>
      <c r="C42" s="344"/>
      <c r="D42" s="325">
        <f>+C47</f>
        <v>9055342</v>
      </c>
      <c r="E42" s="325">
        <f>+D47</f>
        <v>6390510.1145320311</v>
      </c>
      <c r="F42" s="325">
        <f>+E47</f>
        <v>3725678.2290640622</v>
      </c>
      <c r="G42" s="325">
        <f>+F47</f>
        <v>1060846.3435960934</v>
      </c>
      <c r="H42" s="325">
        <f>+G47</f>
        <v>-1603985.5418718755</v>
      </c>
    </row>
    <row r="43" spans="2:8" x14ac:dyDescent="0.2">
      <c r="B43" s="333" t="s">
        <v>419</v>
      </c>
      <c r="C43" s="344"/>
      <c r="D43" s="325">
        <f>-C45*D39</f>
        <v>-2664831.885467967</v>
      </c>
      <c r="E43" s="325">
        <f>-D45*E39</f>
        <v>-2664831.885467967</v>
      </c>
      <c r="F43" s="325">
        <f>-E45*F39</f>
        <v>-2664831.885467967</v>
      </c>
      <c r="G43" s="325">
        <f>-F45*G39</f>
        <v>-2664831.885467967</v>
      </c>
      <c r="H43" s="325">
        <f>-G45*H39</f>
        <v>-2664831.885467967</v>
      </c>
    </row>
    <row r="44" spans="2:8" x14ac:dyDescent="0.2">
      <c r="B44" s="333" t="s">
        <v>546</v>
      </c>
      <c r="C44" s="344"/>
      <c r="D44" s="325"/>
      <c r="E44" s="325"/>
      <c r="F44" s="325"/>
      <c r="G44" s="325"/>
      <c r="H44" s="325"/>
    </row>
    <row r="45" spans="2:8" x14ac:dyDescent="0.2">
      <c r="B45" s="333" t="s">
        <v>420</v>
      </c>
      <c r="C45" s="325">
        <f>+'Base de Capital'!H73</f>
        <v>45644352</v>
      </c>
      <c r="D45" s="325">
        <f>+D41+D44</f>
        <v>45644352</v>
      </c>
      <c r="E45" s="325">
        <f>+E41+E44</f>
        <v>45644352</v>
      </c>
      <c r="F45" s="325">
        <f>+F41+F44</f>
        <v>45644352</v>
      </c>
      <c r="G45" s="325">
        <f>+G41+G44</f>
        <v>45644352</v>
      </c>
      <c r="H45" s="325">
        <f>+H41+H44</f>
        <v>45644352</v>
      </c>
    </row>
    <row r="46" spans="2:8" x14ac:dyDescent="0.2">
      <c r="B46" s="333" t="s">
        <v>319</v>
      </c>
      <c r="C46" s="325">
        <f>-'Base de Capital'!M73</f>
        <v>-36589010</v>
      </c>
      <c r="D46" s="325">
        <f>+C46+D43</f>
        <v>-39253841.885467969</v>
      </c>
      <c r="E46" s="325">
        <f>+D46+E43</f>
        <v>-41918673.770935938</v>
      </c>
      <c r="F46" s="325">
        <f>+E46+F43</f>
        <v>-44583505.656403907</v>
      </c>
      <c r="G46" s="325">
        <f>+F46+G43</f>
        <v>-47248337.541871876</v>
      </c>
      <c r="H46" s="325">
        <f>+G46+H43</f>
        <v>-49913169.427339844</v>
      </c>
    </row>
    <row r="47" spans="2:8" x14ac:dyDescent="0.2">
      <c r="B47" s="333" t="s">
        <v>421</v>
      </c>
      <c r="C47" s="325">
        <f t="shared" ref="C47:H47" si="8">+SUM(C45:C46)</f>
        <v>9055342</v>
      </c>
      <c r="D47" s="325">
        <f t="shared" si="8"/>
        <v>6390510.1145320311</v>
      </c>
      <c r="E47" s="325">
        <f t="shared" si="8"/>
        <v>3725678.2290640622</v>
      </c>
      <c r="F47" s="325">
        <f t="shared" si="8"/>
        <v>1060846.3435960934</v>
      </c>
      <c r="G47" s="325">
        <f t="shared" si="8"/>
        <v>-1603985.5418718755</v>
      </c>
      <c r="H47" s="325">
        <f t="shared" si="8"/>
        <v>-4268817.4273398444</v>
      </c>
    </row>
    <row r="48" spans="2:8" x14ac:dyDescent="0.2">
      <c r="B48" s="333"/>
      <c r="C48" s="325"/>
      <c r="D48" s="325"/>
      <c r="E48" s="325"/>
      <c r="F48" s="325"/>
      <c r="G48" s="325"/>
      <c r="H48" s="325"/>
    </row>
    <row r="49" spans="2:8" x14ac:dyDescent="0.2">
      <c r="B49" s="243" t="s">
        <v>878</v>
      </c>
      <c r="C49" s="107">
        <v>2016</v>
      </c>
      <c r="D49" s="107">
        <v>2017</v>
      </c>
      <c r="E49" s="107">
        <v>2018</v>
      </c>
      <c r="F49" s="107">
        <v>2019</v>
      </c>
      <c r="G49" s="107">
        <v>2020</v>
      </c>
      <c r="H49" s="107">
        <v>2021</v>
      </c>
    </row>
    <row r="50" spans="2:8" x14ac:dyDescent="0.2">
      <c r="B50" s="333" t="s">
        <v>416</v>
      </c>
      <c r="C50" s="345">
        <f t="shared" ref="C50:H50" si="9">+C20</f>
        <v>3.4838098558625408E-2</v>
      </c>
      <c r="D50" s="345">
        <f t="shared" si="9"/>
        <v>3.4838098558625408E-2</v>
      </c>
      <c r="E50" s="345">
        <f t="shared" si="9"/>
        <v>3.4838098558625408E-2</v>
      </c>
      <c r="F50" s="345">
        <f t="shared" si="9"/>
        <v>3.4838098558625408E-2</v>
      </c>
      <c r="G50" s="345">
        <f t="shared" si="9"/>
        <v>3.4838098558625408E-2</v>
      </c>
      <c r="H50" s="345">
        <f t="shared" si="9"/>
        <v>3.4838098558625408E-2</v>
      </c>
    </row>
    <row r="51" spans="2:8" x14ac:dyDescent="0.2">
      <c r="B51" s="333" t="s">
        <v>545</v>
      </c>
      <c r="C51" s="329">
        <v>0.02</v>
      </c>
      <c r="D51" s="329">
        <v>0.02</v>
      </c>
      <c r="E51" s="329">
        <v>0.02</v>
      </c>
      <c r="F51" s="329">
        <v>0.02</v>
      </c>
      <c r="G51" s="329">
        <v>0.02</v>
      </c>
      <c r="H51" s="329">
        <v>0.02</v>
      </c>
    </row>
    <row r="52" spans="2:8" x14ac:dyDescent="0.2">
      <c r="B52" s="333" t="s">
        <v>417</v>
      </c>
      <c r="C52" s="344"/>
      <c r="D52" s="325">
        <f>+C56</f>
        <v>0</v>
      </c>
      <c r="E52" s="325">
        <f>+D56</f>
        <v>0</v>
      </c>
      <c r="F52" s="325">
        <f>+E56</f>
        <v>0</v>
      </c>
      <c r="G52" s="325">
        <f>+F56</f>
        <v>0</v>
      </c>
      <c r="H52" s="325">
        <f>+G56</f>
        <v>0</v>
      </c>
    </row>
    <row r="53" spans="2:8" x14ac:dyDescent="0.2">
      <c r="B53" s="333" t="s">
        <v>418</v>
      </c>
      <c r="C53" s="344"/>
      <c r="D53" s="325">
        <f>+C58</f>
        <v>0</v>
      </c>
      <c r="E53" s="325">
        <f>+D58</f>
        <v>0</v>
      </c>
      <c r="F53" s="325">
        <f>+E58</f>
        <v>0</v>
      </c>
      <c r="G53" s="325">
        <f>+F58</f>
        <v>0</v>
      </c>
      <c r="H53" s="325">
        <f>+G58</f>
        <v>0</v>
      </c>
    </row>
    <row r="54" spans="2:8" x14ac:dyDescent="0.2">
      <c r="B54" s="333" t="s">
        <v>419</v>
      </c>
      <c r="C54" s="344"/>
      <c r="D54" s="325">
        <f>-C56*D50</f>
        <v>0</v>
      </c>
      <c r="E54" s="325">
        <f>-D56*E50</f>
        <v>0</v>
      </c>
      <c r="F54" s="325">
        <f>-E56*F50</f>
        <v>0</v>
      </c>
      <c r="G54" s="325">
        <f>-F56*G50</f>
        <v>0</v>
      </c>
      <c r="H54" s="325">
        <f>-G56*H50</f>
        <v>0</v>
      </c>
    </row>
    <row r="55" spans="2:8" x14ac:dyDescent="0.2">
      <c r="B55" s="333" t="s">
        <v>546</v>
      </c>
      <c r="C55" s="344"/>
      <c r="D55" s="325"/>
      <c r="E55" s="325"/>
      <c r="F55" s="325"/>
      <c r="G55" s="325"/>
      <c r="H55" s="325"/>
    </row>
    <row r="56" spans="2:8" x14ac:dyDescent="0.2">
      <c r="B56" s="333" t="s">
        <v>420</v>
      </c>
      <c r="C56" s="325"/>
      <c r="D56" s="325">
        <f>+D52+D55</f>
        <v>0</v>
      </c>
      <c r="E56" s="325">
        <f>+E52+E55</f>
        <v>0</v>
      </c>
      <c r="F56" s="325">
        <f>+F52+F55</f>
        <v>0</v>
      </c>
      <c r="G56" s="325">
        <f>+G52+G55</f>
        <v>0</v>
      </c>
      <c r="H56" s="325">
        <f>+H52+H55</f>
        <v>0</v>
      </c>
    </row>
    <row r="57" spans="2:8" x14ac:dyDescent="0.2">
      <c r="B57" s="333" t="s">
        <v>319</v>
      </c>
      <c r="C57" s="325"/>
      <c r="D57" s="325">
        <f>+C57+D54</f>
        <v>0</v>
      </c>
      <c r="E57" s="325">
        <f>+D57+E54</f>
        <v>0</v>
      </c>
      <c r="F57" s="325">
        <f>+E57+F54</f>
        <v>0</v>
      </c>
      <c r="G57" s="325">
        <f>+F57+G54</f>
        <v>0</v>
      </c>
      <c r="H57" s="325">
        <f>+G57+H54</f>
        <v>0</v>
      </c>
    </row>
    <row r="58" spans="2:8" x14ac:dyDescent="0.2">
      <c r="B58" s="333" t="s">
        <v>421</v>
      </c>
      <c r="C58" s="325"/>
      <c r="D58" s="325">
        <f>+SUM(D56:D57)</f>
        <v>0</v>
      </c>
      <c r="E58" s="325">
        <f>+SUM(E56:E57)</f>
        <v>0</v>
      </c>
      <c r="F58" s="325">
        <f>+SUM(F56:F57)</f>
        <v>0</v>
      </c>
      <c r="G58" s="325">
        <f>+SUM(G56:G57)</f>
        <v>0</v>
      </c>
      <c r="H58" s="325">
        <f>+SUM(H56:H57)</f>
        <v>0</v>
      </c>
    </row>
    <row r="59" spans="2:8" x14ac:dyDescent="0.2">
      <c r="B59" s="399" t="s">
        <v>879</v>
      </c>
      <c r="C59" s="325"/>
      <c r="D59" s="325"/>
      <c r="E59" s="325"/>
      <c r="F59" s="325"/>
      <c r="G59" s="325"/>
      <c r="H59" s="325"/>
    </row>
    <row r="60" spans="2:8" x14ac:dyDescent="0.2">
      <c r="B60" s="333"/>
      <c r="C60" s="325"/>
      <c r="D60" s="325"/>
      <c r="E60" s="325"/>
      <c r="F60" s="325"/>
      <c r="G60" s="325"/>
      <c r="H60" s="325"/>
    </row>
    <row r="61" spans="2:8" x14ac:dyDescent="0.2">
      <c r="B61" s="243" t="s">
        <v>880</v>
      </c>
      <c r="C61" s="107">
        <f t="shared" ref="C61:H61" si="10">C$9</f>
        <v>2016</v>
      </c>
      <c r="D61" s="107">
        <f t="shared" si="10"/>
        <v>2017</v>
      </c>
      <c r="E61" s="107">
        <f t="shared" si="10"/>
        <v>2018</v>
      </c>
      <c r="F61" s="107">
        <f t="shared" si="10"/>
        <v>2019</v>
      </c>
      <c r="G61" s="107">
        <f t="shared" si="10"/>
        <v>2020</v>
      </c>
      <c r="H61" s="107">
        <f t="shared" si="10"/>
        <v>2021</v>
      </c>
    </row>
    <row r="62" spans="2:8" x14ac:dyDescent="0.2">
      <c r="B62" s="28" t="s">
        <v>421</v>
      </c>
      <c r="C62" s="325">
        <f t="shared" ref="C62:H62" si="11">C15+C47</f>
        <v>204259966.1240339</v>
      </c>
      <c r="D62" s="325">
        <f t="shared" si="11"/>
        <v>188786044.43471515</v>
      </c>
      <c r="E62" s="325">
        <f t="shared" si="11"/>
        <v>173312122.74539644</v>
      </c>
      <c r="F62" s="325">
        <f t="shared" si="11"/>
        <v>157838201.05607775</v>
      </c>
      <c r="G62" s="325">
        <f t="shared" si="11"/>
        <v>142364279.36675903</v>
      </c>
      <c r="H62" s="325">
        <f t="shared" si="11"/>
        <v>126890357.67744032</v>
      </c>
    </row>
    <row r="63" spans="2:8" x14ac:dyDescent="0.2">
      <c r="B63" s="28" t="s">
        <v>419</v>
      </c>
      <c r="C63" s="325">
        <f t="shared" ref="C63:H63" si="12">C13+C43</f>
        <v>0</v>
      </c>
      <c r="D63" s="325">
        <f t="shared" si="12"/>
        <v>-15473921.689318705</v>
      </c>
      <c r="E63" s="325">
        <f t="shared" si="12"/>
        <v>-15473921.689318705</v>
      </c>
      <c r="F63" s="325">
        <f t="shared" si="12"/>
        <v>-15473921.689318705</v>
      </c>
      <c r="G63" s="325">
        <f t="shared" si="12"/>
        <v>-15473921.689318705</v>
      </c>
      <c r="H63" s="325">
        <f t="shared" si="12"/>
        <v>-15473921.689318705</v>
      </c>
    </row>
    <row r="64" spans="2:8" x14ac:dyDescent="0.2">
      <c r="B64" s="28" t="s">
        <v>420</v>
      </c>
      <c r="C64" s="325">
        <f t="shared" ref="C64:H64" si="13">C14+C45</f>
        <v>413319119.96403384</v>
      </c>
      <c r="D64" s="325">
        <f t="shared" si="13"/>
        <v>413319119.96403384</v>
      </c>
      <c r="E64" s="325">
        <f t="shared" si="13"/>
        <v>413319119.96403384</v>
      </c>
      <c r="F64" s="325">
        <f t="shared" si="13"/>
        <v>413319119.96403384</v>
      </c>
      <c r="G64" s="325">
        <f t="shared" si="13"/>
        <v>413319119.96403384</v>
      </c>
      <c r="H64" s="325">
        <f t="shared" si="13"/>
        <v>413319119.96403384</v>
      </c>
    </row>
    <row r="65" spans="1:8" x14ac:dyDescent="0.2">
      <c r="B65" s="243" t="s">
        <v>884</v>
      </c>
      <c r="C65" s="107">
        <f t="shared" ref="C65:H65" si="14">C$9</f>
        <v>2016</v>
      </c>
      <c r="D65" s="107">
        <f t="shared" si="14"/>
        <v>2017</v>
      </c>
      <c r="E65" s="107">
        <f t="shared" si="14"/>
        <v>2018</v>
      </c>
      <c r="F65" s="107">
        <f t="shared" si="14"/>
        <v>2019</v>
      </c>
      <c r="G65" s="107">
        <f t="shared" si="14"/>
        <v>2020</v>
      </c>
      <c r="H65" s="107">
        <f t="shared" si="14"/>
        <v>2021</v>
      </c>
    </row>
    <row r="66" spans="1:8" x14ac:dyDescent="0.2">
      <c r="B66" s="28" t="s">
        <v>421</v>
      </c>
      <c r="C66" s="325">
        <f t="shared" ref="C66:H66" si="15">C25+C35+C58</f>
        <v>0</v>
      </c>
      <c r="D66" s="325">
        <f>D25+D35+D58</f>
        <v>339449178.87037194</v>
      </c>
      <c r="E66" s="325">
        <f t="shared" si="15"/>
        <v>327413306.72753745</v>
      </c>
      <c r="F66" s="325">
        <f t="shared" si="15"/>
        <v>315377434.58470297</v>
      </c>
      <c r="G66" s="325">
        <f t="shared" si="15"/>
        <v>303341562.44186848</v>
      </c>
      <c r="H66" s="325">
        <f t="shared" si="15"/>
        <v>291305690.299034</v>
      </c>
    </row>
    <row r="67" spans="1:8" x14ac:dyDescent="0.2">
      <c r="B67" s="28" t="s">
        <v>419</v>
      </c>
      <c r="C67" s="325">
        <f t="shared" ref="C67:H67" si="16">C23+C34+C54</f>
        <v>0</v>
      </c>
      <c r="D67" s="325">
        <f t="shared" si="16"/>
        <v>-6030989.1296280399</v>
      </c>
      <c r="E67" s="325">
        <f t="shared" si="16"/>
        <v>-12035872.142834464</v>
      </c>
      <c r="F67" s="325">
        <f t="shared" si="16"/>
        <v>-12035872.142834464</v>
      </c>
      <c r="G67" s="325">
        <f t="shared" si="16"/>
        <v>-12035872.142834464</v>
      </c>
      <c r="H67" s="325">
        <f t="shared" si="16"/>
        <v>-12035872.142834464</v>
      </c>
    </row>
    <row r="68" spans="1:8" x14ac:dyDescent="0.2">
      <c r="B68" s="28" t="s">
        <v>420</v>
      </c>
      <c r="C68" s="325">
        <f t="shared" ref="C68:H68" si="17">C24+C36+C56</f>
        <v>0</v>
      </c>
      <c r="D68" s="325">
        <f t="shared" si="17"/>
        <v>345480168</v>
      </c>
      <c r="E68" s="325">
        <f t="shared" si="17"/>
        <v>345480168</v>
      </c>
      <c r="F68" s="325">
        <f t="shared" si="17"/>
        <v>345480168</v>
      </c>
      <c r="G68" s="325">
        <f t="shared" si="17"/>
        <v>345480168</v>
      </c>
      <c r="H68" s="325">
        <f t="shared" si="17"/>
        <v>345480168</v>
      </c>
    </row>
    <row r="69" spans="1:8" x14ac:dyDescent="0.2">
      <c r="B69" s="28" t="s">
        <v>788</v>
      </c>
      <c r="C69" s="325">
        <f t="shared" ref="C69:H69" si="18">C31</f>
        <v>0</v>
      </c>
      <c r="D69" s="325">
        <f t="shared" si="18"/>
        <v>173114761.68767121</v>
      </c>
      <c r="E69" s="325">
        <f t="shared" si="18"/>
        <v>0</v>
      </c>
      <c r="F69" s="325">
        <f t="shared" si="18"/>
        <v>0</v>
      </c>
      <c r="G69" s="325">
        <f t="shared" si="18"/>
        <v>0</v>
      </c>
      <c r="H69" s="325">
        <f t="shared" si="18"/>
        <v>0</v>
      </c>
    </row>
    <row r="70" spans="1:8" x14ac:dyDescent="0.2">
      <c r="A70" s="254"/>
      <c r="B70" s="254"/>
      <c r="C70" s="392"/>
      <c r="D70" s="392"/>
      <c r="E70" s="392"/>
      <c r="F70" s="392"/>
      <c r="G70" s="392"/>
      <c r="H70" s="392"/>
    </row>
    <row r="71" spans="1:8" s="89" customFormat="1" hidden="1" x14ac:dyDescent="0.2">
      <c r="B71" s="107" t="s">
        <v>873</v>
      </c>
    </row>
    <row r="72" spans="1:8" hidden="1" x14ac:dyDescent="0.2">
      <c r="A72" s="254"/>
      <c r="B72" s="254"/>
      <c r="C72" s="392"/>
      <c r="D72" s="392"/>
      <c r="E72" s="392"/>
      <c r="F72" s="392"/>
      <c r="G72" s="392"/>
      <c r="H72" s="392"/>
    </row>
    <row r="73" spans="1:8" s="254" customFormat="1" hidden="1" x14ac:dyDescent="0.2">
      <c r="B73" s="391" t="s">
        <v>773</v>
      </c>
      <c r="C73" s="988">
        <f>+'IMP Existente'!D12</f>
        <v>3.5000000000000003E-2</v>
      </c>
    </row>
    <row r="74" spans="1:8" hidden="1" x14ac:dyDescent="0.2">
      <c r="B74" s="396" t="s">
        <v>874</v>
      </c>
    </row>
    <row r="75" spans="1:8" hidden="1" x14ac:dyDescent="0.2">
      <c r="B75" s="400" t="s">
        <v>876</v>
      </c>
      <c r="C75" s="397">
        <v>0.7</v>
      </c>
    </row>
    <row r="76" spans="1:8" hidden="1" x14ac:dyDescent="0.2">
      <c r="B76" s="400" t="s">
        <v>875</v>
      </c>
      <c r="C76" s="398">
        <f>1-C75</f>
        <v>0.30000000000000004</v>
      </c>
    </row>
    <row r="77" spans="1:8" hidden="1" x14ac:dyDescent="0.2"/>
    <row r="78" spans="1:8" hidden="1" x14ac:dyDescent="0.2">
      <c r="B78" s="393"/>
      <c r="C78" s="56">
        <v>2016</v>
      </c>
      <c r="D78" s="56">
        <v>2017</v>
      </c>
      <c r="E78" s="56">
        <v>2018</v>
      </c>
      <c r="F78" s="56">
        <v>2019</v>
      </c>
      <c r="G78" s="56">
        <v>2020</v>
      </c>
      <c r="H78" s="56">
        <v>2021</v>
      </c>
    </row>
    <row r="79" spans="1:8" hidden="1" x14ac:dyDescent="0.2">
      <c r="B79" s="395" t="s">
        <v>543</v>
      </c>
      <c r="C79" s="344"/>
      <c r="D79" s="374">
        <f>+(SUMIF('Plan de Expansión'!$C$7:$M$7,D$78,'Plan de Expansión'!$C$10:$M$10)+SUMIF('Plan de Expansión'!$C$7:$M$7,D$78,'Plan de Expansión'!$C$49:$M$49)+SUMIF('Plan de Expansión'!$C$7:$M$7,D$78,'Plan de Expansión'!$C$89:$M$89))*1000</f>
        <v>1892000</v>
      </c>
      <c r="E79" s="374">
        <f>+(SUMIF('Plan de Expansión'!$C$7:$M$7,E$78,'Plan de Expansión'!$C$10:$M$10)+SUMIF('Plan de Expansión'!$C$7:$M$7,E$78,'Plan de Expansión'!$C$49:$M$49)+SUMIF('Plan de Expansión'!$C$7:$M$7,E$78,'Plan de Expansión'!$C$89:$M$89))*1000</f>
        <v>95586000</v>
      </c>
      <c r="F79" s="374">
        <f>+(SUMIF('Plan de Expansión'!$C$7:$M$7,F$78,'Plan de Expansión'!$C$10:$M$10)+SUMIF('Plan de Expansión'!$C$7:$M$7,F$78,'Plan de Expansión'!$C$49:$M$49)+SUMIF('Plan de Expansión'!$C$7:$M$7,F$78,'Plan de Expansión'!$C$89:$M$89))*1000</f>
        <v>239222000</v>
      </c>
      <c r="G79" s="374">
        <f>+(SUMIF('Plan de Expansión'!$C$7:$M$7,G$78,'Plan de Expansión'!$C$10:$M$10)+SUMIF('Plan de Expansión'!$C$7:$M$7,G$78,'Plan de Expansión'!$C$49:$M$49)+SUMIF('Plan de Expansión'!$C$7:$M$7,G$78,'Plan de Expansión'!$C$89:$M$89))*1000</f>
        <v>99604000</v>
      </c>
      <c r="H79" s="374">
        <f>+(SUMIF('Plan de Expansión'!$C$7:$M$7,H$78,'Plan de Expansión'!$C$10:$M$10)+SUMIF('Plan de Expansión'!$C$7:$M$7,H$78,'Plan de Expansión'!$C$49:$M$49)+SUMIF('Plan de Expansión'!$C$7:$M$7,H$78,'Plan de Expansión'!$C$89:$M$89))*1000</f>
        <v>764000</v>
      </c>
    </row>
    <row r="80" spans="1:8" hidden="1" x14ac:dyDescent="0.2">
      <c r="B80" s="395" t="s">
        <v>425</v>
      </c>
      <c r="C80" s="344"/>
      <c r="D80" s="374">
        <f>+SUMIF('Plan de Expansión'!$C$7:$M$7,D$78,'Plan de Expansión'!$C$74:$M$74)*1000</f>
        <v>0</v>
      </c>
      <c r="E80" s="374">
        <f>+SUMIF('Plan de Expansión'!$C$7:$M$7,E$78,'Plan de Expansión'!$C$74:$M$74)*1000</f>
        <v>49000</v>
      </c>
      <c r="F80" s="374">
        <f>+SUMIF('Plan de Expansión'!$C$7:$M$7,F$78,'Plan de Expansión'!$C$74:$M$74)*1000</f>
        <v>88000</v>
      </c>
      <c r="G80" s="374">
        <f>+SUMIF('Plan de Expansión'!$C$7:$M$7,G$78,'Plan de Expansión'!$C$74:$M$74)*1000</f>
        <v>612000</v>
      </c>
      <c r="H80" s="374">
        <f>+SUMIF('Plan de Expansión'!$C$7:$M$7,H$78,'Plan de Expansión'!$C$74:$M$74)*1000</f>
        <v>824000</v>
      </c>
    </row>
    <row r="81" spans="2:8" hidden="1" x14ac:dyDescent="0.2">
      <c r="B81" s="395" t="s">
        <v>544</v>
      </c>
      <c r="C81" s="344"/>
      <c r="D81" s="374">
        <f>+SUMIF('Plan de Expansión'!$C$7:$M$7,D$78,'Plan de Expansión'!$C$153:$M$153)*1000</f>
        <v>0</v>
      </c>
      <c r="E81" s="374">
        <f>+SUMIF('Plan de Expansión'!$C$7:$M$7,E$78,'Plan de Expansión'!$C$153:$M$153)*1000</f>
        <v>88000</v>
      </c>
      <c r="F81" s="374">
        <f>+SUMIF('Plan de Expansión'!$C$7:$M$7,F$78,'Plan de Expansión'!$C$153:$M$153)*1000</f>
        <v>0</v>
      </c>
      <c r="G81" s="374">
        <f>+SUMIF('Plan de Expansión'!$C$7:$M$7,G$78,'Plan de Expansión'!$C$153:$M$153)*1000</f>
        <v>0</v>
      </c>
      <c r="H81" s="374">
        <f>+SUMIF('Plan de Expansión'!$C$7:$M$7,H$78,'Plan de Expansión'!$C$153:$M$153)*1000</f>
        <v>0</v>
      </c>
    </row>
    <row r="82" spans="2:8" hidden="1" x14ac:dyDescent="0.2">
      <c r="B82" s="395" t="s">
        <v>426</v>
      </c>
      <c r="C82" s="344"/>
      <c r="D82" s="328">
        <f>$C$73</f>
        <v>3.5000000000000003E-2</v>
      </c>
      <c r="E82" s="328">
        <f>$C$73</f>
        <v>3.5000000000000003E-2</v>
      </c>
      <c r="F82" s="328">
        <f>$C$73</f>
        <v>3.5000000000000003E-2</v>
      </c>
      <c r="G82" s="328">
        <f>$C$73</f>
        <v>3.5000000000000003E-2</v>
      </c>
      <c r="H82" s="328">
        <f>$C$73</f>
        <v>3.5000000000000003E-2</v>
      </c>
    </row>
    <row r="83" spans="2:8" hidden="1" x14ac:dyDescent="0.2">
      <c r="B83" s="395" t="s">
        <v>418</v>
      </c>
      <c r="C83" s="344"/>
      <c r="D83" s="325">
        <f>+C85</f>
        <v>0</v>
      </c>
      <c r="E83" s="325">
        <f>+D85</f>
        <v>1892000</v>
      </c>
      <c r="F83" s="325">
        <f>+E85</f>
        <v>97460780</v>
      </c>
      <c r="G83" s="325">
        <f>+F85</f>
        <v>333357335</v>
      </c>
      <c r="H83" s="325">
        <f>+G85</f>
        <v>421784040</v>
      </c>
    </row>
    <row r="84" spans="2:8" hidden="1" x14ac:dyDescent="0.2">
      <c r="B84" s="395" t="s">
        <v>419</v>
      </c>
      <c r="C84" s="344"/>
      <c r="D84" s="325">
        <f>-D82*C86</f>
        <v>0</v>
      </c>
      <c r="E84" s="325">
        <f>-E82*D86</f>
        <v>-66220</v>
      </c>
      <c r="F84" s="325">
        <f>-F82*E86</f>
        <v>-3413445.0000000005</v>
      </c>
      <c r="G84" s="325">
        <f>-G82*F86</f>
        <v>-11789295.000000002</v>
      </c>
      <c r="H84" s="325">
        <f>-H82*G86</f>
        <v>-15296855.000000002</v>
      </c>
    </row>
    <row r="85" spans="2:8" hidden="1" x14ac:dyDescent="0.2">
      <c r="B85" s="395" t="s">
        <v>421</v>
      </c>
      <c r="C85" s="325">
        <v>0</v>
      </c>
      <c r="D85" s="325">
        <f>+D83+D84+D79+D80</f>
        <v>1892000</v>
      </c>
      <c r="E85" s="325">
        <f>+E83+E84+E79+E80</f>
        <v>97460780</v>
      </c>
      <c r="F85" s="325">
        <f>+F83+F84+F79+F80</f>
        <v>333357335</v>
      </c>
      <c r="G85" s="325">
        <f>+G83+G84+G79+G80</f>
        <v>421784040</v>
      </c>
      <c r="H85" s="325">
        <f>+H83+H84+H79+H80</f>
        <v>408075185</v>
      </c>
    </row>
    <row r="86" spans="2:8" hidden="1" x14ac:dyDescent="0.2">
      <c r="B86" s="395" t="s">
        <v>420</v>
      </c>
      <c r="C86" s="325">
        <v>0</v>
      </c>
      <c r="D86" s="325">
        <f>+C86+D79+D80</f>
        <v>1892000</v>
      </c>
      <c r="E86" s="325">
        <f>+D86+E79+E80</f>
        <v>97527000</v>
      </c>
      <c r="F86" s="325">
        <f>+E86+F79+F80</f>
        <v>336837000</v>
      </c>
      <c r="G86" s="325">
        <f>+F86+G79+G80</f>
        <v>437053000</v>
      </c>
      <c r="H86" s="325">
        <f>+G86+H79+H80</f>
        <v>438641000</v>
      </c>
    </row>
    <row r="87" spans="2:8" hidden="1" x14ac:dyDescent="0.2">
      <c r="B87" s="395" t="s">
        <v>319</v>
      </c>
      <c r="C87" s="325">
        <v>0</v>
      </c>
      <c r="D87" s="325">
        <f>+C87+D84</f>
        <v>0</v>
      </c>
      <c r="E87" s="325">
        <f>+D87+E84</f>
        <v>-66220</v>
      </c>
      <c r="F87" s="325">
        <f>+E87+F84</f>
        <v>-3479665.0000000005</v>
      </c>
      <c r="G87" s="325">
        <f>+F87+G84</f>
        <v>-15268960.000000002</v>
      </c>
      <c r="H87" s="325">
        <f>+G87+H84</f>
        <v>-30565815.000000004</v>
      </c>
    </row>
    <row r="88" spans="2:8" hidden="1" x14ac:dyDescent="0.2">
      <c r="B88" s="395" t="s">
        <v>422</v>
      </c>
      <c r="C88" s="325">
        <v>0</v>
      </c>
      <c r="D88" s="325">
        <f>+D86+D87</f>
        <v>1892000</v>
      </c>
      <c r="E88" s="325">
        <f>+E86+E87</f>
        <v>97460780</v>
      </c>
      <c r="F88" s="325">
        <f>+F86+F87</f>
        <v>333357335</v>
      </c>
      <c r="G88" s="325">
        <f>+G86+G87</f>
        <v>421784040</v>
      </c>
      <c r="H88" s="325">
        <f>+H86+H87</f>
        <v>408075185</v>
      </c>
    </row>
    <row r="89" spans="2:8" hidden="1" x14ac:dyDescent="0.2"/>
    <row r="90" spans="2:8" s="89" customFormat="1" hidden="1" x14ac:dyDescent="0.2">
      <c r="B90" s="107" t="s">
        <v>5</v>
      </c>
    </row>
    <row r="91" spans="2:8" s="94" customFormat="1" hidden="1" x14ac:dyDescent="0.2">
      <c r="B91" s="372"/>
      <c r="C91" s="372"/>
      <c r="D91" s="372"/>
      <c r="E91" s="372"/>
      <c r="F91" s="372"/>
      <c r="G91" s="372"/>
      <c r="H91" s="372"/>
    </row>
    <row r="92" spans="2:8" hidden="1" x14ac:dyDescent="0.2">
      <c r="B92" s="338" t="s">
        <v>424</v>
      </c>
      <c r="C92" s="56">
        <v>2016</v>
      </c>
      <c r="D92" s="56">
        <v>2017</v>
      </c>
      <c r="E92" s="56">
        <v>2018</v>
      </c>
      <c r="F92" s="56">
        <v>2019</v>
      </c>
      <c r="G92" s="56">
        <v>2020</v>
      </c>
      <c r="H92" s="56">
        <v>2021</v>
      </c>
    </row>
    <row r="93" spans="2:8" hidden="1" outlineLevel="1" x14ac:dyDescent="0.2">
      <c r="B93" s="758" t="s">
        <v>534</v>
      </c>
      <c r="C93" s="757"/>
      <c r="D93" s="757">
        <f>+(SUMIF('Plan de Expansión'!$C$7:$M$7,D$92,'Plan de Expansión'!$C$10:$M$10)-SUMIF('Plan de Expansión'!$C$7:$M$7,'Activos Reconocidos'!D$92,'Plan de Expansión'!$C$11:$M$11))*1000</f>
        <v>1842000</v>
      </c>
      <c r="E93" s="757">
        <f>+(SUMIF('Plan de Expansión'!$C$7:$M$7,E$92,'Plan de Expansión'!$C$10:$M$10)-SUMIF('Plan de Expansión'!$C$7:$M$7,'Activos Reconocidos'!E$92,'Plan de Expansión'!$C$11:$M$11))*1000</f>
        <v>91709000</v>
      </c>
      <c r="F93" s="757">
        <f>+(SUMIF('Plan de Expansión'!$C$7:$M$7,F$92,'Plan de Expansión'!$C$10:$M$10)-SUMIF('Plan de Expansión'!$C$7:$M$7,'Activos Reconocidos'!F$92,'Plan de Expansión'!$C$11:$M$11))*1000</f>
        <v>193381000</v>
      </c>
      <c r="G93" s="757">
        <f>+(SUMIF('Plan de Expansión'!$C$7:$M$7,G$92,'Plan de Expansión'!$C$10:$M$10)-SUMIF('Plan de Expansión'!$C$7:$M$7,'Activos Reconocidos'!G$92,'Plan de Expansión'!$C$11:$M$11))*1000</f>
        <v>74963000</v>
      </c>
      <c r="H93" s="757">
        <f>+(SUMIF('Plan de Expansión'!$C$7:$M$7,H$92,'Plan de Expansión'!$C$10:$M$10)-SUMIF('Plan de Expansión'!$C$7:$M$7,'Activos Reconocidos'!H$92,'Plan de Expansión'!$C$11:$M$11))*1000</f>
        <v>764000</v>
      </c>
    </row>
    <row r="94" spans="2:8" hidden="1" outlineLevel="1" x14ac:dyDescent="0.2">
      <c r="B94" s="758" t="s">
        <v>518</v>
      </c>
      <c r="C94" s="757"/>
      <c r="D94" s="757">
        <f>+SUMIF('Plan de Expansión'!$C$7:$M$7,D$92,'Plan de Expansión'!$C$54:$M$54)*1000</f>
        <v>7007000</v>
      </c>
      <c r="E94" s="757">
        <f>+SUMIF('Plan de Expansión'!$C$7:$M$7,E$92,'Plan de Expansión'!$C$54:$M$54)*1000</f>
        <v>17799000</v>
      </c>
      <c r="F94" s="757">
        <f>+SUMIF('Plan de Expansión'!$C$7:$M$7,F$92,'Plan de Expansión'!$C$54:$M$54)*1000</f>
        <v>74971000</v>
      </c>
      <c r="G94" s="757">
        <f>+SUMIF('Plan de Expansión'!$C$7:$M$7,G$92,'Plan de Expansión'!$C$54:$M$54)*1000</f>
        <v>150379000</v>
      </c>
      <c r="H94" s="757">
        <f>+SUMIF('Plan de Expansión'!$C$7:$M$7,H$92,'Plan de Expansión'!$C$54:$M$54)*1000</f>
        <v>148736000</v>
      </c>
    </row>
    <row r="95" spans="2:8" hidden="1" outlineLevel="1" x14ac:dyDescent="0.2">
      <c r="B95" s="758" t="s">
        <v>494</v>
      </c>
      <c r="C95" s="757"/>
      <c r="D95" s="757">
        <f>+SUMIF('Plan de Expansión'!$C$7:$M$7,D$92,'Plan de Expansión'!$C$101:$M$101)*1000</f>
        <v>1885000</v>
      </c>
      <c r="E95" s="757">
        <f>+SUMIF('Plan de Expansión'!$C$7:$M$7,E$92,'Plan de Expansión'!$C$101:$M$101)*1000</f>
        <v>23690000</v>
      </c>
      <c r="F95" s="757">
        <f>+SUMIF('Plan de Expansión'!$C$7:$M$7,F$92,'Plan de Expansión'!$C$101:$M$101)*1000</f>
        <v>6568000</v>
      </c>
      <c r="G95" s="757">
        <f>+SUMIF('Plan de Expansión'!$C$7:$M$7,G$92,'Plan de Expansión'!$C$101:$M$101)*1000</f>
        <v>7072000</v>
      </c>
      <c r="H95" s="757">
        <f>+SUMIF('Plan de Expansión'!$C$7:$M$7,H$92,'Plan de Expansión'!$C$101:$M$101)*1000</f>
        <v>4641000</v>
      </c>
    </row>
    <row r="96" spans="2:8" hidden="1" x14ac:dyDescent="0.2">
      <c r="B96" s="395" t="s">
        <v>1018</v>
      </c>
      <c r="C96" s="325"/>
      <c r="D96" s="325">
        <f>+SUM(D93:D95)</f>
        <v>10734000</v>
      </c>
      <c r="E96" s="325">
        <f t="shared" ref="E96:H96" si="19">+SUM(E93:E95)</f>
        <v>133198000</v>
      </c>
      <c r="F96" s="325">
        <f t="shared" si="19"/>
        <v>274920000</v>
      </c>
      <c r="G96" s="325">
        <f t="shared" si="19"/>
        <v>232414000</v>
      </c>
      <c r="H96" s="325">
        <f t="shared" si="19"/>
        <v>154141000</v>
      </c>
    </row>
    <row r="97" spans="2:10" hidden="1" x14ac:dyDescent="0.2">
      <c r="B97" s="395" t="s">
        <v>1017</v>
      </c>
      <c r="D97" s="373">
        <v>0</v>
      </c>
      <c r="E97" s="373">
        <v>0</v>
      </c>
      <c r="F97" s="373">
        <v>0</v>
      </c>
      <c r="G97" s="373">
        <v>0</v>
      </c>
      <c r="H97" s="373">
        <v>0</v>
      </c>
    </row>
    <row r="98" spans="2:10" hidden="1" x14ac:dyDescent="0.2">
      <c r="B98" s="540" t="s">
        <v>1016</v>
      </c>
      <c r="C98" s="94"/>
      <c r="D98" s="349">
        <f>D96</f>
        <v>10734000</v>
      </c>
      <c r="E98" s="349">
        <f t="shared" ref="E98:H98" si="20">E96</f>
        <v>133198000</v>
      </c>
      <c r="F98" s="349">
        <f t="shared" si="20"/>
        <v>274920000</v>
      </c>
      <c r="G98" s="349">
        <f t="shared" si="20"/>
        <v>232414000</v>
      </c>
      <c r="H98" s="349">
        <f t="shared" si="20"/>
        <v>154141000</v>
      </c>
      <c r="I98" s="343"/>
    </row>
    <row r="99" spans="2:10" hidden="1" x14ac:dyDescent="0.2">
      <c r="B99" s="540" t="s">
        <v>425</v>
      </c>
      <c r="C99" s="94"/>
      <c r="D99" s="349">
        <f>+SUMIF('Plan de Expansión'!$C$7:$M$7,D$92,'Plan de Expansión'!$C$86:$M$86)*1000</f>
        <v>766000</v>
      </c>
      <c r="E99" s="349">
        <f>+SUMIF('Plan de Expansión'!$C$7:$M$7,E$92,'Plan de Expansión'!$C$86:$M$86)*1000</f>
        <v>3315000</v>
      </c>
      <c r="F99" s="349">
        <f>+SUMIF('Plan de Expansión'!$C$7:$M$7,F$92,'Plan de Expansión'!$C$86:$M$86)*1000</f>
        <v>3240000</v>
      </c>
      <c r="G99" s="349">
        <f>+SUMIF('Plan de Expansión'!$C$7:$M$7,G$92,'Plan de Expansión'!$C$86:$M$86)*1000</f>
        <v>2087000</v>
      </c>
      <c r="H99" s="349">
        <f>+SUMIF('Plan de Expansión'!$C$7:$M$7,H$92,'Plan de Expansión'!$C$86:$M$86)*1000</f>
        <v>0</v>
      </c>
      <c r="I99" s="94"/>
      <c r="J99" s="94"/>
    </row>
    <row r="100" spans="2:10" hidden="1" x14ac:dyDescent="0.2">
      <c r="B100" s="540" t="s">
        <v>544</v>
      </c>
      <c r="C100" s="94"/>
      <c r="D100" s="349">
        <f>+SUMIF('Plan de Expansión'!$C$7:$M$7,D$92,'Plan de Expansión'!$C$169:$M$169)*1000</f>
        <v>0</v>
      </c>
      <c r="E100" s="349">
        <f>+SUMIF('Plan de Expansión'!$C$7:$M$7,E$92,'Plan de Expansión'!$C$169:$M$169)*1000</f>
        <v>0</v>
      </c>
      <c r="F100" s="349">
        <f>+SUMIF('Plan de Expansión'!$C$7:$M$7,F$92,'Plan de Expansión'!$C$169:$M$169)*1000</f>
        <v>5402000</v>
      </c>
      <c r="G100" s="349">
        <f>+SUMIF('Plan de Expansión'!$C$7:$M$7,G$92,'Plan de Expansión'!$C$169:$M$169)*1000</f>
        <v>2316000</v>
      </c>
      <c r="H100" s="349">
        <f>+SUMIF('Plan de Expansión'!$C$7:$M$7,H$92,'Plan de Expansión'!$C$169:$M$169)*1000</f>
        <v>0</v>
      </c>
      <c r="I100" s="94"/>
      <c r="J100" s="94"/>
    </row>
    <row r="101" spans="2:10" hidden="1" x14ac:dyDescent="0.2">
      <c r="B101" s="541" t="s">
        <v>1015</v>
      </c>
      <c r="C101" s="94"/>
      <c r="D101" s="349">
        <f>+SUMIF('Plan de Expansión'!$C$7:$M$7,D$92,'Plan de Expansión'!$C$160:$M$160)*1000</f>
        <v>6080000</v>
      </c>
      <c r="E101" s="349">
        <f>+SUMIF('Plan de Expansión'!$C$7:$M$7,E$92,'Plan de Expansión'!$C$160:$M$160)*1000</f>
        <v>4767000</v>
      </c>
      <c r="F101" s="349">
        <f>+SUMIF('Plan de Expansión'!$C$7:$M$7,F$92,'Plan de Expansión'!$C$160:$M$160)*1000</f>
        <v>4242000</v>
      </c>
      <c r="G101" s="349">
        <f>+SUMIF('Plan de Expansión'!$C$7:$M$7,G$92,'Plan de Expansión'!$C$160:$M$160)*1000</f>
        <v>3951000</v>
      </c>
      <c r="H101" s="349">
        <f>+SUMIF('Plan de Expansión'!$C$7:$M$7,H$92,'Plan de Expansión'!$C$160:$M$160)*1000</f>
        <v>4507000</v>
      </c>
      <c r="I101" s="94"/>
      <c r="J101" s="94"/>
    </row>
    <row r="102" spans="2:10" hidden="1" x14ac:dyDescent="0.2">
      <c r="B102" s="394" t="s">
        <v>769</v>
      </c>
      <c r="D102" s="325">
        <f t="shared" ref="D102:H103" si="21">(D$99+D$101)*$C75</f>
        <v>4792200</v>
      </c>
      <c r="E102" s="325">
        <f t="shared" si="21"/>
        <v>5657400</v>
      </c>
      <c r="F102" s="325">
        <f t="shared" si="21"/>
        <v>5237400</v>
      </c>
      <c r="G102" s="325">
        <f t="shared" si="21"/>
        <v>4226600</v>
      </c>
      <c r="H102" s="325">
        <f t="shared" si="21"/>
        <v>3154900</v>
      </c>
    </row>
    <row r="103" spans="2:10" hidden="1" x14ac:dyDescent="0.2">
      <c r="B103" s="394" t="s">
        <v>768</v>
      </c>
      <c r="D103" s="325">
        <f t="shared" si="21"/>
        <v>2053800.0000000002</v>
      </c>
      <c r="E103" s="325">
        <f t="shared" si="21"/>
        <v>2424600.0000000005</v>
      </c>
      <c r="F103" s="325">
        <f t="shared" si="21"/>
        <v>2244600.0000000005</v>
      </c>
      <c r="G103" s="325">
        <f t="shared" si="21"/>
        <v>1811400.0000000002</v>
      </c>
      <c r="H103" s="325">
        <f t="shared" si="21"/>
        <v>1352100.0000000002</v>
      </c>
    </row>
    <row r="104" spans="2:10" hidden="1" x14ac:dyDescent="0.2"/>
    <row r="105" spans="2:10" hidden="1" x14ac:dyDescent="0.2">
      <c r="B105" s="338" t="s">
        <v>767</v>
      </c>
      <c r="C105" s="56"/>
      <c r="D105" s="56">
        <f>D$9</f>
        <v>2017</v>
      </c>
      <c r="E105" s="56">
        <f>E$9</f>
        <v>2018</v>
      </c>
      <c r="F105" s="56">
        <f>F$9</f>
        <v>2019</v>
      </c>
      <c r="G105" s="56">
        <f>G$9</f>
        <v>2020</v>
      </c>
      <c r="H105" s="56">
        <f>H$9</f>
        <v>2021</v>
      </c>
    </row>
    <row r="106" spans="2:10" hidden="1" x14ac:dyDescent="0.2">
      <c r="B106" s="28" t="s">
        <v>547</v>
      </c>
      <c r="D106" s="349">
        <f>D97</f>
        <v>0</v>
      </c>
      <c r="E106" s="325">
        <f t="shared" ref="E106:H106" si="22">E97</f>
        <v>0</v>
      </c>
      <c r="F106" s="325">
        <f t="shared" si="22"/>
        <v>0</v>
      </c>
      <c r="G106" s="325">
        <f t="shared" si="22"/>
        <v>0</v>
      </c>
      <c r="H106" s="325">
        <f t="shared" si="22"/>
        <v>0</v>
      </c>
    </row>
    <row r="107" spans="2:10" hidden="1" x14ac:dyDescent="0.2">
      <c r="B107" s="28" t="s">
        <v>788</v>
      </c>
      <c r="D107" s="368">
        <v>0</v>
      </c>
      <c r="E107" s="369">
        <v>0</v>
      </c>
      <c r="F107" s="369">
        <v>0</v>
      </c>
      <c r="G107" s="369">
        <v>0</v>
      </c>
      <c r="H107" s="369">
        <v>0</v>
      </c>
    </row>
    <row r="108" spans="2:10" hidden="1" x14ac:dyDescent="0.2">
      <c r="B108" s="28" t="s">
        <v>426</v>
      </c>
      <c r="D108" s="328">
        <f>$C$73</f>
        <v>3.5000000000000003E-2</v>
      </c>
      <c r="E108" s="328">
        <f>$C$73</f>
        <v>3.5000000000000003E-2</v>
      </c>
      <c r="F108" s="328">
        <f>$C$73</f>
        <v>3.5000000000000003E-2</v>
      </c>
      <c r="G108" s="328">
        <f>$C$73</f>
        <v>3.5000000000000003E-2</v>
      </c>
      <c r="H108" s="328">
        <f>$C$73</f>
        <v>3.5000000000000003E-2</v>
      </c>
    </row>
    <row r="109" spans="2:10" hidden="1" x14ac:dyDescent="0.2">
      <c r="B109" s="28" t="s">
        <v>418</v>
      </c>
    </row>
    <row r="110" spans="2:10" hidden="1" x14ac:dyDescent="0.2">
      <c r="B110" s="28" t="s">
        <v>419</v>
      </c>
      <c r="D110" s="325">
        <f>-(C112+D107)*D108</f>
        <v>0</v>
      </c>
      <c r="E110" s="325">
        <f t="shared" ref="E110:H110" si="23">-(D112+E107)*E108</f>
        <v>0</v>
      </c>
      <c r="F110" s="325">
        <f t="shared" si="23"/>
        <v>0</v>
      </c>
      <c r="G110" s="325">
        <f t="shared" si="23"/>
        <v>0</v>
      </c>
      <c r="H110" s="325">
        <f t="shared" si="23"/>
        <v>0</v>
      </c>
      <c r="J110" s="339"/>
    </row>
    <row r="111" spans="2:10" hidden="1" x14ac:dyDescent="0.2">
      <c r="B111" s="28" t="s">
        <v>763</v>
      </c>
      <c r="C111" s="325">
        <v>0</v>
      </c>
      <c r="D111" s="325">
        <f>C111+D106+D110</f>
        <v>0</v>
      </c>
      <c r="E111" s="325">
        <f>D111+E106+E110</f>
        <v>0</v>
      </c>
      <c r="F111" s="325">
        <f>E111+F106+F110</f>
        <v>0</v>
      </c>
      <c r="G111" s="325">
        <f>F111+G106+G110</f>
        <v>0</v>
      </c>
      <c r="H111" s="325">
        <f>G111+H106+H110</f>
        <v>0</v>
      </c>
    </row>
    <row r="112" spans="2:10" hidden="1" x14ac:dyDescent="0.2">
      <c r="B112" s="29" t="s">
        <v>762</v>
      </c>
      <c r="C112" s="335">
        <v>0</v>
      </c>
      <c r="D112" s="335">
        <f>C112+D106</f>
        <v>0</v>
      </c>
      <c r="E112" s="335">
        <f>D112+E106</f>
        <v>0</v>
      </c>
      <c r="F112" s="335">
        <f>E112+F106</f>
        <v>0</v>
      </c>
      <c r="G112" s="335">
        <f>F112+G106</f>
        <v>0</v>
      </c>
      <c r="H112" s="335">
        <f>G112+H106</f>
        <v>0</v>
      </c>
    </row>
    <row r="113" spans="2:10" hidden="1" x14ac:dyDescent="0.2">
      <c r="B113" s="28" t="s">
        <v>319</v>
      </c>
      <c r="D113" s="325">
        <f>C113+D110</f>
        <v>0</v>
      </c>
      <c r="E113" s="325">
        <f>D113+E110</f>
        <v>0</v>
      </c>
      <c r="F113" s="325">
        <f>E113+F110</f>
        <v>0</v>
      </c>
      <c r="G113" s="325">
        <f>F113+G110</f>
        <v>0</v>
      </c>
      <c r="H113" s="325">
        <f>G113+H110</f>
        <v>0</v>
      </c>
    </row>
    <row r="114" spans="2:10" hidden="1" x14ac:dyDescent="0.2">
      <c r="B114" s="29" t="s">
        <v>761</v>
      </c>
      <c r="C114" s="335">
        <f t="shared" ref="C114:H114" si="24">C112+C113</f>
        <v>0</v>
      </c>
      <c r="D114" s="335">
        <f t="shared" si="24"/>
        <v>0</v>
      </c>
      <c r="E114" s="335">
        <f t="shared" si="24"/>
        <v>0</v>
      </c>
      <c r="F114" s="335">
        <f t="shared" si="24"/>
        <v>0</v>
      </c>
      <c r="G114" s="335">
        <f t="shared" si="24"/>
        <v>0</v>
      </c>
      <c r="H114" s="335">
        <f t="shared" si="24"/>
        <v>0</v>
      </c>
    </row>
    <row r="115" spans="2:10" hidden="1" x14ac:dyDescent="0.2">
      <c r="I115" s="337"/>
    </row>
    <row r="116" spans="2:10" hidden="1" x14ac:dyDescent="0.2"/>
    <row r="117" spans="2:10" hidden="1" x14ac:dyDescent="0.2">
      <c r="B117" s="338" t="s">
        <v>1032</v>
      </c>
      <c r="C117" s="56" t="s">
        <v>1033</v>
      </c>
      <c r="D117" s="56">
        <f>D$9</f>
        <v>2017</v>
      </c>
      <c r="E117" s="56">
        <f>E$9</f>
        <v>2018</v>
      </c>
      <c r="F117" s="56">
        <f>F$9</f>
        <v>2019</v>
      </c>
      <c r="G117" s="56">
        <f>G$9</f>
        <v>2020</v>
      </c>
      <c r="H117" s="56">
        <f>H$9</f>
        <v>2021</v>
      </c>
    </row>
    <row r="118" spans="2:10" hidden="1" x14ac:dyDescent="0.2">
      <c r="B118" s="28" t="s">
        <v>547</v>
      </c>
      <c r="D118" s="349">
        <f>D98</f>
        <v>10734000</v>
      </c>
      <c r="E118" s="325">
        <f>E98</f>
        <v>133198000</v>
      </c>
      <c r="F118" s="325">
        <f>F98</f>
        <v>274920000</v>
      </c>
      <c r="G118" s="325">
        <f>G98</f>
        <v>232414000</v>
      </c>
      <c r="H118" s="325">
        <f>H98</f>
        <v>154141000</v>
      </c>
    </row>
    <row r="119" spans="2:10" hidden="1" x14ac:dyDescent="0.2">
      <c r="B119" s="28" t="s">
        <v>788</v>
      </c>
      <c r="D119" s="350">
        <f>'Plan de Expansión'!E177*1000</f>
        <v>7205013.6986301364</v>
      </c>
      <c r="E119" s="350">
        <f>'Plan de Expansión'!F177*1000</f>
        <v>89406876.712328762</v>
      </c>
      <c r="F119" s="350">
        <f>'Plan de Expansión'!G177*1000</f>
        <v>184535342.46575347</v>
      </c>
      <c r="G119" s="350">
        <f>'Plan de Expansión'!H177*1000</f>
        <v>58581063.013698637</v>
      </c>
      <c r="H119" s="350">
        <f>'Plan de Expansión'!I177*1000</f>
        <v>38851978.082191788</v>
      </c>
    </row>
    <row r="120" spans="2:10" hidden="1" x14ac:dyDescent="0.2">
      <c r="B120" s="28" t="s">
        <v>426</v>
      </c>
      <c r="D120" s="328">
        <f>$C$73</f>
        <v>3.5000000000000003E-2</v>
      </c>
      <c r="E120" s="328">
        <f>$C$73</f>
        <v>3.5000000000000003E-2</v>
      </c>
      <c r="F120" s="328">
        <f>$C$73</f>
        <v>3.5000000000000003E-2</v>
      </c>
      <c r="G120" s="328">
        <f>$C$73</f>
        <v>3.5000000000000003E-2</v>
      </c>
      <c r="H120" s="328">
        <f>$C$73</f>
        <v>3.5000000000000003E-2</v>
      </c>
    </row>
    <row r="121" spans="2:10" hidden="1" x14ac:dyDescent="0.2">
      <c r="B121" s="28" t="s">
        <v>418</v>
      </c>
    </row>
    <row r="122" spans="2:10" hidden="1" x14ac:dyDescent="0.2">
      <c r="B122" s="28" t="s">
        <v>419</v>
      </c>
      <c r="D122" s="325">
        <f>-(C124+D119)*D120</f>
        <v>-252175.4794520548</v>
      </c>
      <c r="E122" s="325">
        <f t="shared" ref="E122:H122" si="25">-(D124+E119)*E120</f>
        <v>-3504930.6849315069</v>
      </c>
      <c r="F122" s="325">
        <f t="shared" si="25"/>
        <v>-11496356.986301372</v>
      </c>
      <c r="G122" s="325">
        <f t="shared" si="25"/>
        <v>-16710157.205479454</v>
      </c>
      <c r="H122" s="325">
        <f t="shared" si="25"/>
        <v>-24154129.232876714</v>
      </c>
      <c r="J122" s="339"/>
    </row>
    <row r="123" spans="2:10" hidden="1" x14ac:dyDescent="0.2">
      <c r="B123" s="28" t="s">
        <v>763</v>
      </c>
      <c r="C123" s="325">
        <v>0</v>
      </c>
      <c r="D123" s="325">
        <f>C123+D118+D122</f>
        <v>10481824.520547945</v>
      </c>
      <c r="E123" s="325">
        <f>D123+E118+E122</f>
        <v>140174893.83561644</v>
      </c>
      <c r="F123" s="325">
        <f>E123+F118+F122</f>
        <v>403598536.84931511</v>
      </c>
      <c r="G123" s="325">
        <f>F123+G118+G122</f>
        <v>619302379.64383566</v>
      </c>
      <c r="H123" s="325">
        <f>G123+H118+H122</f>
        <v>749289250.41095901</v>
      </c>
    </row>
    <row r="124" spans="2:10" hidden="1" x14ac:dyDescent="0.2">
      <c r="B124" s="29" t="s">
        <v>762</v>
      </c>
      <c r="C124" s="335">
        <v>0</v>
      </c>
      <c r="D124" s="756">
        <f>C124+D118</f>
        <v>10734000</v>
      </c>
      <c r="E124" s="335">
        <f>D124+E118</f>
        <v>143932000</v>
      </c>
      <c r="F124" s="335">
        <f>E124+F118</f>
        <v>418852000</v>
      </c>
      <c r="G124" s="335">
        <f>F124+G118</f>
        <v>651266000</v>
      </c>
      <c r="H124" s="335">
        <f>G124+H118</f>
        <v>805407000</v>
      </c>
    </row>
    <row r="125" spans="2:10" hidden="1" x14ac:dyDescent="0.2">
      <c r="B125" s="28" t="s">
        <v>319</v>
      </c>
      <c r="D125" s="325">
        <f>C125+D122</f>
        <v>-252175.4794520548</v>
      </c>
      <c r="E125" s="325">
        <f>D125+E122</f>
        <v>-3757106.1643835618</v>
      </c>
      <c r="F125" s="325">
        <f>E125+F122</f>
        <v>-15253463.150684934</v>
      </c>
      <c r="G125" s="325">
        <f>F125+G122</f>
        <v>-31963620.356164388</v>
      </c>
      <c r="H125" s="325">
        <f>G125+H122</f>
        <v>-56117749.589041099</v>
      </c>
    </row>
    <row r="126" spans="2:10" hidden="1" x14ac:dyDescent="0.2">
      <c r="B126" s="29" t="s">
        <v>761</v>
      </c>
      <c r="C126" s="335">
        <f t="shared" ref="C126:H126" si="26">C124+C125</f>
        <v>0</v>
      </c>
      <c r="D126" s="335">
        <f t="shared" si="26"/>
        <v>10481824.520547945</v>
      </c>
      <c r="E126" s="335">
        <f t="shared" si="26"/>
        <v>140174893.83561644</v>
      </c>
      <c r="F126" s="335">
        <f t="shared" si="26"/>
        <v>403598536.84931505</v>
      </c>
      <c r="G126" s="335">
        <f t="shared" si="26"/>
        <v>619302379.64383566</v>
      </c>
      <c r="H126" s="335">
        <f t="shared" si="26"/>
        <v>749289250.41095889</v>
      </c>
    </row>
    <row r="127" spans="2:10" hidden="1" x14ac:dyDescent="0.2">
      <c r="B127" s="29"/>
      <c r="C127" s="29"/>
      <c r="D127" s="335"/>
      <c r="E127" s="335"/>
      <c r="F127" s="335"/>
      <c r="G127" s="335"/>
      <c r="H127" s="335"/>
    </row>
    <row r="128" spans="2:10" hidden="1" outlineLevel="1" x14ac:dyDescent="0.2">
      <c r="B128" s="338" t="s">
        <v>1034</v>
      </c>
      <c r="C128" s="56" t="s">
        <v>1038</v>
      </c>
      <c r="D128" s="56">
        <f>D$9</f>
        <v>2017</v>
      </c>
      <c r="E128" s="56">
        <f>E$9</f>
        <v>2018</v>
      </c>
      <c r="F128" s="56">
        <f>F$9</f>
        <v>2019</v>
      </c>
      <c r="G128" s="56">
        <f>G$9</f>
        <v>2020</v>
      </c>
      <c r="H128" s="56">
        <f>H$9</f>
        <v>2021</v>
      </c>
    </row>
    <row r="129" spans="2:10" hidden="1" outlineLevel="1" x14ac:dyDescent="0.2">
      <c r="B129" s="28" t="s">
        <v>547</v>
      </c>
      <c r="D129" s="349">
        <f>D102</f>
        <v>4792200</v>
      </c>
      <c r="E129" s="325">
        <f>E102</f>
        <v>5657400</v>
      </c>
      <c r="F129" s="325">
        <f>F102</f>
        <v>5237400</v>
      </c>
      <c r="G129" s="325">
        <f>G102</f>
        <v>4226600</v>
      </c>
      <c r="H129" s="325">
        <f>H102</f>
        <v>3154900</v>
      </c>
      <c r="I129" s="341"/>
      <c r="J129" s="370"/>
    </row>
    <row r="130" spans="2:10" hidden="1" outlineLevel="1" x14ac:dyDescent="0.2">
      <c r="B130" s="28" t="s">
        <v>788</v>
      </c>
      <c r="D130" s="350">
        <f>('Plan de Expansión'!E178+'Plan de Expansión'!E180)*1000*$C$75</f>
        <v>3216682.1917808214</v>
      </c>
      <c r="E130" s="350">
        <f>('Plan de Expansión'!F178+'Plan de Expansión'!F180)*1000*$C$75</f>
        <v>3797432.8767123278</v>
      </c>
      <c r="F130" s="350">
        <f>('Plan de Expansión'!G178+'Plan de Expansión'!G180)*1000*$C$75</f>
        <v>3515515.0684931497</v>
      </c>
      <c r="G130" s="350">
        <f>('Plan de Expansión'!H178+'Plan de Expansión'!H180)*1000*$C$75</f>
        <v>1065334.7945205478</v>
      </c>
      <c r="H130" s="350">
        <f>('Plan de Expansión'!I178+'Plan de Expansión'!I180)*1000*$C$75</f>
        <v>795207.67123287672</v>
      </c>
      <c r="I130" s="337"/>
    </row>
    <row r="131" spans="2:10" hidden="1" outlineLevel="1" x14ac:dyDescent="0.2">
      <c r="B131" s="28" t="s">
        <v>426</v>
      </c>
      <c r="C131" s="340"/>
      <c r="D131" s="340">
        <f>D$10</f>
        <v>3.4838098558625408E-2</v>
      </c>
      <c r="E131" s="340">
        <f>E$10</f>
        <v>3.4838098558625408E-2</v>
      </c>
      <c r="F131" s="340">
        <f>F$10</f>
        <v>3.4838098558625408E-2</v>
      </c>
      <c r="G131" s="340">
        <f>G$10</f>
        <v>3.4838098558625408E-2</v>
      </c>
      <c r="H131" s="340">
        <f>H$10</f>
        <v>3.4838098558625408E-2</v>
      </c>
    </row>
    <row r="132" spans="2:10" hidden="1" outlineLevel="1" x14ac:dyDescent="0.2">
      <c r="B132" s="28" t="s">
        <v>418</v>
      </c>
    </row>
    <row r="133" spans="2:10" hidden="1" outlineLevel="1" x14ac:dyDescent="0.2">
      <c r="B133" s="28" t="s">
        <v>419</v>
      </c>
      <c r="D133" s="325">
        <f>-(C135+D130)*D131</f>
        <v>-112063.09122903545</v>
      </c>
      <c r="E133" s="325">
        <f t="shared" ref="E133:H133" si="27">-(D135+E130)*E131</f>
        <v>-299246.47674131318</v>
      </c>
      <c r="F133" s="325">
        <f t="shared" si="27"/>
        <v>-486518.0551387092</v>
      </c>
      <c r="G133" s="325">
        <f>-(F135+G130)*G131</f>
        <v>-583619.49065859651</v>
      </c>
      <c r="H133" s="325">
        <f t="shared" si="27"/>
        <v>-721455.48268202879</v>
      </c>
      <c r="J133" s="339"/>
    </row>
    <row r="134" spans="2:10" hidden="1" outlineLevel="1" x14ac:dyDescent="0.2">
      <c r="B134" s="28" t="s">
        <v>763</v>
      </c>
      <c r="C134" s="325">
        <v>0</v>
      </c>
      <c r="D134" s="325">
        <f>C134+D129+D133</f>
        <v>4680136.9087709645</v>
      </c>
      <c r="E134" s="325">
        <f>D134+E129+E133</f>
        <v>10038290.43202965</v>
      </c>
      <c r="F134" s="325">
        <f>E134+F129+F133</f>
        <v>14789172.376890941</v>
      </c>
      <c r="G134" s="325">
        <f>F134+G129+G133</f>
        <v>18432152.886232346</v>
      </c>
      <c r="H134" s="325">
        <f>G134+H129+H133</f>
        <v>20865597.403550319</v>
      </c>
    </row>
    <row r="135" spans="2:10" hidden="1" outlineLevel="1" x14ac:dyDescent="0.2">
      <c r="B135" s="29" t="s">
        <v>762</v>
      </c>
      <c r="C135" s="335">
        <v>0</v>
      </c>
      <c r="D135" s="335">
        <f>C135+D129</f>
        <v>4792200</v>
      </c>
      <c r="E135" s="335">
        <f>D135+E129</f>
        <v>10449600</v>
      </c>
      <c r="F135" s="335">
        <f>E135+F129</f>
        <v>15687000</v>
      </c>
      <c r="G135" s="335">
        <f>F135+G129</f>
        <v>19913600</v>
      </c>
      <c r="H135" s="335">
        <f>G135+H129</f>
        <v>23068500</v>
      </c>
    </row>
    <row r="136" spans="2:10" hidden="1" outlineLevel="1" x14ac:dyDescent="0.2">
      <c r="B136" s="28" t="s">
        <v>319</v>
      </c>
      <c r="D136" s="325">
        <f>C136+D133</f>
        <v>-112063.09122903545</v>
      </c>
      <c r="E136" s="325">
        <f>D136+E133</f>
        <v>-411309.56797034864</v>
      </c>
      <c r="F136" s="325">
        <f>E136+F133</f>
        <v>-897827.62310905778</v>
      </c>
      <c r="G136" s="325">
        <f>F136+G133</f>
        <v>-1481447.1137676542</v>
      </c>
      <c r="H136" s="325">
        <f>G136+H133</f>
        <v>-2202902.596449683</v>
      </c>
    </row>
    <row r="137" spans="2:10" hidden="1" outlineLevel="1" x14ac:dyDescent="0.2">
      <c r="B137" s="29" t="s">
        <v>761</v>
      </c>
      <c r="C137" s="335">
        <f t="shared" ref="C137:H137" si="28">C135+C136</f>
        <v>0</v>
      </c>
      <c r="D137" s="335">
        <f t="shared" si="28"/>
        <v>4680136.9087709645</v>
      </c>
      <c r="E137" s="335">
        <f t="shared" si="28"/>
        <v>10038290.432029651</v>
      </c>
      <c r="F137" s="335">
        <f t="shared" si="28"/>
        <v>14789172.376890942</v>
      </c>
      <c r="G137" s="335">
        <f t="shared" si="28"/>
        <v>18432152.886232346</v>
      </c>
      <c r="H137" s="335">
        <f t="shared" si="28"/>
        <v>20865597.403550316</v>
      </c>
    </row>
    <row r="138" spans="2:10" hidden="1" outlineLevel="1" x14ac:dyDescent="0.2">
      <c r="B138" s="29"/>
      <c r="C138" s="29"/>
      <c r="D138" s="335"/>
      <c r="E138" s="335"/>
      <c r="F138" s="335"/>
      <c r="G138" s="335"/>
      <c r="H138" s="335"/>
    </row>
    <row r="139" spans="2:10" hidden="1" x14ac:dyDescent="0.2">
      <c r="B139" s="338" t="s">
        <v>1034</v>
      </c>
      <c r="C139" s="56" t="s">
        <v>1035</v>
      </c>
      <c r="D139" s="56">
        <f>D$9</f>
        <v>2017</v>
      </c>
      <c r="E139" s="56">
        <f>E$9</f>
        <v>2018</v>
      </c>
      <c r="F139" s="56">
        <f>F$9</f>
        <v>2019</v>
      </c>
      <c r="G139" s="56">
        <f>G$9</f>
        <v>2020</v>
      </c>
      <c r="H139" s="56">
        <f>H$9</f>
        <v>2021</v>
      </c>
    </row>
    <row r="140" spans="2:10" hidden="1" x14ac:dyDescent="0.2">
      <c r="B140" s="28" t="s">
        <v>547</v>
      </c>
      <c r="D140" s="349">
        <f>D103</f>
        <v>2053800.0000000002</v>
      </c>
      <c r="E140" s="325">
        <f>E103</f>
        <v>2424600.0000000005</v>
      </c>
      <c r="F140" s="325">
        <f>F103</f>
        <v>2244600.0000000005</v>
      </c>
      <c r="G140" s="325">
        <f>G103</f>
        <v>1811400.0000000002</v>
      </c>
      <c r="H140" s="325">
        <f>H103</f>
        <v>1352100.0000000002</v>
      </c>
      <c r="I140" s="341"/>
    </row>
    <row r="141" spans="2:10" hidden="1" x14ac:dyDescent="0.2">
      <c r="B141" s="28" t="s">
        <v>788</v>
      </c>
      <c r="D141" s="350">
        <f>('Plan de Expansión'!E178+'Plan de Expansión'!E180)*1000*$C$76</f>
        <v>1378578.0821917809</v>
      </c>
      <c r="E141" s="336">
        <f>('Plan de Expansión'!F178+'Plan de Expansión'!F180)*1000*$C$76</f>
        <v>1627471.2328767122</v>
      </c>
      <c r="F141" s="336">
        <f>('Plan de Expansión'!G178+'Plan de Expansión'!G180)*1000*$C$76</f>
        <v>1506649.3150684931</v>
      </c>
      <c r="G141" s="336">
        <f>('Plan de Expansión'!H178+'Plan de Expansión'!H180)*1000*$C$76</f>
        <v>456572.05479452061</v>
      </c>
      <c r="H141" s="336">
        <f>('Plan de Expansión'!I178+'Plan de Expansión'!I180)*1000*$C$76</f>
        <v>340803.28767123295</v>
      </c>
      <c r="I141" s="337"/>
    </row>
    <row r="142" spans="2:10" hidden="1" x14ac:dyDescent="0.2">
      <c r="B142" s="28" t="s">
        <v>426</v>
      </c>
      <c r="C142" s="340"/>
      <c r="D142" s="340">
        <f>D$10</f>
        <v>3.4838098558625408E-2</v>
      </c>
      <c r="E142" s="340">
        <f>E$10</f>
        <v>3.4838098558625408E-2</v>
      </c>
      <c r="F142" s="340">
        <f>F$10</f>
        <v>3.4838098558625408E-2</v>
      </c>
      <c r="G142" s="340">
        <f>G$10</f>
        <v>3.4838098558625408E-2</v>
      </c>
      <c r="H142" s="340">
        <f>H$10</f>
        <v>3.4838098558625408E-2</v>
      </c>
    </row>
    <row r="143" spans="2:10" hidden="1" x14ac:dyDescent="0.2">
      <c r="B143" s="28" t="s">
        <v>418</v>
      </c>
    </row>
    <row r="144" spans="2:10" hidden="1" x14ac:dyDescent="0.2">
      <c r="B144" s="28" t="s">
        <v>419</v>
      </c>
      <c r="D144" s="325">
        <f>-(C146+D141)*D142</f>
        <v>-48027.039098158064</v>
      </c>
      <c r="E144" s="325">
        <f>-(D146+E141)*E142</f>
        <v>-128248.49003199137</v>
      </c>
      <c r="F144" s="325">
        <f>-(E146+F141)*F142</f>
        <v>-208507.73791658971</v>
      </c>
      <c r="G144" s="325">
        <f>-(F146+G141)*G142</f>
        <v>-250122.6388536843</v>
      </c>
      <c r="H144" s="325">
        <f>-(G146+H141)*H142</f>
        <v>-309195.20686372672</v>
      </c>
      <c r="J144" s="339"/>
    </row>
    <row r="145" spans="2:9" hidden="1" x14ac:dyDescent="0.2">
      <c r="B145" s="28" t="s">
        <v>763</v>
      </c>
      <c r="C145" s="325">
        <v>0</v>
      </c>
      <c r="D145" s="325">
        <f>C145+D140+D144</f>
        <v>2005772.9609018422</v>
      </c>
      <c r="E145" s="325">
        <f>D145+E140+E144</f>
        <v>4302124.4708698513</v>
      </c>
      <c r="F145" s="325">
        <f>E145+F140+F144</f>
        <v>6338216.7329532625</v>
      </c>
      <c r="G145" s="325">
        <f>F145+G140+G144</f>
        <v>7899494.0940995784</v>
      </c>
      <c r="H145" s="325">
        <f>G145+H140+H144</f>
        <v>8942398.887235852</v>
      </c>
    </row>
    <row r="146" spans="2:9" hidden="1" x14ac:dyDescent="0.2">
      <c r="B146" s="29" t="s">
        <v>762</v>
      </c>
      <c r="C146" s="335">
        <v>0</v>
      </c>
      <c r="D146" s="756">
        <f>C146+D140</f>
        <v>2053800.0000000002</v>
      </c>
      <c r="E146" s="335">
        <f>D146+E140</f>
        <v>4478400.0000000009</v>
      </c>
      <c r="F146" s="335">
        <f>E146+F140</f>
        <v>6723000.0000000019</v>
      </c>
      <c r="G146" s="335">
        <f>F146+G140</f>
        <v>8534400.0000000019</v>
      </c>
      <c r="H146" s="335">
        <f>G146+H140</f>
        <v>9886500.0000000019</v>
      </c>
    </row>
    <row r="147" spans="2:9" hidden="1" x14ac:dyDescent="0.2">
      <c r="B147" s="28" t="s">
        <v>319</v>
      </c>
      <c r="D147" s="325">
        <f>C147+D144</f>
        <v>-48027.039098158064</v>
      </c>
      <c r="E147" s="325">
        <f>D147+E144</f>
        <v>-176275.52913014943</v>
      </c>
      <c r="F147" s="325">
        <f>E147+F144</f>
        <v>-384783.26704673911</v>
      </c>
      <c r="G147" s="325">
        <f>F147+G144</f>
        <v>-634905.90590042342</v>
      </c>
      <c r="H147" s="325">
        <f>G147+H144</f>
        <v>-944101.11276415014</v>
      </c>
    </row>
    <row r="148" spans="2:9" hidden="1" x14ac:dyDescent="0.2">
      <c r="B148" s="29" t="s">
        <v>761</v>
      </c>
      <c r="C148" s="335">
        <f t="shared" ref="C148:H148" si="29">C146+C147</f>
        <v>0</v>
      </c>
      <c r="D148" s="756">
        <f t="shared" si="29"/>
        <v>2005772.9609018422</v>
      </c>
      <c r="E148" s="335">
        <f t="shared" si="29"/>
        <v>4302124.4708698513</v>
      </c>
      <c r="F148" s="335">
        <f t="shared" si="29"/>
        <v>6338216.7329532625</v>
      </c>
      <c r="G148" s="335">
        <f t="shared" si="29"/>
        <v>7899494.0940995784</v>
      </c>
      <c r="H148" s="335">
        <f t="shared" si="29"/>
        <v>8942398.887235852</v>
      </c>
    </row>
    <row r="149" spans="2:9" hidden="1" x14ac:dyDescent="0.2">
      <c r="B149" s="333"/>
      <c r="C149" s="332"/>
    </row>
    <row r="150" spans="2:9" hidden="1" x14ac:dyDescent="0.2">
      <c r="B150" s="243" t="s">
        <v>1039</v>
      </c>
      <c r="C150" s="334">
        <f t="shared" ref="C150:H150" si="30">C$9</f>
        <v>2016</v>
      </c>
      <c r="D150" s="334">
        <f t="shared" si="30"/>
        <v>2017</v>
      </c>
      <c r="E150" s="334">
        <f t="shared" si="30"/>
        <v>2018</v>
      </c>
      <c r="F150" s="334">
        <f t="shared" si="30"/>
        <v>2019</v>
      </c>
      <c r="G150" s="334">
        <f t="shared" si="30"/>
        <v>2020</v>
      </c>
      <c r="H150" s="334">
        <f t="shared" si="30"/>
        <v>2021</v>
      </c>
      <c r="I150" s="28" t="s">
        <v>1041</v>
      </c>
    </row>
    <row r="151" spans="2:9" hidden="1" x14ac:dyDescent="0.2">
      <c r="B151" s="28" t="s">
        <v>763</v>
      </c>
      <c r="C151" s="325"/>
      <c r="D151" s="325">
        <f>D114+D137</f>
        <v>4680136.9087709645</v>
      </c>
      <c r="E151" s="325">
        <f>E114+E137</f>
        <v>10038290.432029651</v>
      </c>
      <c r="F151" s="325">
        <f>F114+F137</f>
        <v>14789172.376890942</v>
      </c>
      <c r="G151" s="325">
        <f>G114+G137</f>
        <v>18432152.886232346</v>
      </c>
      <c r="H151" s="325">
        <f>H114+H137</f>
        <v>20865597.403550316</v>
      </c>
    </row>
    <row r="152" spans="2:9" hidden="1" x14ac:dyDescent="0.2">
      <c r="B152" s="28" t="s">
        <v>789</v>
      </c>
      <c r="C152" s="332"/>
      <c r="D152" s="325">
        <f>D110+D133</f>
        <v>-112063.09122903545</v>
      </c>
      <c r="E152" s="325">
        <f>E110+E133</f>
        <v>-299246.47674131318</v>
      </c>
      <c r="F152" s="325">
        <f>F110+F133</f>
        <v>-486518.0551387092</v>
      </c>
      <c r="G152" s="325">
        <f>G110+G133</f>
        <v>-583619.49065859651</v>
      </c>
      <c r="H152" s="325">
        <f>H110+H133</f>
        <v>-721455.48268202879</v>
      </c>
    </row>
    <row r="153" spans="2:9" hidden="1" x14ac:dyDescent="0.2">
      <c r="B153" s="28" t="s">
        <v>762</v>
      </c>
      <c r="C153" s="332"/>
      <c r="D153" s="349">
        <f>D112+D135</f>
        <v>4792200</v>
      </c>
      <c r="E153" s="325">
        <f>E112+E135</f>
        <v>10449600</v>
      </c>
      <c r="F153" s="325">
        <f>F112+F135</f>
        <v>15687000</v>
      </c>
      <c r="G153" s="325">
        <f>G112+G135</f>
        <v>19913600</v>
      </c>
      <c r="H153" s="325">
        <f>H112+H135</f>
        <v>23068500</v>
      </c>
    </row>
    <row r="154" spans="2:9" hidden="1" x14ac:dyDescent="0.2">
      <c r="B154" s="28" t="s">
        <v>788</v>
      </c>
      <c r="C154" s="332"/>
      <c r="D154" s="349">
        <f>D107+D130</f>
        <v>3216682.1917808214</v>
      </c>
      <c r="E154" s="325">
        <f>E107+E130</f>
        <v>3797432.8767123278</v>
      </c>
      <c r="F154" s="325">
        <f>F107+F130</f>
        <v>3515515.0684931497</v>
      </c>
      <c r="G154" s="325">
        <f>G107+G130</f>
        <v>1065334.7945205478</v>
      </c>
      <c r="H154" s="325">
        <f>H107+H130</f>
        <v>795207.67123287672</v>
      </c>
    </row>
    <row r="155" spans="2:9" hidden="1" x14ac:dyDescent="0.2">
      <c r="B155" s="243" t="s">
        <v>1039</v>
      </c>
      <c r="C155" s="334">
        <f t="shared" ref="C155:H155" si="31">C$9</f>
        <v>2016</v>
      </c>
      <c r="D155" s="334">
        <f t="shared" si="31"/>
        <v>2017</v>
      </c>
      <c r="E155" s="334">
        <f t="shared" si="31"/>
        <v>2018</v>
      </c>
      <c r="F155" s="334">
        <f t="shared" si="31"/>
        <v>2019</v>
      </c>
      <c r="G155" s="334">
        <f t="shared" si="31"/>
        <v>2020</v>
      </c>
      <c r="H155" s="334">
        <f t="shared" si="31"/>
        <v>2021</v>
      </c>
      <c r="I155" s="28" t="s">
        <v>1040</v>
      </c>
    </row>
    <row r="156" spans="2:9" hidden="1" x14ac:dyDescent="0.2">
      <c r="B156" s="28" t="s">
        <v>763</v>
      </c>
      <c r="C156" s="325"/>
      <c r="D156" s="325">
        <f>D126+D148</f>
        <v>12487597.481449787</v>
      </c>
      <c r="E156" s="325">
        <f>E126+E148</f>
        <v>144477018.30648628</v>
      </c>
      <c r="F156" s="325">
        <f>F126+F148</f>
        <v>409936753.5822683</v>
      </c>
      <c r="G156" s="325">
        <f>G126+G148</f>
        <v>627201873.73793519</v>
      </c>
      <c r="H156" s="325">
        <f>H126+H148</f>
        <v>758231649.29819477</v>
      </c>
    </row>
    <row r="157" spans="2:9" hidden="1" x14ac:dyDescent="0.2">
      <c r="B157" s="28" t="s">
        <v>789</v>
      </c>
      <c r="C157" s="332"/>
      <c r="D157" s="325">
        <f>D122+D144</f>
        <v>-300202.51855021284</v>
      </c>
      <c r="E157" s="325">
        <f>E122+E144</f>
        <v>-3633179.174963498</v>
      </c>
      <c r="F157" s="325">
        <f>F122+F144</f>
        <v>-11704864.724217962</v>
      </c>
      <c r="G157" s="325">
        <f>G122+G144</f>
        <v>-16960279.844333138</v>
      </c>
      <c r="H157" s="325">
        <f>H122+H144</f>
        <v>-24463324.439740442</v>
      </c>
    </row>
    <row r="158" spans="2:9" hidden="1" x14ac:dyDescent="0.2">
      <c r="B158" s="94" t="s">
        <v>762</v>
      </c>
      <c r="C158" s="759"/>
      <c r="D158" s="349">
        <f>D124+D146</f>
        <v>12787800</v>
      </c>
      <c r="E158" s="349">
        <f>E124+E146</f>
        <v>148410400</v>
      </c>
      <c r="F158" s="349">
        <f>F124+F146</f>
        <v>425575000</v>
      </c>
      <c r="G158" s="349">
        <f>G124+G146</f>
        <v>659800400</v>
      </c>
      <c r="H158" s="349">
        <f>H124+H146</f>
        <v>815293500</v>
      </c>
    </row>
    <row r="159" spans="2:9" hidden="1" x14ac:dyDescent="0.2">
      <c r="B159" s="28" t="s">
        <v>788</v>
      </c>
      <c r="C159" s="332"/>
      <c r="D159" s="325">
        <f>D119+D141</f>
        <v>8583591.7808219176</v>
      </c>
      <c r="E159" s="325">
        <f>E119+E141</f>
        <v>91034347.94520548</v>
      </c>
      <c r="F159" s="325">
        <f>F119+F141</f>
        <v>186041991.78082195</v>
      </c>
      <c r="G159" s="325">
        <f>G119+G141</f>
        <v>59037635.068493158</v>
      </c>
      <c r="H159" s="325">
        <f>H119+H141</f>
        <v>39192781.369863018</v>
      </c>
    </row>
    <row r="160" spans="2:9" s="254" customFormat="1" hidden="1" x14ac:dyDescent="0.2">
      <c r="C160" s="392"/>
      <c r="D160" s="392"/>
      <c r="E160" s="392"/>
      <c r="F160" s="392"/>
      <c r="G160" s="392"/>
      <c r="H160" s="392"/>
    </row>
    <row r="161" spans="2:8" s="89" customFormat="1" x14ac:dyDescent="0.2">
      <c r="B161" s="107" t="s">
        <v>26</v>
      </c>
    </row>
    <row r="162" spans="2:8" x14ac:dyDescent="0.2">
      <c r="B162" s="333"/>
      <c r="C162" s="332"/>
    </row>
    <row r="163" spans="2:8" x14ac:dyDescent="0.2">
      <c r="B163" s="243"/>
      <c r="C163" s="107">
        <v>2016</v>
      </c>
      <c r="D163" s="107">
        <v>2017</v>
      </c>
      <c r="E163" s="107">
        <v>2018</v>
      </c>
      <c r="F163" s="107">
        <v>2019</v>
      </c>
      <c r="G163" s="107">
        <v>2020</v>
      </c>
      <c r="H163" s="107">
        <v>2021</v>
      </c>
    </row>
    <row r="164" spans="2:8" x14ac:dyDescent="0.2">
      <c r="B164" s="327" t="s">
        <v>426</v>
      </c>
      <c r="C164" s="331">
        <f>+'Tasa de Depreciación'!$E$27</f>
        <v>2.4239702011208852E-2</v>
      </c>
      <c r="D164" s="331">
        <f>+'Tasa de Depreciación'!$E$27</f>
        <v>2.4239702011208852E-2</v>
      </c>
      <c r="E164" s="331">
        <f>+'Tasa de Depreciación'!$E$27</f>
        <v>2.4239702011208852E-2</v>
      </c>
      <c r="F164" s="331">
        <f>+'Tasa de Depreciación'!$E$27</f>
        <v>2.4239702011208852E-2</v>
      </c>
      <c r="G164" s="331">
        <f>+'Tasa de Depreciación'!$E$27</f>
        <v>2.4239702011208852E-2</v>
      </c>
      <c r="H164" s="331">
        <f>+'Tasa de Depreciación'!$E$27</f>
        <v>2.4239702011208852E-2</v>
      </c>
    </row>
    <row r="165" spans="2:8" x14ac:dyDescent="0.2">
      <c r="B165" s="327" t="s">
        <v>545</v>
      </c>
      <c r="C165" s="329">
        <v>0.02</v>
      </c>
      <c r="D165" s="329">
        <v>0.02</v>
      </c>
      <c r="E165" s="329">
        <v>0.02</v>
      </c>
      <c r="F165" s="329">
        <v>0.02</v>
      </c>
      <c r="G165" s="329">
        <v>0.02</v>
      </c>
      <c r="H165" s="329">
        <v>0.02</v>
      </c>
    </row>
    <row r="166" spans="2:8" x14ac:dyDescent="0.2">
      <c r="B166" s="327" t="s">
        <v>417</v>
      </c>
      <c r="C166" s="325"/>
      <c r="D166" s="325">
        <f>+C170</f>
        <v>30496959.555</v>
      </c>
      <c r="E166" s="325">
        <f>+D170</f>
        <v>30496959.555</v>
      </c>
      <c r="F166" s="325">
        <f>+E170</f>
        <v>30496959.555</v>
      </c>
      <c r="G166" s="325">
        <f>+F170</f>
        <v>30496959.555</v>
      </c>
      <c r="H166" s="325">
        <f>+G170</f>
        <v>30496959.555</v>
      </c>
    </row>
    <row r="167" spans="2:8" x14ac:dyDescent="0.2">
      <c r="B167" s="327" t="s">
        <v>418</v>
      </c>
      <c r="C167" s="325"/>
      <c r="D167" s="325">
        <f>+C172</f>
        <v>14766818.484999999</v>
      </c>
      <c r="E167" s="325">
        <f>+D172</f>
        <v>14027581.273138911</v>
      </c>
      <c r="F167" s="325">
        <f>+E172</f>
        <v>13288344.061277822</v>
      </c>
      <c r="G167" s="325">
        <f>+F172</f>
        <v>12549106.849416733</v>
      </c>
      <c r="H167" s="325">
        <f>+G172</f>
        <v>11809869.637555644</v>
      </c>
    </row>
    <row r="168" spans="2:8" x14ac:dyDescent="0.2">
      <c r="B168" s="327" t="s">
        <v>419</v>
      </c>
      <c r="C168" s="325"/>
      <c r="D168" s="325">
        <f>-C170*D164</f>
        <v>-739237.21186108852</v>
      </c>
      <c r="E168" s="325">
        <f>-D170*E164</f>
        <v>-739237.21186108852</v>
      </c>
      <c r="F168" s="325">
        <f>-E170*F164</f>
        <v>-739237.21186108852</v>
      </c>
      <c r="G168" s="325">
        <f>-F170*G164</f>
        <v>-739237.21186108852</v>
      </c>
      <c r="H168" s="325">
        <f>-G170*H164</f>
        <v>-739237.21186108852</v>
      </c>
    </row>
    <row r="169" spans="2:8" x14ac:dyDescent="0.2">
      <c r="B169" s="327" t="s">
        <v>546</v>
      </c>
      <c r="C169" s="325"/>
      <c r="D169" s="325"/>
      <c r="E169" s="325"/>
      <c r="F169" s="325"/>
      <c r="G169" s="325"/>
      <c r="H169" s="325"/>
    </row>
    <row r="170" spans="2:8" x14ac:dyDescent="0.2">
      <c r="B170" s="327" t="s">
        <v>420</v>
      </c>
      <c r="C170" s="325">
        <f>+'Base de Capital'!$H$39</f>
        <v>30496959.555</v>
      </c>
      <c r="D170" s="325">
        <f>+D166+D169</f>
        <v>30496959.555</v>
      </c>
      <c r="E170" s="325">
        <f>+E166+E169</f>
        <v>30496959.555</v>
      </c>
      <c r="F170" s="325">
        <f>+F166+F169</f>
        <v>30496959.555</v>
      </c>
      <c r="G170" s="325">
        <f>+G166+G169</f>
        <v>30496959.555</v>
      </c>
      <c r="H170" s="325">
        <f>+H166+H169</f>
        <v>30496959.555</v>
      </c>
    </row>
    <row r="171" spans="2:8" x14ac:dyDescent="0.2">
      <c r="B171" s="327" t="s">
        <v>319</v>
      </c>
      <c r="C171" s="325">
        <f>-'Base de Capital'!M39</f>
        <v>-15730141.07</v>
      </c>
      <c r="D171" s="325">
        <f>+C171+D168</f>
        <v>-16469378.281861089</v>
      </c>
      <c r="E171" s="325">
        <f>+D171+E168</f>
        <v>-17208615.493722178</v>
      </c>
      <c r="F171" s="325">
        <f>+E171+F168</f>
        <v>-17947852.705583267</v>
      </c>
      <c r="G171" s="325">
        <f>+F171+G168</f>
        <v>-18687089.917444356</v>
      </c>
      <c r="H171" s="325">
        <f>+G171+H168</f>
        <v>-19426327.129305445</v>
      </c>
    </row>
    <row r="172" spans="2:8" x14ac:dyDescent="0.2">
      <c r="B172" s="327" t="s">
        <v>421</v>
      </c>
      <c r="C172" s="325">
        <f t="shared" ref="C172:H172" si="32">+SUM(C170:C171)</f>
        <v>14766818.484999999</v>
      </c>
      <c r="D172" s="325">
        <f t="shared" si="32"/>
        <v>14027581.273138911</v>
      </c>
      <c r="E172" s="325">
        <f t="shared" si="32"/>
        <v>13288344.061277822</v>
      </c>
      <c r="F172" s="325">
        <f t="shared" si="32"/>
        <v>12549106.849416733</v>
      </c>
      <c r="G172" s="325">
        <f t="shared" si="32"/>
        <v>11809869.637555644</v>
      </c>
      <c r="H172" s="325">
        <f t="shared" si="32"/>
        <v>11070632.425694555</v>
      </c>
    </row>
    <row r="173" spans="2:8" x14ac:dyDescent="0.2">
      <c r="B173" s="327"/>
      <c r="C173" s="330"/>
    </row>
    <row r="174" spans="2:8" x14ac:dyDescent="0.2">
      <c r="B174" s="249" t="s">
        <v>424</v>
      </c>
      <c r="C174" s="107">
        <v>2016</v>
      </c>
      <c r="D174" s="107">
        <v>2017</v>
      </c>
      <c r="E174" s="107">
        <v>2018</v>
      </c>
      <c r="F174" s="107">
        <v>2019</v>
      </c>
      <c r="G174" s="107">
        <v>2020</v>
      </c>
      <c r="H174" s="107">
        <v>2021</v>
      </c>
    </row>
    <row r="175" spans="2:8" x14ac:dyDescent="0.2">
      <c r="B175" s="327" t="s">
        <v>547</v>
      </c>
      <c r="C175" s="325"/>
      <c r="D175" s="325">
        <f>+SUMIF('Plan de Expansión'!$C$7:$M$7,D$174,'Plan de Expansión'!$C$143:$M$143)*1000</f>
        <v>4052000</v>
      </c>
      <c r="E175" s="325">
        <f>+SUMIF('Plan de Expansión'!$C$7:$M$7,E$174,'Plan de Expansión'!$C$143:$M$143)*1000</f>
        <v>6327000</v>
      </c>
      <c r="F175" s="325">
        <f>+SUMIF('Plan de Expansión'!$C$7:$M$7,F$174,'Plan de Expansión'!$C$143:$M$143)*1000</f>
        <v>2078000</v>
      </c>
      <c r="G175" s="325">
        <f>+SUMIF('Plan de Expansión'!$C$7:$M$7,G$174,'Plan de Expansión'!$C$143:$M$143)*1000</f>
        <v>2849000</v>
      </c>
      <c r="H175" s="325">
        <f>+SUMIF('Plan de Expansión'!$C$7:$M$7,H$174,'Plan de Expansión'!$C$143:$M$143)*1000</f>
        <v>0</v>
      </c>
    </row>
    <row r="176" spans="2:8" x14ac:dyDescent="0.2">
      <c r="B176" s="28" t="s">
        <v>788</v>
      </c>
      <c r="C176" s="325"/>
      <c r="D176" s="325">
        <f>'Plan de Expansión'!E181*1000</f>
        <v>2719835.6164383567</v>
      </c>
      <c r="E176" s="325">
        <f>'Plan de Expansión'!F181*1000</f>
        <v>4246890.4109589048</v>
      </c>
      <c r="F176" s="325">
        <f>'Plan de Expansión'!G181*1000</f>
        <v>1394821.9178082196</v>
      </c>
      <c r="G176" s="325">
        <f>'Plan de Expansión'!H181*1000</f>
        <v>718104.10958904121</v>
      </c>
      <c r="H176" s="325">
        <f>'Plan de Expansión'!I181*1000</f>
        <v>0</v>
      </c>
    </row>
    <row r="177" spans="2:8 16384:16384" x14ac:dyDescent="0.2">
      <c r="B177" s="327" t="s">
        <v>426</v>
      </c>
      <c r="C177" s="329"/>
      <c r="D177" s="328">
        <f>$C$73</f>
        <v>3.5000000000000003E-2</v>
      </c>
      <c r="E177" s="328">
        <f>$C$73</f>
        <v>3.5000000000000003E-2</v>
      </c>
      <c r="F177" s="328">
        <f>$C$73</f>
        <v>3.5000000000000003E-2</v>
      </c>
      <c r="G177" s="328">
        <f>$C$73</f>
        <v>3.5000000000000003E-2</v>
      </c>
      <c r="H177" s="328">
        <f>$C$73</f>
        <v>3.5000000000000003E-2</v>
      </c>
    </row>
    <row r="178" spans="2:8 16384:16384" x14ac:dyDescent="0.2">
      <c r="B178" s="327" t="s">
        <v>418</v>
      </c>
      <c r="C178" s="325"/>
      <c r="D178" s="325">
        <f>+C180</f>
        <v>0</v>
      </c>
      <c r="E178" s="325">
        <f>+D180</f>
        <v>3956805.7534246575</v>
      </c>
      <c r="F178" s="325">
        <f>+E180</f>
        <v>9993344.5890410952</v>
      </c>
      <c r="G178" s="325">
        <f>+F180</f>
        <v>11659260.821917808</v>
      </c>
      <c r="H178" s="325">
        <f>+G180</f>
        <v>14047132.17808219</v>
      </c>
    </row>
    <row r="179" spans="2:8 16384:16384" x14ac:dyDescent="0.2">
      <c r="B179" s="327" t="s">
        <v>419</v>
      </c>
      <c r="C179" s="325"/>
      <c r="D179" s="325">
        <f>-(C181+D176)*D177</f>
        <v>-95194.246575342491</v>
      </c>
      <c r="E179" s="325">
        <f t="shared" ref="E179:H179" si="33">-(D181+E176)*E177</f>
        <v>-290461.1643835617</v>
      </c>
      <c r="F179" s="325">
        <f t="shared" si="33"/>
        <v>-412083.76712328772</v>
      </c>
      <c r="G179" s="325">
        <f t="shared" si="33"/>
        <v>-461128.64383561647</v>
      </c>
      <c r="H179" s="325">
        <f t="shared" si="33"/>
        <v>-535710</v>
      </c>
    </row>
    <row r="180" spans="2:8 16384:16384" x14ac:dyDescent="0.2">
      <c r="B180" s="327" t="s">
        <v>421</v>
      </c>
      <c r="C180" s="325"/>
      <c r="D180" s="325">
        <f>+SUM(D175,D178:D179)</f>
        <v>3956805.7534246575</v>
      </c>
      <c r="E180" s="325">
        <f>+SUM(E175,E178:E179)</f>
        <v>9993344.5890410952</v>
      </c>
      <c r="F180" s="325">
        <f>+SUM(F175,F178:F179)</f>
        <v>11659260.821917808</v>
      </c>
      <c r="G180" s="325">
        <f>+SUM(G175,G178:G179)</f>
        <v>14047132.17808219</v>
      </c>
      <c r="H180" s="325">
        <f>+SUM(H175,H178:H179)</f>
        <v>13511422.17808219</v>
      </c>
    </row>
    <row r="181" spans="2:8 16384:16384" x14ac:dyDescent="0.2">
      <c r="B181" s="327" t="s">
        <v>420</v>
      </c>
      <c r="C181" s="325"/>
      <c r="D181" s="325">
        <f>+C181+D175</f>
        <v>4052000</v>
      </c>
      <c r="E181" s="325">
        <f>+D181+E175</f>
        <v>10379000</v>
      </c>
      <c r="F181" s="325">
        <f>+E181+F175</f>
        <v>12457000</v>
      </c>
      <c r="G181" s="325">
        <f>+F181+G175</f>
        <v>15306000</v>
      </c>
      <c r="H181" s="325">
        <f>+G181+H175</f>
        <v>15306000</v>
      </c>
    </row>
    <row r="182" spans="2:8 16384:16384" x14ac:dyDescent="0.2">
      <c r="B182" s="327" t="s">
        <v>319</v>
      </c>
      <c r="C182" s="325"/>
      <c r="D182" s="325">
        <f>+C182+D179</f>
        <v>-95194.246575342491</v>
      </c>
      <c r="E182" s="325">
        <f>+D182+E179</f>
        <v>-385655.41095890419</v>
      </c>
      <c r="F182" s="325">
        <f>+E182+F179</f>
        <v>-797739.17808219185</v>
      </c>
      <c r="G182" s="325">
        <f>+F182+G179</f>
        <v>-1258867.8219178084</v>
      </c>
      <c r="H182" s="325">
        <f>+G182+H179</f>
        <v>-1794577.8219178084</v>
      </c>
    </row>
    <row r="183" spans="2:8 16384:16384" x14ac:dyDescent="0.2">
      <c r="B183" s="327"/>
      <c r="C183" s="326"/>
      <c r="D183" s="325"/>
      <c r="E183" s="325"/>
      <c r="F183" s="325"/>
      <c r="G183" s="325"/>
      <c r="H183" s="325"/>
      <c r="XFD183" s="325"/>
    </row>
    <row r="184" spans="2:8 16384:16384" x14ac:dyDescent="0.2">
      <c r="B184" s="324" t="s">
        <v>549</v>
      </c>
      <c r="C184" s="323">
        <f>+C170+C181</f>
        <v>30496959.555</v>
      </c>
      <c r="D184" s="323">
        <f>+D170+D181</f>
        <v>34548959.555</v>
      </c>
      <c r="E184" s="323">
        <f>+E170+E181</f>
        <v>40875959.555</v>
      </c>
      <c r="F184" s="323">
        <f>+F170+F181</f>
        <v>42953959.555</v>
      </c>
      <c r="G184" s="323">
        <f>+G170+G181</f>
        <v>45802959.555</v>
      </c>
      <c r="H184" s="323">
        <f>+H170+H181</f>
        <v>45802959.555</v>
      </c>
    </row>
    <row r="185" spans="2:8 16384:16384" x14ac:dyDescent="0.2">
      <c r="B185" s="324" t="s">
        <v>548</v>
      </c>
      <c r="C185" s="323">
        <f>+C172+C180</f>
        <v>14766818.484999999</v>
      </c>
      <c r="D185" s="323">
        <f>+D172+D180</f>
        <v>17984387.02656357</v>
      </c>
      <c r="E185" s="323">
        <f>+E172+E180</f>
        <v>23281688.650318917</v>
      </c>
      <c r="F185" s="323">
        <f>+F172+F180</f>
        <v>24208367.671334542</v>
      </c>
      <c r="G185" s="323">
        <f>+G172+G180</f>
        <v>25857001.815637834</v>
      </c>
      <c r="H185" s="323">
        <f>+H172+H180</f>
        <v>24582054.603776745</v>
      </c>
    </row>
    <row r="186" spans="2:8 16384:16384" x14ac:dyDescent="0.2">
      <c r="B186" s="324" t="s">
        <v>427</v>
      </c>
      <c r="C186" s="323">
        <f>+C168+C179</f>
        <v>0</v>
      </c>
      <c r="D186" s="323">
        <f>+D168+D179</f>
        <v>-834431.45843643101</v>
      </c>
      <c r="E186" s="323">
        <f>+E168+E179</f>
        <v>-1029698.3762446502</v>
      </c>
      <c r="F186" s="323">
        <f>+F168+F179</f>
        <v>-1151320.9789843762</v>
      </c>
      <c r="G186" s="323">
        <f>+G168+G179</f>
        <v>-1200365.8556967049</v>
      </c>
      <c r="H186" s="323">
        <f>+H168+H179</f>
        <v>-1274947.2118610884</v>
      </c>
    </row>
    <row r="187" spans="2:8 16384:16384" x14ac:dyDescent="0.2">
      <c r="B187" s="254"/>
      <c r="C187" s="254"/>
    </row>
    <row r="188" spans="2:8 16384:16384" x14ac:dyDescent="0.2">
      <c r="B188" s="254"/>
      <c r="C188" s="254"/>
    </row>
    <row r="189" spans="2:8 16384:16384" s="89" customFormat="1" x14ac:dyDescent="0.2">
      <c r="B189" s="107" t="s">
        <v>779</v>
      </c>
    </row>
    <row r="190" spans="2:8 16384:16384" s="94" customFormat="1" x14ac:dyDescent="0.2">
      <c r="B190" s="372"/>
      <c r="C190" s="372"/>
      <c r="D190" s="372"/>
      <c r="E190" s="372"/>
      <c r="F190" s="372"/>
      <c r="G190" s="372"/>
      <c r="H190" s="372"/>
    </row>
    <row r="191" spans="2:8 16384:16384" x14ac:dyDescent="0.2">
      <c r="B191" s="249" t="s">
        <v>777</v>
      </c>
      <c r="C191" s="107">
        <f t="shared" ref="C191:H191" si="34">C$9</f>
        <v>2016</v>
      </c>
      <c r="D191" s="107">
        <f t="shared" si="34"/>
        <v>2017</v>
      </c>
      <c r="E191" s="107">
        <f t="shared" si="34"/>
        <v>2018</v>
      </c>
      <c r="F191" s="107">
        <f t="shared" si="34"/>
        <v>2019</v>
      </c>
      <c r="G191" s="107">
        <f t="shared" si="34"/>
        <v>2020</v>
      </c>
      <c r="H191" s="107">
        <f t="shared" si="34"/>
        <v>2021</v>
      </c>
    </row>
    <row r="192" spans="2:8 16384:16384" x14ac:dyDescent="0.2">
      <c r="B192" s="28" t="s">
        <v>777</v>
      </c>
    </row>
    <row r="193" spans="2:9" x14ac:dyDescent="0.2">
      <c r="B193" s="28" t="s">
        <v>771</v>
      </c>
      <c r="C193" s="374">
        <f>+VNR_Lineas+VNR_Subestaciones_SPT</f>
        <v>702522925.19525671</v>
      </c>
      <c r="D193" s="325">
        <f>$C193</f>
        <v>702522925.19525671</v>
      </c>
      <c r="E193" s="325">
        <f t="shared" ref="E193:H196" si="35">$C193</f>
        <v>702522925.19525671</v>
      </c>
      <c r="F193" s="325">
        <f t="shared" si="35"/>
        <v>702522925.19525671</v>
      </c>
      <c r="G193" s="325">
        <f t="shared" si="35"/>
        <v>702522925.19525671</v>
      </c>
      <c r="H193" s="325">
        <f t="shared" si="35"/>
        <v>702522925.19525671</v>
      </c>
    </row>
    <row r="194" spans="2:9" x14ac:dyDescent="0.2">
      <c r="B194" s="28" t="s">
        <v>770</v>
      </c>
      <c r="C194" s="375">
        <f>C24</f>
        <v>0</v>
      </c>
      <c r="D194" s="325">
        <f>C194+D30</f>
        <v>345480168</v>
      </c>
      <c r="E194" s="325">
        <f>D194+E30</f>
        <v>345480168</v>
      </c>
      <c r="F194" s="325">
        <f>E194+F30</f>
        <v>345480168</v>
      </c>
      <c r="G194" s="325">
        <f>F194+G30</f>
        <v>345480168</v>
      </c>
      <c r="H194" s="325">
        <f>G194+H30</f>
        <v>345480168</v>
      </c>
    </row>
    <row r="195" spans="2:9" x14ac:dyDescent="0.2">
      <c r="B195" s="28" t="s">
        <v>774</v>
      </c>
      <c r="C195" s="374">
        <f>'Activos Reconocidos'!C265+VNR_Subestaciones_Estrategicas</f>
        <v>96182079.935266554</v>
      </c>
      <c r="D195" s="325">
        <f t="shared" ref="D195:D196" si="36">$C195</f>
        <v>96182079.935266554</v>
      </c>
      <c r="E195" s="325">
        <f t="shared" si="35"/>
        <v>96182079.935266554</v>
      </c>
      <c r="F195" s="325">
        <f t="shared" si="35"/>
        <v>96182079.935266554</v>
      </c>
      <c r="G195" s="325">
        <f t="shared" si="35"/>
        <v>96182079.935266554</v>
      </c>
      <c r="H195" s="325">
        <f t="shared" si="35"/>
        <v>96182079.935266554</v>
      </c>
    </row>
    <row r="196" spans="2:9" x14ac:dyDescent="0.2">
      <c r="B196" s="28" t="s">
        <v>775</v>
      </c>
      <c r="C196" s="343">
        <v>0</v>
      </c>
      <c r="D196" s="325">
        <f t="shared" si="36"/>
        <v>0</v>
      </c>
      <c r="E196" s="325">
        <f t="shared" si="35"/>
        <v>0</v>
      </c>
      <c r="F196" s="325">
        <f t="shared" si="35"/>
        <v>0</v>
      </c>
      <c r="G196" s="325">
        <f t="shared" si="35"/>
        <v>0</v>
      </c>
      <c r="H196" s="325">
        <f t="shared" si="35"/>
        <v>0</v>
      </c>
    </row>
    <row r="197" spans="2:9" x14ac:dyDescent="0.2">
      <c r="B197" s="28" t="s">
        <v>776</v>
      </c>
      <c r="C197" s="374">
        <f>+VNR_Subestaciones_Conexión</f>
        <v>65601620.907903925</v>
      </c>
      <c r="D197" s="325">
        <f>C197+D175</f>
        <v>69653620.907903925</v>
      </c>
      <c r="E197" s="325">
        <f>D197+E175</f>
        <v>75980620.907903925</v>
      </c>
      <c r="F197" s="325">
        <f>E197+F175</f>
        <v>78058620.907903925</v>
      </c>
      <c r="G197" s="325">
        <f>F197+G175</f>
        <v>80907620.907903925</v>
      </c>
      <c r="H197" s="325">
        <f>G197+H175</f>
        <v>80907620.907903925</v>
      </c>
    </row>
    <row r="199" spans="2:9" hidden="1" x14ac:dyDescent="0.2">
      <c r="B199" s="249" t="s">
        <v>778</v>
      </c>
      <c r="C199" s="107">
        <f t="shared" ref="C199:H199" si="37">C$9</f>
        <v>2016</v>
      </c>
      <c r="D199" s="107">
        <f t="shared" si="37"/>
        <v>2017</v>
      </c>
      <c r="E199" s="107">
        <f t="shared" si="37"/>
        <v>2018</v>
      </c>
      <c r="F199" s="107">
        <f t="shared" si="37"/>
        <v>2019</v>
      </c>
      <c r="G199" s="107">
        <f t="shared" si="37"/>
        <v>2020</v>
      </c>
      <c r="H199" s="107">
        <f t="shared" si="37"/>
        <v>2021</v>
      </c>
    </row>
    <row r="200" spans="2:9" hidden="1" x14ac:dyDescent="0.2">
      <c r="B200" s="28" t="s">
        <v>771</v>
      </c>
      <c r="C200" s="325"/>
      <c r="D200" s="325">
        <f t="shared" ref="D200:H201" si="38">D97</f>
        <v>0</v>
      </c>
      <c r="E200" s="325">
        <f t="shared" si="38"/>
        <v>0</v>
      </c>
      <c r="F200" s="325">
        <f t="shared" si="38"/>
        <v>0</v>
      </c>
      <c r="G200" s="325">
        <f t="shared" si="38"/>
        <v>0</v>
      </c>
      <c r="H200" s="325">
        <f t="shared" si="38"/>
        <v>0</v>
      </c>
    </row>
    <row r="201" spans="2:9" hidden="1" x14ac:dyDescent="0.2">
      <c r="B201" s="28" t="s">
        <v>770</v>
      </c>
      <c r="D201" s="325">
        <f t="shared" si="38"/>
        <v>10734000</v>
      </c>
      <c r="E201" s="325">
        <f t="shared" si="38"/>
        <v>133198000</v>
      </c>
      <c r="F201" s="325">
        <f t="shared" si="38"/>
        <v>274920000</v>
      </c>
      <c r="G201" s="325">
        <f t="shared" si="38"/>
        <v>232414000</v>
      </c>
      <c r="H201" s="325">
        <f t="shared" si="38"/>
        <v>154141000</v>
      </c>
    </row>
    <row r="202" spans="2:9" hidden="1" x14ac:dyDescent="0.2">
      <c r="B202" s="28" t="s">
        <v>774</v>
      </c>
      <c r="C202" s="538">
        <f>C75</f>
        <v>0.7</v>
      </c>
      <c r="D202" s="325">
        <f t="shared" ref="D202:H203" si="39">(D$99+D$100+D$101)*$C202</f>
        <v>4792200</v>
      </c>
      <c r="E202" s="325">
        <f t="shared" si="39"/>
        <v>5657400</v>
      </c>
      <c r="F202" s="325">
        <f t="shared" si="39"/>
        <v>9018800</v>
      </c>
      <c r="G202" s="325">
        <f t="shared" si="39"/>
        <v>5847800</v>
      </c>
      <c r="H202" s="325">
        <f t="shared" si="39"/>
        <v>3154900</v>
      </c>
    </row>
    <row r="203" spans="2:9" hidden="1" x14ac:dyDescent="0.2">
      <c r="B203" s="28" t="s">
        <v>775</v>
      </c>
      <c r="C203" s="539">
        <f>C76</f>
        <v>0.30000000000000004</v>
      </c>
      <c r="D203" s="325">
        <f t="shared" si="39"/>
        <v>2053800.0000000002</v>
      </c>
      <c r="E203" s="325">
        <f t="shared" si="39"/>
        <v>2424600.0000000005</v>
      </c>
      <c r="F203" s="325">
        <f t="shared" si="39"/>
        <v>3865200.0000000005</v>
      </c>
      <c r="G203" s="325">
        <f t="shared" si="39"/>
        <v>2506200.0000000005</v>
      </c>
      <c r="H203" s="325">
        <f t="shared" si="39"/>
        <v>1352100.0000000002</v>
      </c>
    </row>
    <row r="204" spans="2:9" hidden="1" x14ac:dyDescent="0.2">
      <c r="D204" s="325"/>
      <c r="E204" s="325"/>
      <c r="F204" s="325"/>
      <c r="G204" s="325"/>
      <c r="H204" s="325"/>
      <c r="I204" s="342"/>
    </row>
    <row r="205" spans="2:9" hidden="1" x14ac:dyDescent="0.2">
      <c r="B205" s="243" t="s">
        <v>790</v>
      </c>
      <c r="C205" s="107">
        <f t="shared" ref="C205:H205" si="40">C$9</f>
        <v>2016</v>
      </c>
      <c r="D205" s="107">
        <f t="shared" si="40"/>
        <v>2017</v>
      </c>
      <c r="E205" s="107">
        <f t="shared" si="40"/>
        <v>2018</v>
      </c>
      <c r="F205" s="107">
        <f t="shared" si="40"/>
        <v>2019</v>
      </c>
      <c r="G205" s="107">
        <f t="shared" si="40"/>
        <v>2020</v>
      </c>
      <c r="H205" s="107">
        <f t="shared" si="40"/>
        <v>2021</v>
      </c>
      <c r="I205" s="342"/>
    </row>
    <row r="206" spans="2:9" hidden="1" x14ac:dyDescent="0.2">
      <c r="B206" s="28" t="s">
        <v>771</v>
      </c>
      <c r="D206" s="325">
        <f t="shared" ref="D206:H209" si="41">C206+D200</f>
        <v>0</v>
      </c>
      <c r="E206" s="325">
        <f t="shared" si="41"/>
        <v>0</v>
      </c>
      <c r="F206" s="325">
        <f t="shared" si="41"/>
        <v>0</v>
      </c>
      <c r="G206" s="325">
        <f t="shared" si="41"/>
        <v>0</v>
      </c>
      <c r="H206" s="325">
        <f t="shared" si="41"/>
        <v>0</v>
      </c>
    </row>
    <row r="207" spans="2:9" hidden="1" x14ac:dyDescent="0.2">
      <c r="B207" s="28" t="s">
        <v>770</v>
      </c>
      <c r="D207" s="325">
        <f t="shared" si="41"/>
        <v>10734000</v>
      </c>
      <c r="E207" s="325">
        <f t="shared" si="41"/>
        <v>143932000</v>
      </c>
      <c r="F207" s="325">
        <f t="shared" si="41"/>
        <v>418852000</v>
      </c>
      <c r="G207" s="325">
        <f t="shared" si="41"/>
        <v>651266000</v>
      </c>
      <c r="H207" s="325">
        <f t="shared" si="41"/>
        <v>805407000</v>
      </c>
    </row>
    <row r="208" spans="2:9" hidden="1" x14ac:dyDescent="0.2">
      <c r="B208" s="28" t="s">
        <v>774</v>
      </c>
      <c r="D208" s="325">
        <f t="shared" si="41"/>
        <v>4792200</v>
      </c>
      <c r="E208" s="325">
        <f t="shared" si="41"/>
        <v>10449600</v>
      </c>
      <c r="F208" s="325">
        <f t="shared" si="41"/>
        <v>19468400</v>
      </c>
      <c r="G208" s="325">
        <f t="shared" si="41"/>
        <v>25316200</v>
      </c>
      <c r="H208" s="325">
        <f t="shared" si="41"/>
        <v>28471100</v>
      </c>
    </row>
    <row r="209" spans="2:8" hidden="1" x14ac:dyDescent="0.2">
      <c r="B209" s="28" t="s">
        <v>775</v>
      </c>
      <c r="D209" s="325">
        <f t="shared" si="41"/>
        <v>2053800.0000000002</v>
      </c>
      <c r="E209" s="325">
        <f t="shared" si="41"/>
        <v>4478400.0000000009</v>
      </c>
      <c r="F209" s="325">
        <f t="shared" si="41"/>
        <v>8343600.0000000019</v>
      </c>
      <c r="G209" s="325">
        <f t="shared" si="41"/>
        <v>10849800.000000002</v>
      </c>
      <c r="H209" s="325">
        <f t="shared" si="41"/>
        <v>12201900.000000002</v>
      </c>
    </row>
    <row r="210" spans="2:8" hidden="1" x14ac:dyDescent="0.2">
      <c r="D210" s="325"/>
      <c r="E210" s="325"/>
      <c r="F210" s="325"/>
      <c r="G210" s="325"/>
      <c r="H210" s="325"/>
    </row>
    <row r="211" spans="2:8" hidden="1" x14ac:dyDescent="0.2">
      <c r="B211" s="243" t="s">
        <v>796</v>
      </c>
      <c r="C211" s="107">
        <f t="shared" ref="C211:H211" si="42">C$9</f>
        <v>2016</v>
      </c>
      <c r="D211" s="107">
        <f t="shared" si="42"/>
        <v>2017</v>
      </c>
      <c r="E211" s="107">
        <f t="shared" si="42"/>
        <v>2018</v>
      </c>
      <c r="F211" s="107">
        <f t="shared" si="42"/>
        <v>2019</v>
      </c>
      <c r="G211" s="107">
        <f t="shared" si="42"/>
        <v>2020</v>
      </c>
      <c r="H211" s="107">
        <f t="shared" si="42"/>
        <v>2021</v>
      </c>
    </row>
    <row r="212" spans="2:8" hidden="1" x14ac:dyDescent="0.2">
      <c r="B212" s="28" t="s">
        <v>771</v>
      </c>
      <c r="D212" s="325">
        <f>D107</f>
        <v>0</v>
      </c>
      <c r="E212" s="325">
        <f>E107</f>
        <v>0</v>
      </c>
      <c r="F212" s="325">
        <f>F107</f>
        <v>0</v>
      </c>
      <c r="G212" s="325">
        <f>G107</f>
        <v>0</v>
      </c>
      <c r="H212" s="325">
        <f>H107</f>
        <v>0</v>
      </c>
    </row>
    <row r="213" spans="2:8" hidden="1" x14ac:dyDescent="0.2">
      <c r="B213" s="28" t="s">
        <v>770</v>
      </c>
      <c r="D213" s="325">
        <f>D119</f>
        <v>7205013.6986301364</v>
      </c>
      <c r="E213" s="325">
        <f>E119</f>
        <v>89406876.712328762</v>
      </c>
      <c r="F213" s="325">
        <f>F119</f>
        <v>184535342.46575347</v>
      </c>
      <c r="G213" s="325">
        <f>G119</f>
        <v>58581063.013698637</v>
      </c>
      <c r="H213" s="325">
        <f>H119</f>
        <v>38851978.082191788</v>
      </c>
    </row>
    <row r="214" spans="2:8" hidden="1" x14ac:dyDescent="0.2">
      <c r="B214" s="28" t="s">
        <v>774</v>
      </c>
      <c r="D214" s="325">
        <f>D130+'Plan de Expansión'!E179*1000*$C$75</f>
        <v>3216682.1917808214</v>
      </c>
      <c r="E214" s="325">
        <f>E130+'Plan de Expansión'!F179*1000*$C$75</f>
        <v>3797432.8767123278</v>
      </c>
      <c r="F214" s="325">
        <f>F130+'Plan de Expansión'!G179*1000*$C$75</f>
        <v>6053715.0684931502</v>
      </c>
      <c r="G214" s="325">
        <f>G130+'Plan de Expansión'!H179*1000*$C$75</f>
        <v>1473966.0273972603</v>
      </c>
      <c r="H214" s="325">
        <f>H130+'Plan de Expansión'!I179*1000*$C$75</f>
        <v>795207.67123287672</v>
      </c>
    </row>
    <row r="215" spans="2:8" hidden="1" x14ac:dyDescent="0.2">
      <c r="B215" s="28" t="s">
        <v>775</v>
      </c>
      <c r="D215" s="325">
        <f>D141+'Plan de Expansión'!E179*1000*$C$75</f>
        <v>1378578.0821917809</v>
      </c>
      <c r="E215" s="325">
        <f>E141+'Plan de Expansión'!F179*1000*$C$75</f>
        <v>1627471.2328767122</v>
      </c>
      <c r="F215" s="325">
        <f>F141+'Plan de Expansión'!G179*1000*$C$75</f>
        <v>4044849.3150684931</v>
      </c>
      <c r="G215" s="325">
        <f>G141+'Plan de Expansión'!H179*1000*$C$75</f>
        <v>865203.28767123306</v>
      </c>
      <c r="H215" s="325">
        <f>H141+'Plan de Expansión'!I179*1000*$C$75</f>
        <v>340803.28767123295</v>
      </c>
    </row>
    <row r="216" spans="2:8" hidden="1" x14ac:dyDescent="0.2"/>
    <row r="217" spans="2:8" hidden="1" x14ac:dyDescent="0.2">
      <c r="B217" s="243"/>
      <c r="C217" s="107"/>
      <c r="D217" s="334" t="str">
        <f>"dic-"&amp;C$9-2000&amp;"-jun-"&amp;D$9-2000</f>
        <v>dic-16-jun-17</v>
      </c>
      <c r="E217" s="334" t="str">
        <f>"jul-"&amp;D$9-2000&amp;"-jun-"&amp;E$9-2000</f>
        <v>jul-17-jun-18</v>
      </c>
      <c r="F217" s="334" t="str">
        <f>"jul-"&amp;E$9-2000&amp;"-jun-"&amp;F$9-2000</f>
        <v>jul-18-jun-19</v>
      </c>
      <c r="G217" s="334" t="str">
        <f>"jul-"&amp;F$9-2000&amp;"-jun-"&amp;G$9-2000</f>
        <v>jul-19-jun-20</v>
      </c>
      <c r="H217" s="334" t="str">
        <f>"jul-"&amp;G$9-2000&amp;"-jun-"&amp;H$9-2000</f>
        <v>jul-20-jun-21</v>
      </c>
    </row>
    <row r="218" spans="2:8" hidden="1" x14ac:dyDescent="0.2"/>
    <row r="219" spans="2:8" hidden="1" x14ac:dyDescent="0.2">
      <c r="B219" s="353" t="s">
        <v>767</v>
      </c>
      <c r="C219" s="351"/>
      <c r="D219" s="351"/>
      <c r="E219" s="351"/>
      <c r="F219" s="351"/>
      <c r="G219" s="351"/>
      <c r="H219" s="351"/>
    </row>
    <row r="220" spans="2:8" hidden="1" x14ac:dyDescent="0.2">
      <c r="B220" s="28" t="s">
        <v>782</v>
      </c>
      <c r="E220" s="325">
        <f>D106-D221</f>
        <v>0</v>
      </c>
      <c r="F220" s="325">
        <f>E106-E221</f>
        <v>0</v>
      </c>
      <c r="G220" s="325">
        <f>F106-F221</f>
        <v>0</v>
      </c>
      <c r="H220" s="325">
        <f>G106-G221</f>
        <v>0</v>
      </c>
    </row>
    <row r="221" spans="2:8" hidden="1" x14ac:dyDescent="0.2">
      <c r="B221" s="28" t="s">
        <v>783</v>
      </c>
      <c r="D221" s="350">
        <f>D107</f>
        <v>0</v>
      </c>
      <c r="E221" s="336">
        <f>E107</f>
        <v>0</v>
      </c>
      <c r="F221" s="336">
        <f>F107</f>
        <v>0</v>
      </c>
      <c r="G221" s="336">
        <f>G107</f>
        <v>0</v>
      </c>
      <c r="H221" s="336">
        <f>H107</f>
        <v>0</v>
      </c>
    </row>
    <row r="222" spans="2:8" hidden="1" x14ac:dyDescent="0.2">
      <c r="B222" s="353" t="s">
        <v>766</v>
      </c>
      <c r="C222" s="351"/>
      <c r="D222" s="351"/>
      <c r="E222" s="351"/>
      <c r="F222" s="351"/>
      <c r="G222" s="351"/>
      <c r="H222" s="351"/>
    </row>
    <row r="223" spans="2:8" hidden="1" x14ac:dyDescent="0.2">
      <c r="B223" s="28" t="s">
        <v>782</v>
      </c>
      <c r="E223" s="325">
        <f>D118-D224</f>
        <v>3528986.3013698636</v>
      </c>
      <c r="F223" s="325">
        <f>E118-E224</f>
        <v>43791123.287671238</v>
      </c>
      <c r="G223" s="325">
        <f>F118-F224</f>
        <v>90384657.534246534</v>
      </c>
      <c r="H223" s="325">
        <f>G118-G224</f>
        <v>173832936.98630136</v>
      </c>
    </row>
    <row r="224" spans="2:8" hidden="1" x14ac:dyDescent="0.2">
      <c r="B224" s="28" t="s">
        <v>783</v>
      </c>
      <c r="D224" s="350">
        <f>D119</f>
        <v>7205013.6986301364</v>
      </c>
      <c r="E224" s="336">
        <f>E119</f>
        <v>89406876.712328762</v>
      </c>
      <c r="F224" s="336">
        <f>F119</f>
        <v>184535342.46575347</v>
      </c>
      <c r="G224" s="336">
        <f>G119</f>
        <v>58581063.013698637</v>
      </c>
      <c r="H224" s="336">
        <f>H119</f>
        <v>38851978.082191788</v>
      </c>
    </row>
    <row r="225" spans="2:36" hidden="1" x14ac:dyDescent="0.2">
      <c r="B225" s="353" t="s">
        <v>765</v>
      </c>
      <c r="C225" s="351"/>
      <c r="D225" s="351"/>
      <c r="E225" s="351"/>
      <c r="F225" s="351"/>
      <c r="G225" s="351"/>
      <c r="H225" s="351"/>
    </row>
    <row r="226" spans="2:36" hidden="1" x14ac:dyDescent="0.2">
      <c r="B226" s="28" t="s">
        <v>782</v>
      </c>
      <c r="E226" s="325">
        <f>D129-D227</f>
        <v>1575517.8082191786</v>
      </c>
      <c r="F226" s="325">
        <f>E129-E227</f>
        <v>1859967.1232876722</v>
      </c>
      <c r="G226" s="325">
        <f>F129-F227</f>
        <v>1721884.9315068503</v>
      </c>
      <c r="H226" s="325">
        <f>G129-G227</f>
        <v>3161265.2054794524</v>
      </c>
    </row>
    <row r="227" spans="2:36" hidden="1" x14ac:dyDescent="0.2">
      <c r="B227" s="28" t="s">
        <v>783</v>
      </c>
      <c r="D227" s="350">
        <f>D130</f>
        <v>3216682.1917808214</v>
      </c>
      <c r="E227" s="336">
        <f>E130</f>
        <v>3797432.8767123278</v>
      </c>
      <c r="F227" s="336">
        <f>F130</f>
        <v>3515515.0684931497</v>
      </c>
      <c r="G227" s="336">
        <f>G130</f>
        <v>1065334.7945205478</v>
      </c>
      <c r="H227" s="336">
        <f>H130</f>
        <v>795207.67123287672</v>
      </c>
    </row>
    <row r="228" spans="2:36" hidden="1" x14ac:dyDescent="0.2">
      <c r="B228" s="353" t="s">
        <v>764</v>
      </c>
      <c r="C228" s="351"/>
      <c r="D228" s="351"/>
      <c r="E228" s="351"/>
      <c r="F228" s="351"/>
      <c r="G228" s="351"/>
      <c r="H228" s="351"/>
    </row>
    <row r="229" spans="2:36" hidden="1" x14ac:dyDescent="0.2">
      <c r="B229" s="28" t="s">
        <v>782</v>
      </c>
      <c r="E229" s="325">
        <f>D140-D230</f>
        <v>675221.91780821932</v>
      </c>
      <c r="F229" s="325">
        <f>E140-E230</f>
        <v>797128.76712328824</v>
      </c>
      <c r="G229" s="325">
        <f>F140-F230</f>
        <v>737950.68493150733</v>
      </c>
      <c r="H229" s="325">
        <f>G140-G230</f>
        <v>1354827.9452054796</v>
      </c>
    </row>
    <row r="230" spans="2:36" hidden="1" x14ac:dyDescent="0.2">
      <c r="B230" s="28" t="s">
        <v>783</v>
      </c>
      <c r="D230" s="350">
        <f>D141</f>
        <v>1378578.0821917809</v>
      </c>
      <c r="E230" s="336">
        <f>E141</f>
        <v>1627471.2328767122</v>
      </c>
      <c r="F230" s="336">
        <f>F141</f>
        <v>1506649.3150684931</v>
      </c>
      <c r="G230" s="336">
        <f>G141</f>
        <v>456572.05479452061</v>
      </c>
      <c r="H230" s="336">
        <f>H141</f>
        <v>340803.28767123295</v>
      </c>
    </row>
    <row r="231" spans="2:36" hidden="1" x14ac:dyDescent="0.2">
      <c r="D231" s="350"/>
      <c r="E231" s="336"/>
      <c r="F231" s="336"/>
      <c r="G231" s="336"/>
      <c r="H231" s="336"/>
    </row>
    <row r="232" spans="2:36" hidden="1" x14ac:dyDescent="0.2">
      <c r="B232" s="353" t="s">
        <v>767</v>
      </c>
      <c r="C232" s="351"/>
      <c r="D232" s="351"/>
      <c r="E232" s="351"/>
      <c r="F232" s="351"/>
      <c r="G232" s="351"/>
      <c r="H232" s="351"/>
    </row>
    <row r="233" spans="2:36" hidden="1" x14ac:dyDescent="0.2">
      <c r="B233" s="28" t="s">
        <v>784</v>
      </c>
      <c r="D233" s="352"/>
      <c r="E233" s="401">
        <v>0.75</v>
      </c>
      <c r="F233" s="401">
        <f>$E233</f>
        <v>0.75</v>
      </c>
      <c r="G233" s="401">
        <f t="shared" ref="G233:H243" si="43">$E233</f>
        <v>0.75</v>
      </c>
      <c r="H233" s="401">
        <f t="shared" si="43"/>
        <v>0.75</v>
      </c>
    </row>
    <row r="234" spans="2:36" hidden="1" x14ac:dyDescent="0.2">
      <c r="B234" s="28" t="s">
        <v>785</v>
      </c>
      <c r="D234" s="352"/>
      <c r="E234" s="401">
        <v>0.25</v>
      </c>
      <c r="F234" s="401">
        <f t="shared" ref="F234:F243" si="44">$E234</f>
        <v>0.25</v>
      </c>
      <c r="G234" s="401">
        <f t="shared" si="43"/>
        <v>0.25</v>
      </c>
      <c r="H234" s="401">
        <f t="shared" si="43"/>
        <v>0.25</v>
      </c>
    </row>
    <row r="235" spans="2:36" hidden="1" x14ac:dyDescent="0.2">
      <c r="B235" s="353" t="s">
        <v>766</v>
      </c>
      <c r="C235" s="351"/>
      <c r="D235" s="351"/>
      <c r="E235" s="351"/>
      <c r="F235" s="351"/>
      <c r="G235" s="351"/>
      <c r="H235" s="351"/>
    </row>
    <row r="236" spans="2:36" hidden="1" x14ac:dyDescent="0.2">
      <c r="B236" s="28" t="s">
        <v>784</v>
      </c>
      <c r="D236" s="352"/>
      <c r="E236" s="401">
        <f>E233</f>
        <v>0.75</v>
      </c>
      <c r="F236" s="401">
        <f t="shared" si="44"/>
        <v>0.75</v>
      </c>
      <c r="G236" s="401">
        <f t="shared" si="43"/>
        <v>0.75</v>
      </c>
      <c r="H236" s="401">
        <f t="shared" si="43"/>
        <v>0.75</v>
      </c>
    </row>
    <row r="237" spans="2:36" hidden="1" x14ac:dyDescent="0.2">
      <c r="B237" s="28" t="s">
        <v>785</v>
      </c>
      <c r="D237" s="352"/>
      <c r="E237" s="401">
        <f>E234</f>
        <v>0.25</v>
      </c>
      <c r="F237" s="401">
        <f t="shared" si="44"/>
        <v>0.25</v>
      </c>
      <c r="G237" s="401">
        <f t="shared" si="43"/>
        <v>0.25</v>
      </c>
      <c r="H237" s="401">
        <f t="shared" si="43"/>
        <v>0.25</v>
      </c>
    </row>
    <row r="238" spans="2:36" hidden="1" x14ac:dyDescent="0.2">
      <c r="B238" s="353" t="s">
        <v>765</v>
      </c>
      <c r="C238" s="351"/>
      <c r="D238" s="351"/>
      <c r="E238" s="402"/>
      <c r="F238" s="402"/>
      <c r="G238" s="402"/>
      <c r="H238" s="402"/>
    </row>
    <row r="239" spans="2:36" hidden="1" x14ac:dyDescent="0.2">
      <c r="B239" s="28" t="s">
        <v>784</v>
      </c>
      <c r="D239" s="352"/>
      <c r="E239" s="401">
        <f>E236</f>
        <v>0.75</v>
      </c>
      <c r="F239" s="401">
        <f t="shared" si="44"/>
        <v>0.75</v>
      </c>
      <c r="G239" s="401">
        <f t="shared" si="43"/>
        <v>0.75</v>
      </c>
      <c r="H239" s="401">
        <f t="shared" si="43"/>
        <v>0.75</v>
      </c>
    </row>
    <row r="240" spans="2:36" hidden="1" x14ac:dyDescent="0.2">
      <c r="B240" s="28" t="s">
        <v>785</v>
      </c>
      <c r="D240" s="352"/>
      <c r="E240" s="401">
        <f>E237</f>
        <v>0.25</v>
      </c>
      <c r="F240" s="401">
        <f t="shared" si="44"/>
        <v>0.25</v>
      </c>
      <c r="G240" s="401">
        <f t="shared" si="43"/>
        <v>0.25</v>
      </c>
      <c r="H240" s="401">
        <f t="shared" si="43"/>
        <v>0.25</v>
      </c>
      <c r="AH240" s="28" t="s">
        <v>663</v>
      </c>
      <c r="AI240" s="28">
        <v>2016</v>
      </c>
      <c r="AJ240" s="28" t="s">
        <v>781</v>
      </c>
    </row>
    <row r="241" spans="2:36" hidden="1" x14ac:dyDescent="0.2">
      <c r="B241" s="353" t="s">
        <v>764</v>
      </c>
      <c r="C241" s="351"/>
      <c r="D241" s="351"/>
      <c r="E241" s="351"/>
      <c r="F241" s="351"/>
      <c r="G241" s="351"/>
      <c r="H241" s="351"/>
      <c r="AH241" s="28" t="s">
        <v>780</v>
      </c>
      <c r="AI241" s="348">
        <f>VNR!Q31+VNR!Q41+VNR!C30+C194+C195</f>
        <v>694913522.67720389</v>
      </c>
      <c r="AJ241" s="346">
        <f>AI241/AI$243</f>
        <v>0.87005029167638925</v>
      </c>
    </row>
    <row r="242" spans="2:36" hidden="1" x14ac:dyDescent="0.2">
      <c r="B242" s="28" t="s">
        <v>784</v>
      </c>
      <c r="D242" s="352"/>
      <c r="E242" s="401">
        <f>E239</f>
        <v>0.75</v>
      </c>
      <c r="F242" s="401">
        <f t="shared" si="44"/>
        <v>0.75</v>
      </c>
      <c r="G242" s="401">
        <f t="shared" si="43"/>
        <v>0.75</v>
      </c>
      <c r="H242" s="401">
        <f t="shared" si="43"/>
        <v>0.75</v>
      </c>
      <c r="AH242" s="28" t="s">
        <v>339</v>
      </c>
      <c r="AI242" s="348">
        <f>VNR!Q49+VNR!Q59+VNR!D30</f>
        <v>103791482.45331949</v>
      </c>
      <c r="AJ242" s="346">
        <f>AI242/AI$243</f>
        <v>0.12994970832361066</v>
      </c>
    </row>
    <row r="243" spans="2:36" hidden="1" x14ac:dyDescent="0.2">
      <c r="B243" s="28" t="s">
        <v>785</v>
      </c>
      <c r="D243" s="352"/>
      <c r="E243" s="401">
        <f>E240</f>
        <v>0.25</v>
      </c>
      <c r="F243" s="401">
        <f t="shared" si="44"/>
        <v>0.25</v>
      </c>
      <c r="G243" s="401">
        <f t="shared" si="43"/>
        <v>0.25</v>
      </c>
      <c r="H243" s="401">
        <f t="shared" si="43"/>
        <v>0.25</v>
      </c>
      <c r="AH243" s="28" t="s">
        <v>413</v>
      </c>
      <c r="AI243" s="348">
        <f>AI241+AI242</f>
        <v>798705005.13052344</v>
      </c>
    </row>
    <row r="244" spans="2:36" hidden="1" x14ac:dyDescent="0.2">
      <c r="D244" s="352"/>
      <c r="E244" s="352"/>
      <c r="F244" s="352"/>
      <c r="G244" s="352"/>
      <c r="H244" s="352"/>
    </row>
    <row r="245" spans="2:36" hidden="1" x14ac:dyDescent="0.2">
      <c r="B245" s="354" t="s">
        <v>786</v>
      </c>
      <c r="C245" s="354"/>
      <c r="D245" s="355"/>
      <c r="E245" s="356">
        <f>SUMPRODUCT(E220:E221,E233:E234)+SUMPRODUCT(E226:E227,E239:E240)</f>
        <v>2130996.5753424661</v>
      </c>
      <c r="F245" s="356">
        <f t="shared" ref="F245:H245" si="45">SUMPRODUCT(F220:F221,F233:F234)+SUMPRODUCT(F226:F227,F239:F240)</f>
        <v>2273854.1095890417</v>
      </c>
      <c r="G245" s="356">
        <f t="shared" si="45"/>
        <v>1557747.3972602747</v>
      </c>
      <c r="H245" s="356">
        <f t="shared" si="45"/>
        <v>2569750.8219178086</v>
      </c>
    </row>
    <row r="246" spans="2:36" hidden="1" x14ac:dyDescent="0.2">
      <c r="B246" s="354" t="s">
        <v>787</v>
      </c>
      <c r="C246" s="354"/>
      <c r="D246" s="355"/>
      <c r="E246" s="356">
        <f>SUMPRODUCT(E223:E224,E236:E237)+SUMPRODUCT(E229:E230,E242:E243)</f>
        <v>25911743.15068493</v>
      </c>
      <c r="F246" s="356">
        <f t="shared" ref="F246:H246" si="46">SUMPRODUCT(F223:F224,F236:F237)+SUMPRODUCT(F229:F230,F242:F243)</f>
        <v>79951686.986301377</v>
      </c>
      <c r="G246" s="356">
        <f t="shared" si="46"/>
        <v>83101364.931506813</v>
      </c>
      <c r="H246" s="356">
        <f t="shared" si="46"/>
        <v>141189019.04109588</v>
      </c>
    </row>
    <row r="248" spans="2:36" s="89" customFormat="1" hidden="1" x14ac:dyDescent="0.2">
      <c r="B248" s="107" t="s">
        <v>329</v>
      </c>
    </row>
    <row r="249" spans="2:36" hidden="1" x14ac:dyDescent="0.2"/>
    <row r="250" spans="2:36" hidden="1" x14ac:dyDescent="0.2">
      <c r="B250" s="243"/>
      <c r="C250" s="107">
        <f t="shared" ref="C250:H250" si="47">C$9</f>
        <v>2016</v>
      </c>
      <c r="D250" s="107">
        <f t="shared" si="47"/>
        <v>2017</v>
      </c>
      <c r="E250" s="107">
        <f t="shared" si="47"/>
        <v>2018</v>
      </c>
      <c r="F250" s="107">
        <f t="shared" si="47"/>
        <v>2019</v>
      </c>
      <c r="G250" s="107">
        <f t="shared" si="47"/>
        <v>2020</v>
      </c>
      <c r="H250" s="107">
        <f t="shared" si="47"/>
        <v>2021</v>
      </c>
    </row>
    <row r="251" spans="2:36" hidden="1" x14ac:dyDescent="0.2">
      <c r="B251" s="254" t="s">
        <v>426</v>
      </c>
      <c r="C251" s="416">
        <v>3.5000000000000003E-2</v>
      </c>
      <c r="D251" s="415">
        <f>+$C$251</f>
        <v>3.5000000000000003E-2</v>
      </c>
      <c r="E251" s="415">
        <f t="shared" ref="E251:H252" si="48">+$C$251</f>
        <v>3.5000000000000003E-2</v>
      </c>
      <c r="F251" s="415">
        <f t="shared" si="48"/>
        <v>3.5000000000000003E-2</v>
      </c>
      <c r="G251" s="415">
        <f t="shared" si="48"/>
        <v>3.5000000000000003E-2</v>
      </c>
      <c r="H251" s="415">
        <f t="shared" si="48"/>
        <v>3.5000000000000003E-2</v>
      </c>
    </row>
    <row r="252" spans="2:36" hidden="1" x14ac:dyDescent="0.2">
      <c r="B252" s="254" t="s">
        <v>545</v>
      </c>
      <c r="C252" s="416">
        <v>3.5000000000000003E-2</v>
      </c>
      <c r="D252" s="415">
        <f>+$C$251</f>
        <v>3.5000000000000003E-2</v>
      </c>
      <c r="E252" s="415">
        <f t="shared" si="48"/>
        <v>3.5000000000000003E-2</v>
      </c>
      <c r="F252" s="415">
        <f t="shared" si="48"/>
        <v>3.5000000000000003E-2</v>
      </c>
      <c r="G252" s="415">
        <f t="shared" si="48"/>
        <v>3.5000000000000003E-2</v>
      </c>
      <c r="H252" s="415">
        <f t="shared" si="48"/>
        <v>3.5000000000000003E-2</v>
      </c>
    </row>
    <row r="253" spans="2:36" hidden="1" x14ac:dyDescent="0.2">
      <c r="B253" s="254" t="s">
        <v>417</v>
      </c>
      <c r="C253" s="325"/>
      <c r="D253" s="325">
        <f>+C257</f>
        <v>0</v>
      </c>
      <c r="E253" s="325">
        <f t="shared" ref="E253:H253" si="49">+D257</f>
        <v>0</v>
      </c>
      <c r="F253" s="325">
        <f t="shared" si="49"/>
        <v>0</v>
      </c>
      <c r="G253" s="325">
        <f t="shared" si="49"/>
        <v>0</v>
      </c>
      <c r="H253" s="325">
        <f t="shared" si="49"/>
        <v>0</v>
      </c>
    </row>
    <row r="254" spans="2:36" hidden="1" x14ac:dyDescent="0.2">
      <c r="B254" s="254" t="s">
        <v>418</v>
      </c>
      <c r="C254" s="325"/>
      <c r="D254" s="325">
        <f>+C260</f>
        <v>0</v>
      </c>
      <c r="E254" s="325">
        <f t="shared" ref="E254:H254" si="50">+D260</f>
        <v>0</v>
      </c>
      <c r="F254" s="325">
        <f t="shared" si="50"/>
        <v>0</v>
      </c>
      <c r="G254" s="325">
        <f t="shared" si="50"/>
        <v>0</v>
      </c>
      <c r="H254" s="325">
        <f t="shared" si="50"/>
        <v>0</v>
      </c>
    </row>
    <row r="255" spans="2:36" hidden="1" x14ac:dyDescent="0.2">
      <c r="B255" s="254" t="s">
        <v>419</v>
      </c>
      <c r="C255" s="325"/>
      <c r="D255" s="325">
        <f>+-C257*D251</f>
        <v>0</v>
      </c>
      <c r="E255" s="325">
        <f t="shared" ref="E255:H255" si="51">+-D257*E251</f>
        <v>0</v>
      </c>
      <c r="F255" s="325">
        <f t="shared" si="51"/>
        <v>0</v>
      </c>
      <c r="G255" s="325">
        <f t="shared" si="51"/>
        <v>0</v>
      </c>
      <c r="H255" s="325">
        <f t="shared" si="51"/>
        <v>0</v>
      </c>
    </row>
    <row r="256" spans="2:36" hidden="1" x14ac:dyDescent="0.2">
      <c r="B256" s="254" t="s">
        <v>546</v>
      </c>
      <c r="C256" s="325"/>
      <c r="D256" s="325"/>
      <c r="E256" s="325"/>
      <c r="F256" s="325"/>
      <c r="G256" s="325"/>
      <c r="H256" s="325"/>
    </row>
    <row r="257" spans="2:8" hidden="1" x14ac:dyDescent="0.2">
      <c r="B257" s="254" t="s">
        <v>420</v>
      </c>
      <c r="C257" s="374">
        <f>+'Base de Capital'!$H$60*0</f>
        <v>0</v>
      </c>
      <c r="D257" s="375">
        <f>+C257</f>
        <v>0</v>
      </c>
      <c r="E257" s="375">
        <f t="shared" ref="E257:H257" si="52">+D257</f>
        <v>0</v>
      </c>
      <c r="F257" s="375">
        <f t="shared" si="52"/>
        <v>0</v>
      </c>
      <c r="G257" s="375">
        <f t="shared" si="52"/>
        <v>0</v>
      </c>
      <c r="H257" s="375">
        <f t="shared" si="52"/>
        <v>0</v>
      </c>
    </row>
    <row r="258" spans="2:8" hidden="1" x14ac:dyDescent="0.2">
      <c r="B258" s="254" t="s">
        <v>421</v>
      </c>
      <c r="C258" s="374">
        <f>+'Base de Capital'!$R$60*0</f>
        <v>0</v>
      </c>
      <c r="D258" s="325">
        <f>+D254+D255</f>
        <v>0</v>
      </c>
      <c r="E258" s="325">
        <f t="shared" ref="E258:H258" si="53">+E254+E255</f>
        <v>0</v>
      </c>
      <c r="F258" s="325">
        <f t="shared" si="53"/>
        <v>0</v>
      </c>
      <c r="G258" s="325">
        <f t="shared" si="53"/>
        <v>0</v>
      </c>
      <c r="H258" s="325">
        <f t="shared" si="53"/>
        <v>0</v>
      </c>
    </row>
    <row r="259" spans="2:8" hidden="1" x14ac:dyDescent="0.2">
      <c r="B259" s="254" t="s">
        <v>319</v>
      </c>
      <c r="C259" s="374">
        <f>-'Base de Capital'!$M$60*0</f>
        <v>0</v>
      </c>
      <c r="D259" s="325">
        <f>+C259+D255</f>
        <v>0</v>
      </c>
      <c r="E259" s="325">
        <f t="shared" ref="E259:H259" si="54">+D259+E255</f>
        <v>0</v>
      </c>
      <c r="F259" s="325">
        <f t="shared" si="54"/>
        <v>0</v>
      </c>
      <c r="G259" s="325">
        <f t="shared" si="54"/>
        <v>0</v>
      </c>
      <c r="H259" s="325">
        <f t="shared" si="54"/>
        <v>0</v>
      </c>
    </row>
    <row r="260" spans="2:8" hidden="1" x14ac:dyDescent="0.2">
      <c r="B260" s="254" t="s">
        <v>422</v>
      </c>
      <c r="C260" s="325">
        <f>+C257+C259</f>
        <v>0</v>
      </c>
      <c r="D260" s="325">
        <f>+D257+D259</f>
        <v>0</v>
      </c>
      <c r="E260" s="325">
        <f t="shared" ref="E260:H260" si="55">+E257+E259</f>
        <v>0</v>
      </c>
      <c r="F260" s="325">
        <f t="shared" si="55"/>
        <v>0</v>
      </c>
      <c r="G260" s="325">
        <f t="shared" si="55"/>
        <v>0</v>
      </c>
      <c r="H260" s="325">
        <f t="shared" si="55"/>
        <v>0</v>
      </c>
    </row>
    <row r="261" spans="2:8" hidden="1" x14ac:dyDescent="0.2"/>
    <row r="262" spans="2:8" x14ac:dyDescent="0.2">
      <c r="B262" s="189" t="s">
        <v>739</v>
      </c>
      <c r="C262" s="107">
        <f t="shared" ref="C262:H262" si="56">C$9</f>
        <v>2016</v>
      </c>
      <c r="D262" s="107">
        <f t="shared" si="56"/>
        <v>2017</v>
      </c>
      <c r="E262" s="107">
        <f t="shared" si="56"/>
        <v>2018</v>
      </c>
      <c r="F262" s="107">
        <f t="shared" si="56"/>
        <v>2019</v>
      </c>
      <c r="G262" s="107">
        <f t="shared" si="56"/>
        <v>2020</v>
      </c>
      <c r="H262" s="107">
        <f t="shared" si="56"/>
        <v>2021</v>
      </c>
    </row>
    <row r="263" spans="2:8" x14ac:dyDescent="0.2">
      <c r="B263" s="187"/>
      <c r="C263" s="187"/>
      <c r="D263" s="187"/>
      <c r="E263" s="187"/>
      <c r="F263" s="187"/>
      <c r="G263" s="187"/>
      <c r="H263" s="187"/>
    </row>
    <row r="264" spans="2:8" x14ac:dyDescent="0.2">
      <c r="B264" s="187" t="s">
        <v>743</v>
      </c>
      <c r="C264" s="188">
        <f t="shared" ref="C264:H264" si="57">+VNR_Lineas+VNR_Subestaciones_SPT</f>
        <v>702522925.19525671</v>
      </c>
      <c r="D264" s="188">
        <f t="shared" si="57"/>
        <v>702522925.19525671</v>
      </c>
      <c r="E264" s="188">
        <f t="shared" si="57"/>
        <v>702522925.19525671</v>
      </c>
      <c r="F264" s="188">
        <f t="shared" si="57"/>
        <v>702522925.19525671</v>
      </c>
      <c r="G264" s="188">
        <f t="shared" si="57"/>
        <v>702522925.19525671</v>
      </c>
      <c r="H264" s="188">
        <f t="shared" si="57"/>
        <v>702522925.19525671</v>
      </c>
    </row>
    <row r="265" spans="2:8" x14ac:dyDescent="0.2">
      <c r="B265" s="187" t="s">
        <v>631</v>
      </c>
      <c r="C265" s="188">
        <f t="shared" ref="C265:H265" si="58">+C264*C282</f>
        <v>59509771.119677946</v>
      </c>
      <c r="D265" s="188">
        <f t="shared" si="58"/>
        <v>37090475.407267749</v>
      </c>
      <c r="E265" s="188">
        <f t="shared" si="58"/>
        <v>35820847.100850888</v>
      </c>
      <c r="F265" s="188">
        <f t="shared" si="58"/>
        <v>35313189.171780929</v>
      </c>
      <c r="G265" s="188">
        <f t="shared" si="58"/>
        <v>35031801.633953579</v>
      </c>
      <c r="H265" s="188">
        <f t="shared" si="58"/>
        <v>35569435.555025764</v>
      </c>
    </row>
    <row r="266" spans="2:8" x14ac:dyDescent="0.2">
      <c r="B266" s="187" t="s">
        <v>740</v>
      </c>
      <c r="C266" s="188">
        <f t="shared" ref="C266:H266" si="59">+VNR_Subestaciones_Estrategicas</f>
        <v>36672308.815588608</v>
      </c>
      <c r="D266" s="188">
        <f t="shared" si="59"/>
        <v>36672308.815588608</v>
      </c>
      <c r="E266" s="188">
        <f t="shared" si="59"/>
        <v>36672308.815588608</v>
      </c>
      <c r="F266" s="188">
        <f t="shared" si="59"/>
        <v>36672308.815588608</v>
      </c>
      <c r="G266" s="188">
        <f t="shared" si="59"/>
        <v>36672308.815588608</v>
      </c>
      <c r="H266" s="188">
        <f t="shared" si="59"/>
        <v>36672308.815588608</v>
      </c>
    </row>
    <row r="267" spans="2:8" x14ac:dyDescent="0.2">
      <c r="B267" s="296" t="s">
        <v>744</v>
      </c>
      <c r="C267" s="297">
        <f t="shared" ref="C267:H267" si="60">+SUBTOTAL(9,C264:C266)</f>
        <v>798705005.1305232</v>
      </c>
      <c r="D267" s="297">
        <f t="shared" si="60"/>
        <v>776285709.41811311</v>
      </c>
      <c r="E267" s="297">
        <f t="shared" si="60"/>
        <v>775016081.11169624</v>
      </c>
      <c r="F267" s="297">
        <f t="shared" si="60"/>
        <v>774508423.18262625</v>
      </c>
      <c r="G267" s="297">
        <f t="shared" si="60"/>
        <v>774227035.64479887</v>
      </c>
      <c r="H267" s="297">
        <f t="shared" si="60"/>
        <v>774764669.56587112</v>
      </c>
    </row>
    <row r="268" spans="2:8" x14ac:dyDescent="0.2">
      <c r="B268" s="187" t="s">
        <v>741</v>
      </c>
      <c r="C268" s="188"/>
      <c r="D268" s="188">
        <f>+'Plan de Expansión'!E10*1000</f>
        <v>1842000</v>
      </c>
      <c r="E268" s="188">
        <f>+'Plan de Expansión'!F10*1000</f>
        <v>91709000</v>
      </c>
      <c r="F268" s="188">
        <f>+'Plan de Expansión'!G10*1000</f>
        <v>193381000</v>
      </c>
      <c r="G268" s="188">
        <f>+'Plan de Expansión'!H10*1000</f>
        <v>74963000</v>
      </c>
      <c r="H268" s="188">
        <f>+'Plan de Expansión'!I10*1000</f>
        <v>764000</v>
      </c>
    </row>
    <row r="269" spans="2:8" x14ac:dyDescent="0.2">
      <c r="B269" s="187" t="s">
        <v>742</v>
      </c>
      <c r="C269" s="188">
        <f>+VNR_Subestaciones_Conexión</f>
        <v>65601620.907903925</v>
      </c>
      <c r="D269" s="188">
        <f>+C269+'Plan de Expansión'!E143</f>
        <v>65605672.907903925</v>
      </c>
      <c r="E269" s="188">
        <f>+D269+'Plan de Expansión'!F143</f>
        <v>65611999.907903925</v>
      </c>
      <c r="F269" s="188">
        <f>+E269+'Plan de Expansión'!G143</f>
        <v>65614077.907903925</v>
      </c>
      <c r="G269" s="188">
        <f>+F269+'Plan de Expansión'!H143</f>
        <v>65616926.907903925</v>
      </c>
      <c r="H269" s="188">
        <f>+G269+'Plan de Expansión'!I143</f>
        <v>65616926.907903925</v>
      </c>
    </row>
    <row r="270" spans="2:8" x14ac:dyDescent="0.2">
      <c r="B270" s="294" t="s">
        <v>745</v>
      </c>
      <c r="C270" s="295">
        <f t="shared" ref="C270:H270" si="61">+SUBTOTAL(9,C264:C269)</f>
        <v>864306626.03842711</v>
      </c>
      <c r="D270" s="295">
        <f t="shared" si="61"/>
        <v>843733382.32601702</v>
      </c>
      <c r="E270" s="295">
        <f t="shared" si="61"/>
        <v>932337081.01960015</v>
      </c>
      <c r="F270" s="295">
        <f t="shared" si="61"/>
        <v>1033503501.0905302</v>
      </c>
      <c r="G270" s="295">
        <f t="shared" si="61"/>
        <v>914806962.55270278</v>
      </c>
      <c r="H270" s="295">
        <f t="shared" si="61"/>
        <v>841145596.47377503</v>
      </c>
    </row>
    <row r="271" spans="2:8" x14ac:dyDescent="0.2">
      <c r="B271" s="187"/>
      <c r="C271" s="187"/>
      <c r="D271" s="187"/>
      <c r="E271" s="187"/>
      <c r="F271" s="187"/>
      <c r="G271" s="187"/>
      <c r="H271" s="187"/>
    </row>
    <row r="272" spans="2:8" s="89" customFormat="1" x14ac:dyDescent="0.2">
      <c r="B272" s="107" t="s">
        <v>635</v>
      </c>
    </row>
    <row r="273" spans="2:8" ht="15.75" x14ac:dyDescent="0.25">
      <c r="B273" s="245"/>
      <c r="C273" s="244"/>
      <c r="D273" s="244"/>
      <c r="E273" s="244"/>
      <c r="F273" s="244"/>
    </row>
    <row r="274" spans="2:8" ht="15" x14ac:dyDescent="0.25">
      <c r="B274" s="247" t="s">
        <v>622</v>
      </c>
      <c r="C274" s="257" t="s">
        <v>632</v>
      </c>
      <c r="D274" s="250">
        <f>+'Base de Capital'!$D$68</f>
        <v>13366831.17</v>
      </c>
      <c r="E274" s="244"/>
      <c r="F274" s="244"/>
      <c r="G274" s="255"/>
      <c r="H274" s="255"/>
    </row>
    <row r="275" spans="2:8" ht="15" x14ac:dyDescent="0.25">
      <c r="B275" s="247" t="s">
        <v>623</v>
      </c>
      <c r="C275" s="257" t="s">
        <v>746</v>
      </c>
      <c r="D275" s="298">
        <f>+(VNR_Lineas+VNR_Subestaciones_SPT)/(C14+C24)</f>
        <v>1.9107183478632885</v>
      </c>
      <c r="E275" s="244"/>
      <c r="F275" s="244"/>
      <c r="G275" s="255"/>
      <c r="H275" s="256"/>
    </row>
    <row r="276" spans="2:8" ht="15" x14ac:dyDescent="0.25">
      <c r="B276" s="247" t="s">
        <v>624</v>
      </c>
      <c r="C276" s="257" t="s">
        <v>632</v>
      </c>
      <c r="D276" s="250">
        <f>+D274*D275</f>
        <v>25540249.569309909</v>
      </c>
      <c r="E276" s="244"/>
      <c r="F276" s="246"/>
      <c r="G276" s="255"/>
      <c r="H276" s="256"/>
    </row>
    <row r="277" spans="2:8" ht="15" x14ac:dyDescent="0.25">
      <c r="B277" s="247" t="s">
        <v>634</v>
      </c>
      <c r="C277" s="248" t="s">
        <v>633</v>
      </c>
      <c r="D277" s="258">
        <v>0.1</v>
      </c>
      <c r="E277" s="246"/>
      <c r="F277" s="246"/>
      <c r="G277" s="255"/>
      <c r="H277" s="256"/>
    </row>
    <row r="278" spans="2:8" ht="15" x14ac:dyDescent="0.25">
      <c r="F278" s="244"/>
      <c r="G278" s="244"/>
      <c r="H278" s="244"/>
    </row>
    <row r="279" spans="2:8" x14ac:dyDescent="0.2">
      <c r="B279" s="249" t="s">
        <v>636</v>
      </c>
      <c r="C279" s="107">
        <f t="shared" ref="C279:H279" si="62">C$9</f>
        <v>2016</v>
      </c>
      <c r="D279" s="107">
        <f t="shared" si="62"/>
        <v>2017</v>
      </c>
      <c r="E279" s="107">
        <f t="shared" si="62"/>
        <v>2018</v>
      </c>
      <c r="F279" s="107">
        <f t="shared" si="62"/>
        <v>2019</v>
      </c>
      <c r="G279" s="107">
        <f t="shared" si="62"/>
        <v>2020</v>
      </c>
      <c r="H279" s="107">
        <f t="shared" si="62"/>
        <v>2021</v>
      </c>
    </row>
    <row r="280" spans="2:8" x14ac:dyDescent="0.2">
      <c r="B280" s="31" t="s">
        <v>625</v>
      </c>
      <c r="C280" s="250">
        <f t="shared" ref="C280:H280" si="63">+C14+C24+C36+$D$274</f>
        <v>381041599.13403386</v>
      </c>
      <c r="D280" s="250">
        <f t="shared" si="63"/>
        <v>726521767.1340338</v>
      </c>
      <c r="E280" s="250">
        <f t="shared" si="63"/>
        <v>726521767.1340338</v>
      </c>
      <c r="F280" s="250">
        <f t="shared" si="63"/>
        <v>726521767.1340338</v>
      </c>
      <c r="G280" s="250">
        <f t="shared" si="63"/>
        <v>726521767.1340338</v>
      </c>
      <c r="H280" s="250">
        <f t="shared" si="63"/>
        <v>726521767.1340338</v>
      </c>
    </row>
    <row r="281" spans="2:8" x14ac:dyDescent="0.2">
      <c r="B281" s="31" t="s">
        <v>626</v>
      </c>
      <c r="C281" s="251">
        <f t="shared" ref="C281:H281" si="64">+C45+C101-$D$274</f>
        <v>32277520.829999998</v>
      </c>
      <c r="D281" s="251">
        <f t="shared" si="64"/>
        <v>38357520.829999998</v>
      </c>
      <c r="E281" s="251">
        <f t="shared" si="64"/>
        <v>37044520.829999998</v>
      </c>
      <c r="F281" s="251">
        <f t="shared" si="64"/>
        <v>36519520.829999998</v>
      </c>
      <c r="G281" s="251">
        <f t="shared" si="64"/>
        <v>36228520.829999998</v>
      </c>
      <c r="H281" s="251">
        <f t="shared" si="64"/>
        <v>36784520.829999998</v>
      </c>
    </row>
    <row r="282" spans="2:8" x14ac:dyDescent="0.2">
      <c r="B282" s="31" t="s">
        <v>627</v>
      </c>
      <c r="C282" s="252">
        <f t="shared" ref="C282:H282" si="65">+C281/C280</f>
        <v>8.4708653604632214E-2</v>
      </c>
      <c r="D282" s="252">
        <f t="shared" si="65"/>
        <v>5.2796106827345111E-2</v>
      </c>
      <c r="E282" s="253">
        <f t="shared" si="65"/>
        <v>5.0988865724054443E-2</v>
      </c>
      <c r="F282" s="252">
        <f t="shared" si="65"/>
        <v>5.0266244566988486E-2</v>
      </c>
      <c r="G282" s="252">
        <f t="shared" si="65"/>
        <v>4.986570598278621E-2</v>
      </c>
      <c r="H282" s="252">
        <f t="shared" si="65"/>
        <v>5.0630996198650351E-2</v>
      </c>
    </row>
    <row r="283" spans="2:8" x14ac:dyDescent="0.2">
      <c r="B283" s="31" t="s">
        <v>628</v>
      </c>
      <c r="C283" s="251">
        <f t="shared" ref="C283:H283" si="66">+C280*$D$277</f>
        <v>38104159.913403384</v>
      </c>
      <c r="D283" s="251">
        <f t="shared" si="66"/>
        <v>72652176.713403389</v>
      </c>
      <c r="E283" s="251">
        <f t="shared" si="66"/>
        <v>72652176.713403389</v>
      </c>
      <c r="F283" s="251">
        <f t="shared" si="66"/>
        <v>72652176.713403389</v>
      </c>
      <c r="G283" s="251">
        <f t="shared" si="66"/>
        <v>72652176.713403389</v>
      </c>
      <c r="H283" s="251">
        <f t="shared" si="66"/>
        <v>72652176.713403389</v>
      </c>
    </row>
    <row r="284" spans="2:8" x14ac:dyDescent="0.2">
      <c r="B284" s="31" t="s">
        <v>629</v>
      </c>
      <c r="C284" s="251">
        <f t="shared" ref="C284:H284" si="67">+IF(C283&gt;C281,C45+C101,C283)</f>
        <v>45644352</v>
      </c>
      <c r="D284" s="251">
        <f t="shared" si="67"/>
        <v>51724352</v>
      </c>
      <c r="E284" s="251">
        <f t="shared" si="67"/>
        <v>50411352</v>
      </c>
      <c r="F284" s="251">
        <f t="shared" si="67"/>
        <v>49886352</v>
      </c>
      <c r="G284" s="251">
        <f t="shared" si="67"/>
        <v>49595352</v>
      </c>
      <c r="H284" s="251">
        <f t="shared" si="67"/>
        <v>50151352</v>
      </c>
    </row>
    <row r="285" spans="2:8" x14ac:dyDescent="0.2">
      <c r="B285" s="31" t="s">
        <v>630</v>
      </c>
      <c r="C285" s="252">
        <f t="shared" ref="C285:H285" si="68">+MIN(C282,$D$277)</f>
        <v>8.4708653604632214E-2</v>
      </c>
      <c r="D285" s="252">
        <f t="shared" si="68"/>
        <v>5.2796106827345111E-2</v>
      </c>
      <c r="E285" s="252">
        <f t="shared" si="68"/>
        <v>5.0988865724054443E-2</v>
      </c>
      <c r="F285" s="252">
        <f t="shared" si="68"/>
        <v>5.0266244566988486E-2</v>
      </c>
      <c r="G285" s="252">
        <f t="shared" si="68"/>
        <v>4.986570598278621E-2</v>
      </c>
      <c r="H285" s="252">
        <f t="shared" si="68"/>
        <v>5.0630996198650351E-2</v>
      </c>
    </row>
    <row r="286" spans="2:8" x14ac:dyDescent="0.2">
      <c r="E286" s="341"/>
    </row>
  </sheetData>
  <sheetProtection algorithmName="SHA-512" hashValue="fHOvMedQeDvw/dx/+MhBaEwcPLYtvhc1SlieDkzsEk9U4MDHlTC19gO2lQMvi9QGKC+fpKvy5OJ7GTZmJwjPJw==" saltValue="ec5z6kHyDBTCc+SofDUuL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-0.249977111117893"/>
  </sheetPr>
  <dimension ref="B1:J27"/>
  <sheetViews>
    <sheetView showGridLines="0" topLeftCell="A4" zoomScale="85" zoomScaleNormal="85" workbookViewId="0">
      <selection activeCell="G27" sqref="G27"/>
    </sheetView>
  </sheetViews>
  <sheetFormatPr baseColWidth="10" defaultRowHeight="15" outlineLevelCol="1" x14ac:dyDescent="0.25"/>
  <cols>
    <col min="1" max="1" width="3.42578125" customWidth="1"/>
    <col min="2" max="2" width="3.85546875" hidden="1" customWidth="1" outlineLevel="1"/>
    <col min="3" max="3" width="11.42578125" collapsed="1"/>
    <col min="4" max="10" width="19.28515625" customWidth="1"/>
  </cols>
  <sheetData>
    <row r="1" spans="2:10" hidden="1" x14ac:dyDescent="0.25"/>
    <row r="2" spans="2:10" hidden="1" x14ac:dyDescent="0.25"/>
    <row r="3" spans="2:10" hidden="1" x14ac:dyDescent="0.25"/>
    <row r="4" spans="2:10" s="89" customFormat="1" ht="12.75" x14ac:dyDescent="0.2">
      <c r="B4" s="107"/>
      <c r="C4" s="107" t="s">
        <v>883</v>
      </c>
    </row>
    <row r="5" spans="2:10" x14ac:dyDescent="0.25">
      <c r="C5" s="28"/>
    </row>
    <row r="6" spans="2:10" x14ac:dyDescent="0.25">
      <c r="C6" s="84"/>
      <c r="D6" s="1029" t="s">
        <v>405</v>
      </c>
      <c r="E6" s="1029"/>
      <c r="F6" s="1029"/>
      <c r="G6" s="1029" t="s">
        <v>406</v>
      </c>
      <c r="H6" s="1029"/>
      <c r="I6" s="1029"/>
      <c r="J6" s="1028" t="s">
        <v>412</v>
      </c>
    </row>
    <row r="7" spans="2:10" x14ac:dyDescent="0.25">
      <c r="C7" s="9" t="s">
        <v>410</v>
      </c>
      <c r="D7" s="371" t="s">
        <v>407</v>
      </c>
      <c r="E7" s="371" t="s">
        <v>408</v>
      </c>
      <c r="F7" s="371" t="s">
        <v>551</v>
      </c>
      <c r="G7" s="9" t="s">
        <v>407</v>
      </c>
      <c r="H7" s="9" t="s">
        <v>408</v>
      </c>
      <c r="I7" s="371" t="s">
        <v>551</v>
      </c>
      <c r="J7" s="1028"/>
    </row>
    <row r="8" spans="2:10" x14ac:dyDescent="0.25">
      <c r="B8">
        <v>1</v>
      </c>
      <c r="C8" s="8">
        <v>2013</v>
      </c>
      <c r="D8" s="83">
        <f>+INDEX('Base de Capital'!$J$27:$M$27,0,B8)</f>
        <v>143353569.64399999</v>
      </c>
      <c r="E8" s="83">
        <f>+INDEX('Base de Capital'!$J$39:$M$39,0,B8)</f>
        <v>13614268.459999999</v>
      </c>
      <c r="F8" s="83">
        <f>+INDEX('Base de Capital'!$J$73:$M$73,0,B8)</f>
        <v>29688404.170000006</v>
      </c>
      <c r="G8" s="85"/>
      <c r="H8" s="85"/>
      <c r="I8" s="85"/>
      <c r="J8" s="85"/>
    </row>
    <row r="9" spans="2:10" x14ac:dyDescent="0.25">
      <c r="B9">
        <v>2</v>
      </c>
      <c r="C9" s="8">
        <v>2014</v>
      </c>
      <c r="D9" s="83">
        <f>+INDEX('Base de Capital'!$J$27:$M$27,0,B9)</f>
        <v>153153465.88939998</v>
      </c>
      <c r="E9" s="83">
        <f>+INDEX('Base de Capital'!$J$39:$M$39,0,B9)</f>
        <v>14269852.730000002</v>
      </c>
      <c r="F9" s="83">
        <f>+INDEX('Base de Capital'!$J$73:$M$73,0,B9)</f>
        <v>31975231.719999999</v>
      </c>
      <c r="G9" s="83">
        <f>+D9-D8</f>
        <v>9799896.2453999817</v>
      </c>
      <c r="H9" s="83">
        <f>+E9-E8</f>
        <v>655584.27000000328</v>
      </c>
      <c r="I9" s="83">
        <f>+F9-F8</f>
        <v>2286827.5499999933</v>
      </c>
      <c r="J9" s="83">
        <f>+SUM(G9:I9)</f>
        <v>12742308.065399978</v>
      </c>
    </row>
    <row r="10" spans="2:10" x14ac:dyDescent="0.25">
      <c r="B10">
        <v>3</v>
      </c>
      <c r="C10" s="8">
        <v>2015</v>
      </c>
      <c r="D10" s="83">
        <f>+INDEX('Base de Capital'!$J$27:$M$27,0,B10)</f>
        <v>162298861.11440003</v>
      </c>
      <c r="E10" s="83">
        <f>+INDEX('Base de Capital'!$J$39:$M$39,0,B10)</f>
        <v>14920181.530000003</v>
      </c>
      <c r="F10" s="83">
        <f>+INDEX('Base de Capital'!$J$73:$M$73,0,B10)</f>
        <v>33927841.800000004</v>
      </c>
      <c r="G10" s="83">
        <f>+D10-D9</f>
        <v>9145395.2250000536</v>
      </c>
      <c r="H10" s="83">
        <f>+E10-E9</f>
        <v>650328.80000000075</v>
      </c>
      <c r="I10" s="83">
        <f t="shared" ref="I10:I11" si="0">+F10-F9</f>
        <v>1952610.0800000057</v>
      </c>
      <c r="J10" s="83">
        <f t="shared" ref="J10:J11" si="1">+SUM(G10:I10)</f>
        <v>11748334.10500006</v>
      </c>
    </row>
    <row r="11" spans="2:10" x14ac:dyDescent="0.25">
      <c r="B11">
        <v>4</v>
      </c>
      <c r="C11" s="8">
        <v>2016</v>
      </c>
      <c r="D11" s="83">
        <f>+INDEX('Base de Capital'!$J$27:$M$27,0,B11)</f>
        <v>172470143.84</v>
      </c>
      <c r="E11" s="83">
        <f>+INDEX('Base de Capital'!$J$39:$M$39,0,B11)</f>
        <v>15730141.07</v>
      </c>
      <c r="F11" s="83">
        <f>+INDEX('Base de Capital'!$J$73:$M$73,0,B11)</f>
        <v>36589010</v>
      </c>
      <c r="G11" s="83">
        <f>+D11-D10</f>
        <v>10171282.725599974</v>
      </c>
      <c r="H11" s="83">
        <f>+E11-E10</f>
        <v>809959.53999999724</v>
      </c>
      <c r="I11" s="83">
        <f t="shared" si="0"/>
        <v>2661168.1999999955</v>
      </c>
      <c r="J11" s="83">
        <f t="shared" si="1"/>
        <v>13642410.465599967</v>
      </c>
    </row>
    <row r="13" spans="2:10" x14ac:dyDescent="0.25">
      <c r="C13" s="84"/>
      <c r="D13" s="1029" t="s">
        <v>409</v>
      </c>
      <c r="E13" s="1029"/>
      <c r="F13" s="1029"/>
      <c r="G13" s="1029"/>
    </row>
    <row r="14" spans="2:10" x14ac:dyDescent="0.25">
      <c r="C14" s="9" t="s">
        <v>410</v>
      </c>
      <c r="D14" s="9" t="s">
        <v>407</v>
      </c>
      <c r="E14" s="9" t="s">
        <v>408</v>
      </c>
      <c r="F14" s="371" t="s">
        <v>551</v>
      </c>
      <c r="G14" s="9" t="s">
        <v>413</v>
      </c>
    </row>
    <row r="15" spans="2:10" x14ac:dyDescent="0.25">
      <c r="B15">
        <v>2</v>
      </c>
      <c r="C15" s="8">
        <v>2013</v>
      </c>
      <c r="D15" s="83">
        <f>+INDEX('Base de Capital'!$D$27:$H$27,0,B15)</f>
        <v>329397254.11403394</v>
      </c>
      <c r="E15" s="83">
        <f>+INDEX('Base de Capital'!$D$39:$H$39,0,B15)</f>
        <v>28965549.259999998</v>
      </c>
      <c r="F15" s="83">
        <f>+INDEX('Base de Capital'!$D$73:$H$73,0,B15)</f>
        <v>37468274.759999998</v>
      </c>
      <c r="G15" s="83">
        <f>+SUM(D15:E15)</f>
        <v>358362803.37403393</v>
      </c>
    </row>
    <row r="16" spans="2:10" x14ac:dyDescent="0.25">
      <c r="B16">
        <v>3</v>
      </c>
      <c r="C16" s="8">
        <v>2014</v>
      </c>
      <c r="D16" s="83">
        <f>+INDEX('Base de Capital'!$D$27:$H$27,0,B16)</f>
        <v>339317559.45403385</v>
      </c>
      <c r="E16" s="83">
        <f>+INDEX('Base de Capital'!$D$39:$H$39,0,B16)</f>
        <v>29155697.959999997</v>
      </c>
      <c r="F16" s="83">
        <f>+INDEX('Base de Capital'!$D$73:$H$73,0,B16)</f>
        <v>39608717.949999996</v>
      </c>
      <c r="G16" s="83">
        <f>+SUM(D16:E16)</f>
        <v>368473257.41403383</v>
      </c>
    </row>
    <row r="17" spans="2:7" x14ac:dyDescent="0.25">
      <c r="B17">
        <v>4</v>
      </c>
      <c r="C17" s="8">
        <v>2015</v>
      </c>
      <c r="D17" s="83">
        <f>+INDEX('Base de Capital'!$D$27:$H$27,0,B17)</f>
        <v>338827374.16403389</v>
      </c>
      <c r="E17" s="83">
        <f>+INDEX('Base de Capital'!$D$39:$H$39,0,B17)</f>
        <v>29155697.959999997</v>
      </c>
      <c r="F17" s="83">
        <f>+INDEX('Base de Capital'!$D$73:$H$73,0,B17)</f>
        <v>41057052.599999994</v>
      </c>
      <c r="G17" s="83">
        <f>+SUM(D17:E17)</f>
        <v>367983072.12403387</v>
      </c>
    </row>
    <row r="18" spans="2:7" x14ac:dyDescent="0.25">
      <c r="B18">
        <v>5</v>
      </c>
      <c r="C18" s="8">
        <v>2016</v>
      </c>
      <c r="D18" s="83">
        <f>+INDEX('Base de Capital'!$D$27:$H$27,0,B18)</f>
        <v>367674767.96403384</v>
      </c>
      <c r="E18" s="83">
        <f>+INDEX('Base de Capital'!$D$39:$H$39,0,B18)</f>
        <v>30496959.555</v>
      </c>
      <c r="F18" s="83">
        <f>+INDEX('Base de Capital'!$D$73:$H$73,0,B18)</f>
        <v>45644352</v>
      </c>
      <c r="G18" s="83">
        <f>+SUM(D18:E18)</f>
        <v>398171727.51903385</v>
      </c>
    </row>
    <row r="20" spans="2:7" x14ac:dyDescent="0.25">
      <c r="C20" s="84"/>
      <c r="D20" s="1029" t="s">
        <v>411</v>
      </c>
      <c r="E20" s="1029"/>
      <c r="F20" s="1029"/>
      <c r="G20" s="1029"/>
    </row>
    <row r="21" spans="2:7" x14ac:dyDescent="0.25">
      <c r="C21" s="9" t="s">
        <v>410</v>
      </c>
      <c r="D21" s="9" t="s">
        <v>407</v>
      </c>
      <c r="E21" s="9" t="s">
        <v>408</v>
      </c>
      <c r="F21" s="371" t="s">
        <v>551</v>
      </c>
      <c r="G21" s="9" t="s">
        <v>413</v>
      </c>
    </row>
    <row r="22" spans="2:7" x14ac:dyDescent="0.25">
      <c r="C22" s="8">
        <v>2013</v>
      </c>
      <c r="D22" s="85"/>
      <c r="E22" s="85"/>
      <c r="F22" s="85"/>
      <c r="G22" s="85"/>
    </row>
    <row r="23" spans="2:7" x14ac:dyDescent="0.25">
      <c r="C23" s="8">
        <v>2014</v>
      </c>
      <c r="D23" s="86">
        <f>+G9/D15</f>
        <v>2.9750995562359359E-2</v>
      </c>
      <c r="E23" s="86">
        <f>+H9/E15</f>
        <v>2.2633241445392957E-2</v>
      </c>
      <c r="F23" s="86">
        <f>+I9/F15</f>
        <v>6.1033702903271689E-2</v>
      </c>
      <c r="G23" s="86">
        <f>+J9/G15</f>
        <v>3.555700520653772E-2</v>
      </c>
    </row>
    <row r="24" spans="2:7" x14ac:dyDescent="0.25">
      <c r="C24" s="8">
        <v>2015</v>
      </c>
      <c r="D24" s="86">
        <f>+G10/D16</f>
        <v>2.6952319354515891E-2</v>
      </c>
      <c r="E24" s="86">
        <f>+H10/E16</f>
        <v>2.2305375809977723E-2</v>
      </c>
      <c r="F24" s="86">
        <f t="shared" ref="F24:F25" si="2">+I10/F16</f>
        <v>4.9297482500314196E-2</v>
      </c>
      <c r="G24" s="86">
        <f>+J10/G16</f>
        <v>3.1883817532513847E-2</v>
      </c>
    </row>
    <row r="25" spans="2:7" x14ac:dyDescent="0.25">
      <c r="C25" s="8">
        <v>2016</v>
      </c>
      <c r="D25" s="86">
        <f>+G11/D17</f>
        <v>3.0019070184913187E-2</v>
      </c>
      <c r="E25" s="86">
        <f>+H11/E17</f>
        <v>2.7780488778255862E-2</v>
      </c>
      <c r="F25" s="86">
        <f t="shared" si="2"/>
        <v>6.481634777650834E-2</v>
      </c>
      <c r="G25" s="86">
        <f>+J11/G17</f>
        <v>3.7073472936824663E-2</v>
      </c>
    </row>
    <row r="27" spans="2:7" x14ac:dyDescent="0.25">
      <c r="C27" s="87" t="s">
        <v>414</v>
      </c>
      <c r="D27" s="88">
        <f>+AVERAGE(D23:D25)</f>
        <v>2.8907461700596146E-2</v>
      </c>
      <c r="E27" s="88">
        <f>+AVERAGE(E23:E25)</f>
        <v>2.4239702011208852E-2</v>
      </c>
      <c r="F27" s="88">
        <f>+AVERAGE(F23:F25)</f>
        <v>5.8382511060031415E-2</v>
      </c>
      <c r="G27" s="88">
        <f>+AVERAGE(G23:G25)</f>
        <v>3.4838098558625408E-2</v>
      </c>
    </row>
  </sheetData>
  <sheetProtection algorithmName="SHA-512" hashValue="6r38YzX1/3lmMsaT7Opk7NFKqCluu3HjNAyaPh4ue2T15LjvGGXRuKZKDvrHhpzMv3Nns6bq8kYHIW3Vi9oHZQ==" saltValue="4uc5afq3y7fAUbBNGiwDsQ==" spinCount="100000" sheet="1" objects="1" scenarios="1"/>
  <mergeCells count="5">
    <mergeCell ref="J6:J7"/>
    <mergeCell ref="D13:G13"/>
    <mergeCell ref="D20:G20"/>
    <mergeCell ref="D6:F6"/>
    <mergeCell ref="G6:I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-0.249977111117893"/>
  </sheetPr>
  <dimension ref="B1:BL88"/>
  <sheetViews>
    <sheetView showGridLines="0" zoomScale="85" zoomScaleNormal="85" workbookViewId="0">
      <pane xSplit="3" ySplit="10" topLeftCell="D11" activePane="bottomRight" state="frozen"/>
      <selection activeCell="Y34" sqref="Y34"/>
      <selection pane="topRight" activeCell="Y34" sqref="Y34"/>
      <selection pane="bottomLeft" activeCell="Y34" sqref="Y34"/>
      <selection pane="bottomRight" activeCell="E13" sqref="E13"/>
    </sheetView>
  </sheetViews>
  <sheetFormatPr baseColWidth="10" defaultRowHeight="12.75" outlineLevelRow="1" outlineLevelCol="1" x14ac:dyDescent="0.2"/>
  <cols>
    <col min="1" max="1" width="3.42578125" style="28" customWidth="1"/>
    <col min="2" max="2" width="54.42578125" style="28" hidden="1" customWidth="1" outlineLevel="1"/>
    <col min="3" max="3" width="40.28515625" style="28" customWidth="1" collapsed="1"/>
    <col min="4" max="8" width="13.42578125" style="28" customWidth="1" outlineLevel="1"/>
    <col min="9" max="9" width="2.28515625" style="28" customWidth="1"/>
    <col min="10" max="13" width="13.42578125" style="28" customWidth="1" outlineLevel="1"/>
    <col min="14" max="14" width="2.28515625" style="28" customWidth="1"/>
    <col min="15" max="18" width="14.140625" style="28" customWidth="1"/>
    <col min="19" max="16384" width="11.42578125" style="28"/>
  </cols>
  <sheetData>
    <row r="1" spans="2:64" hidden="1" x14ac:dyDescent="0.2"/>
    <row r="2" spans="2:64" hidden="1" x14ac:dyDescent="0.2"/>
    <row r="3" spans="2:64" hidden="1" x14ac:dyDescent="0.2"/>
    <row r="4" spans="2:64" hidden="1" x14ac:dyDescent="0.2"/>
    <row r="5" spans="2:64" s="89" customFormat="1" x14ac:dyDescent="0.2">
      <c r="B5" s="107"/>
    </row>
    <row r="6" spans="2:64" x14ac:dyDescent="0.2">
      <c r="C6" s="28" t="s">
        <v>423</v>
      </c>
    </row>
    <row r="8" spans="2:64" outlineLevel="1" x14ac:dyDescent="0.2">
      <c r="D8" s="28" t="str">
        <f>+CONCATENATE(D$9," ",D$10)</f>
        <v>COSTO AL 41274</v>
      </c>
      <c r="E8" s="28" t="str">
        <f t="shared" ref="E8:R8" si="0">+CONCATENATE(E$9," ",E$10)</f>
        <v>COSTO AL 41639</v>
      </c>
      <c r="F8" s="28" t="str">
        <f t="shared" si="0"/>
        <v>COSTO AL 42004</v>
      </c>
      <c r="G8" s="28" t="str">
        <f t="shared" si="0"/>
        <v>COSTO AL 42369</v>
      </c>
      <c r="H8" s="28" t="str">
        <f t="shared" si="0"/>
        <v>COSTO AL 42735</v>
      </c>
      <c r="J8" s="28" t="str">
        <f t="shared" si="0"/>
        <v>DEPRECIACION 41639</v>
      </c>
      <c r="K8" s="28" t="str">
        <f t="shared" si="0"/>
        <v>DEPRECIACION 42004</v>
      </c>
      <c r="L8" s="28" t="str">
        <f t="shared" si="0"/>
        <v>DEPRECIACION 42369</v>
      </c>
      <c r="M8" s="28" t="str">
        <f t="shared" si="0"/>
        <v>DEPRECIACION 42735</v>
      </c>
      <c r="O8" s="28" t="str">
        <f t="shared" si="0"/>
        <v>VALOR NETO 41639</v>
      </c>
      <c r="P8" s="28" t="str">
        <f t="shared" si="0"/>
        <v>VALOR NETO 42004</v>
      </c>
      <c r="Q8" s="28" t="str">
        <f t="shared" si="0"/>
        <v>VALOR NETO 42369</v>
      </c>
      <c r="R8" s="28" t="str">
        <f t="shared" si="0"/>
        <v>VALOR NETO 42735</v>
      </c>
    </row>
    <row r="9" spans="2:64" s="89" customFormat="1" x14ac:dyDescent="0.2">
      <c r="D9" s="90" t="s">
        <v>2</v>
      </c>
      <c r="E9" s="91" t="s">
        <v>2</v>
      </c>
      <c r="F9" s="91" t="s">
        <v>2</v>
      </c>
      <c r="G9" s="91" t="s">
        <v>2</v>
      </c>
      <c r="H9" s="91" t="s">
        <v>2</v>
      </c>
      <c r="J9" s="92" t="s">
        <v>3</v>
      </c>
      <c r="K9" s="92" t="s">
        <v>3</v>
      </c>
      <c r="L9" s="92" t="s">
        <v>3</v>
      </c>
      <c r="M9" s="92" t="s">
        <v>3</v>
      </c>
      <c r="O9" s="92" t="s">
        <v>4</v>
      </c>
      <c r="P9" s="92" t="s">
        <v>4</v>
      </c>
      <c r="Q9" s="92" t="s">
        <v>4</v>
      </c>
      <c r="R9" s="92" t="s">
        <v>4</v>
      </c>
    </row>
    <row r="10" spans="2:64" s="89" customFormat="1" x14ac:dyDescent="0.2">
      <c r="D10" s="93">
        <v>41274</v>
      </c>
      <c r="E10" s="93">
        <v>41639</v>
      </c>
      <c r="F10" s="93">
        <v>42004</v>
      </c>
      <c r="G10" s="93">
        <v>42369</v>
      </c>
      <c r="H10" s="93">
        <v>42735</v>
      </c>
      <c r="J10" s="93">
        <v>41639</v>
      </c>
      <c r="K10" s="93">
        <v>42004</v>
      </c>
      <c r="L10" s="93">
        <v>42369</v>
      </c>
      <c r="M10" s="93">
        <v>42735</v>
      </c>
      <c r="O10" s="93">
        <v>41639</v>
      </c>
      <c r="P10" s="93">
        <v>42004</v>
      </c>
      <c r="Q10" s="93">
        <v>42369</v>
      </c>
      <c r="R10" s="93">
        <v>42735</v>
      </c>
    </row>
    <row r="11" spans="2:64" s="94" customFormat="1" x14ac:dyDescent="0.2">
      <c r="C11" s="95" t="s">
        <v>9</v>
      </c>
      <c r="D11" s="75"/>
    </row>
    <row r="12" spans="2:64" outlineLevel="1" x14ac:dyDescent="0.2">
      <c r="B12" s="28" t="str">
        <f t="shared" ref="B12:B27" si="1">+CONCATENATE($C$11,C12)</f>
        <v>SISTEMA PRINCIPALTERRENOS</v>
      </c>
      <c r="C12" s="28" t="s">
        <v>10</v>
      </c>
      <c r="D12" s="106">
        <f>+SUMIFS('Anexo Activos_Depreciaciones'!$S:$S,'Anexo Activos_Depreciaciones'!$P:$P,'Base de Capital'!$B12,'Anexo Activos_Depreciaciones'!$C:$C,'Base de Capital'!$D$8)</f>
        <v>4123958.5500000003</v>
      </c>
      <c r="E12" s="106">
        <f>+SUMIFS('Anexo Activos_Depreciaciones'!$X:$X,'Anexo Activos_Depreciaciones'!$P:$P,'Base de Capital'!$B12,'Anexo Activos_Depreciaciones'!$D:$D,'Base de Capital'!$E$8)</f>
        <v>4123958.5500000003</v>
      </c>
      <c r="F12" s="106">
        <f>+SUMIFS('Anexo Activos_Depreciaciones'!$AG:$AG,'Anexo Activos_Depreciaciones'!$P:$P,'Base de Capital'!$B12,'Anexo Activos_Depreciaciones'!$E:$E,'Base de Capital'!$F$8)</f>
        <v>4123958.5500000003</v>
      </c>
      <c r="G12" s="106">
        <f>+SUMIFS('Anexo Activos_Depreciaciones'!$AP:$AP,'Anexo Activos_Depreciaciones'!$P:$P,'Base de Capital'!$B12,'Anexo Activos_Depreciaciones'!$F:$F,'Base de Capital'!$G$8)</f>
        <v>4123958.5500000003</v>
      </c>
      <c r="H12" s="106">
        <f>+SUMIFS('Anexo Activos_Depreciaciones'!$AY:$AY,'Anexo Activos_Depreciaciones'!$P:$P,'Base de Capital'!$B12,'Anexo Activos_Depreciaciones'!$G:$G,'Base de Capital'!$H$8)</f>
        <v>4457611.5500000007</v>
      </c>
      <c r="I12" s="106"/>
      <c r="J12" s="106">
        <f>+SUMIFS('Anexo Activos_Depreciaciones'!$Y:$Y,'Anexo Activos_Depreciaciones'!$P:$P,'Base de Capital'!$B12,'Anexo Activos_Depreciaciones'!$H:$H,'Base de Capital'!$J$8)</f>
        <v>0</v>
      </c>
      <c r="K12" s="106">
        <f>+SUMIFS('Anexo Activos_Depreciaciones'!$AH:$AH,'Anexo Activos_Depreciaciones'!$P:$P,'Base de Capital'!$B12,'Anexo Activos_Depreciaciones'!$I:$I,'Base de Capital'!$K$8)</f>
        <v>0</v>
      </c>
      <c r="L12" s="106">
        <f>+SUMIFS('Anexo Activos_Depreciaciones'!$AQ:$AQ,'Anexo Activos_Depreciaciones'!$P:$P,'Base de Capital'!$B12,'Anexo Activos_Depreciaciones'!$J:$J,'Base de Capital'!$L$8)</f>
        <v>0</v>
      </c>
      <c r="M12" s="106">
        <f>+SUMIFS('Anexo Activos_Depreciaciones'!$AZ:$AZ,'Anexo Activos_Depreciaciones'!$P:$P,'Base de Capital'!$B12,'Anexo Activos_Depreciaciones'!$K:$K,'Base de Capital'!$M$8)</f>
        <v>0</v>
      </c>
      <c r="N12" s="106"/>
      <c r="O12" s="106">
        <f>+SUMIFS('Anexo Activos_Depreciaciones'!$Z:$Z,'Anexo Activos_Depreciaciones'!$P:$P,'Base de Capital'!$B12,'Anexo Activos_Depreciaciones'!$L:$L,'Base de Capital'!$O$8)</f>
        <v>4123958.5500000003</v>
      </c>
      <c r="P12" s="106">
        <f>+SUMIFS('Anexo Activos_Depreciaciones'!$AI:$AI,'Anexo Activos_Depreciaciones'!$P:$P,'Base de Capital'!$B12,'Anexo Activos_Depreciaciones'!$M:$M,'Base de Capital'!$P$8)</f>
        <v>4123958.5500000003</v>
      </c>
      <c r="Q12" s="106">
        <f>+SUMIFS('Anexo Activos_Depreciaciones'!$AR:$AR,'Anexo Activos_Depreciaciones'!$P:$P,'Base de Capital'!$B12,'Anexo Activos_Depreciaciones'!$N:$N,'Base de Capital'!$Q$8)</f>
        <v>4123958.5500000003</v>
      </c>
      <c r="R12" s="106">
        <f>+SUMIFS('Anexo Activos_Depreciaciones'!$BA:$BA,'Anexo Activos_Depreciaciones'!$P:$P,'Base de Capital'!$B12,'Anexo Activos_Depreciaciones'!$O:$O,'Base de Capital'!$R$8)</f>
        <v>4457611.5500000007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</row>
    <row r="13" spans="2:64" outlineLevel="1" x14ac:dyDescent="0.2">
      <c r="B13" s="28" t="str">
        <f t="shared" si="1"/>
        <v>SISTEMA PRINCIPALEDIFICIOS Y MEJORAS</v>
      </c>
      <c r="C13" s="28" t="s">
        <v>11</v>
      </c>
      <c r="D13" s="106">
        <f>+SUMIFS('Anexo Activos_Depreciaciones'!$S:$S,'Anexo Activos_Depreciaciones'!$P:$P,'Base de Capital'!$B13,'Anexo Activos_Depreciaciones'!$C:$C,'Base de Capital'!$D$8)</f>
        <v>14546189.24</v>
      </c>
      <c r="E13" s="106">
        <f>+SUMIFS('Anexo Activos_Depreciaciones'!$X:$X,'Anexo Activos_Depreciaciones'!$P:$P,'Base de Capital'!$B13,'Anexo Activos_Depreciaciones'!$D:$D,'Base de Capital'!$E$8)</f>
        <v>14972777.68</v>
      </c>
      <c r="F13" s="106">
        <f>+SUMIFS('Anexo Activos_Depreciaciones'!$AG:$AG,'Anexo Activos_Depreciaciones'!$P:$P,'Base de Capital'!$B13,'Anexo Activos_Depreciaciones'!$E:$E,'Base de Capital'!$F$8)</f>
        <v>15101236.84</v>
      </c>
      <c r="G13" s="106">
        <f>+SUMIFS('Anexo Activos_Depreciaciones'!$AP:$AP,'Anexo Activos_Depreciaciones'!$P:$P,'Base de Capital'!$B13,'Anexo Activos_Depreciaciones'!$F:$F,'Base de Capital'!$G$8)</f>
        <v>15101236.84</v>
      </c>
      <c r="H13" s="106">
        <f>+SUMIFS('Anexo Activos_Depreciaciones'!$AY:$AY,'Anexo Activos_Depreciaciones'!$P:$P,'Base de Capital'!$B13,'Anexo Activos_Depreciaciones'!$G:$G,'Base de Capital'!$H$8)</f>
        <v>15954394.84</v>
      </c>
      <c r="I13" s="106"/>
      <c r="J13" s="106">
        <f>+SUMIFS('Anexo Activos_Depreciaciones'!$Y:$Y,'Anexo Activos_Depreciaciones'!$P:$P,'Base de Capital'!$B13,'Anexo Activos_Depreciaciones'!$H:$H,'Base de Capital'!$J$8)</f>
        <v>7523039.7184999995</v>
      </c>
      <c r="K13" s="106">
        <f>+SUMIFS('Anexo Activos_Depreciaciones'!$AH:$AH,'Anexo Activos_Depreciaciones'!$P:$P,'Base de Capital'!$B13,'Anexo Activos_Depreciaciones'!$I:$I,'Base de Capital'!$K$8)</f>
        <v>7940449.4782999996</v>
      </c>
      <c r="L13" s="106">
        <f>+SUMIFS('Anexo Activos_Depreciaciones'!$AQ:$AQ,'Anexo Activos_Depreciaciones'!$P:$P,'Base de Capital'!$B13,'Anexo Activos_Depreciaciones'!$J:$J,'Base de Capital'!$L$8)</f>
        <v>8358965.5328000002</v>
      </c>
      <c r="M13" s="106">
        <f>+SUMIFS('Anexo Activos_Depreciaciones'!$AZ:$AZ,'Anexo Activos_Depreciaciones'!$P:$P,'Base de Capital'!$B13,'Anexo Activos_Depreciaciones'!$K:$K,'Base de Capital'!$M$8)</f>
        <v>8809191.7699999996</v>
      </c>
      <c r="N13" s="106"/>
      <c r="O13" s="106">
        <f>+SUMIFS('Anexo Activos_Depreciaciones'!$Z:$Z,'Anexo Activos_Depreciaciones'!$P:$P,'Base de Capital'!$B13,'Anexo Activos_Depreciaciones'!$L:$L,'Base de Capital'!$O$8)</f>
        <v>7449737.9615000002</v>
      </c>
      <c r="P13" s="106">
        <f>+SUMIFS('Anexo Activos_Depreciaciones'!$AI:$AI,'Anexo Activos_Depreciaciones'!$P:$P,'Base de Capital'!$B13,'Anexo Activos_Depreciaciones'!$M:$M,'Base de Capital'!$P$8)</f>
        <v>7160787.3617000002</v>
      </c>
      <c r="Q13" s="106">
        <f>+SUMIFS('Anexo Activos_Depreciaciones'!$AR:$AR,'Anexo Activos_Depreciaciones'!$P:$P,'Base de Capital'!$B13,'Anexo Activos_Depreciaciones'!$N:$N,'Base de Capital'!$Q$8)</f>
        <v>6742271.3071999997</v>
      </c>
      <c r="R13" s="106">
        <f>+SUMIFS('Anexo Activos_Depreciaciones'!$BA:$BA,'Anexo Activos_Depreciaciones'!$P:$P,'Base de Capital'!$B13,'Anexo Activos_Depreciaciones'!$O:$O,'Base de Capital'!$R$8)</f>
        <v>7145203.0700000003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2:64" outlineLevel="1" x14ac:dyDescent="0.2">
      <c r="B14" s="28" t="str">
        <f t="shared" si="1"/>
        <v>SISTEMA PRINCIPALCAMINOS Y SENDEROS</v>
      </c>
      <c r="C14" s="28" t="s">
        <v>12</v>
      </c>
      <c r="D14" s="106">
        <f>+SUMIFS('Anexo Activos_Depreciaciones'!$S:$S,'Anexo Activos_Depreciaciones'!$P:$P,'Base de Capital'!$B14,'Anexo Activos_Depreciaciones'!$C:$C,'Base de Capital'!$D$8)</f>
        <v>632488.52</v>
      </c>
      <c r="E14" s="106">
        <f>+SUMIFS('Anexo Activos_Depreciaciones'!$X:$X,'Anexo Activos_Depreciaciones'!$P:$P,'Base de Capital'!$B14,'Anexo Activos_Depreciaciones'!$D:$D,'Base de Capital'!$E$8)</f>
        <v>632488.52</v>
      </c>
      <c r="F14" s="106">
        <f>+SUMIFS('Anexo Activos_Depreciaciones'!$AG:$AG,'Anexo Activos_Depreciaciones'!$P:$P,'Base de Capital'!$B14,'Anexo Activos_Depreciaciones'!$E:$E,'Base de Capital'!$F$8)</f>
        <v>632488.52</v>
      </c>
      <c r="G14" s="106">
        <f>+SUMIFS('Anexo Activos_Depreciaciones'!$AP:$AP,'Anexo Activos_Depreciaciones'!$P:$P,'Base de Capital'!$B14,'Anexo Activos_Depreciaciones'!$F:$F,'Base de Capital'!$G$8)</f>
        <v>632488.52</v>
      </c>
      <c r="H14" s="106">
        <f>+SUMIFS('Anexo Activos_Depreciaciones'!$AY:$AY,'Anexo Activos_Depreciaciones'!$P:$P,'Base de Capital'!$B14,'Anexo Activos_Depreciaciones'!$G:$G,'Base de Capital'!$H$8)</f>
        <v>758817.52</v>
      </c>
      <c r="I14" s="106"/>
      <c r="J14" s="106">
        <f>+SUMIFS('Anexo Activos_Depreciaciones'!$Y:$Y,'Anexo Activos_Depreciaciones'!$P:$P,'Base de Capital'!$B14,'Anexo Activos_Depreciaciones'!$H:$H,'Base de Capital'!$J$8)</f>
        <v>112558.2568</v>
      </c>
      <c r="K14" s="106">
        <f>+SUMIFS('Anexo Activos_Depreciaciones'!$AH:$AH,'Anexo Activos_Depreciaciones'!$P:$P,'Base de Capital'!$B14,'Anexo Activos_Depreciaciones'!$I:$I,'Base de Capital'!$K$8)</f>
        <v>130087.17529999999</v>
      </c>
      <c r="L14" s="106">
        <f>+SUMIFS('Anexo Activos_Depreciaciones'!$AQ:$AQ,'Anexo Activos_Depreciaciones'!$P:$P,'Base de Capital'!$B14,'Anexo Activos_Depreciaciones'!$J:$J,'Base de Capital'!$L$8)</f>
        <v>147616.0938</v>
      </c>
      <c r="M14" s="106">
        <f>+SUMIFS('Anexo Activos_Depreciaciones'!$AZ:$AZ,'Anexo Activos_Depreciaciones'!$P:$P,'Base de Capital'!$B14,'Anexo Activos_Depreciaciones'!$K:$K,'Base de Capital'!$M$8)</f>
        <v>171855.87</v>
      </c>
      <c r="N14" s="106"/>
      <c r="O14" s="106">
        <f>+SUMIFS('Anexo Activos_Depreciaciones'!$Z:$Z,'Anexo Activos_Depreciaciones'!$P:$P,'Base de Capital'!$B14,'Anexo Activos_Depreciaciones'!$L:$L,'Base de Capital'!$O$8)</f>
        <v>519930.26320000004</v>
      </c>
      <c r="P14" s="106">
        <f>+SUMIFS('Anexo Activos_Depreciaciones'!$AI:$AI,'Anexo Activos_Depreciaciones'!$P:$P,'Base de Capital'!$B14,'Anexo Activos_Depreciaciones'!$M:$M,'Base de Capital'!$P$8)</f>
        <v>502401.34470000002</v>
      </c>
      <c r="Q14" s="106">
        <f>+SUMIFS('Anexo Activos_Depreciaciones'!$AR:$AR,'Anexo Activos_Depreciaciones'!$P:$P,'Base de Capital'!$B14,'Anexo Activos_Depreciaciones'!$N:$N,'Base de Capital'!$Q$8)</f>
        <v>484872.42619999999</v>
      </c>
      <c r="R14" s="106">
        <f>+SUMIFS('Anexo Activos_Depreciaciones'!$BA:$BA,'Anexo Activos_Depreciaciones'!$P:$P,'Base de Capital'!$B14,'Anexo Activos_Depreciaciones'!$O:$O,'Base de Capital'!$R$8)</f>
        <v>586961.65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2:64" outlineLevel="1" x14ac:dyDescent="0.2">
      <c r="B15" s="28" t="str">
        <f t="shared" si="1"/>
        <v>SISTEMA PRINCIPALSERVIDUMBRE</v>
      </c>
      <c r="C15" s="28" t="s">
        <v>13</v>
      </c>
      <c r="D15" s="106">
        <f>+SUMIFS('Anexo Activos_Depreciaciones'!$S:$S,'Anexo Activos_Depreciaciones'!$P:$P,'Base de Capital'!$B15,'Anexo Activos_Depreciaciones'!$C:$C,'Base de Capital'!$D$8)</f>
        <v>17524439.199999999</v>
      </c>
      <c r="E15" s="106">
        <f>+SUMIFS('Anexo Activos_Depreciaciones'!$X:$X,'Anexo Activos_Depreciaciones'!$P:$P,'Base de Capital'!$B15,'Anexo Activos_Depreciaciones'!$D:$D,'Base de Capital'!$E$8)</f>
        <v>17524439.199999999</v>
      </c>
      <c r="F15" s="106">
        <f>+SUMIFS('Anexo Activos_Depreciaciones'!$AG:$AG,'Anexo Activos_Depreciaciones'!$P:$P,'Base de Capital'!$B15,'Anexo Activos_Depreciaciones'!$E:$E,'Base de Capital'!$F$8)</f>
        <v>17524439.199999999</v>
      </c>
      <c r="G15" s="106">
        <f>+SUMIFS('Anexo Activos_Depreciaciones'!$AP:$AP,'Anexo Activos_Depreciaciones'!$P:$P,'Base de Capital'!$B15,'Anexo Activos_Depreciaciones'!$F:$F,'Base de Capital'!$G$8)</f>
        <v>17524439.199999999</v>
      </c>
      <c r="H15" s="106">
        <f>+SUMIFS('Anexo Activos_Depreciaciones'!$AY:$AY,'Anexo Activos_Depreciaciones'!$P:$P,'Base de Capital'!$B15,'Anexo Activos_Depreciaciones'!$G:$G,'Base de Capital'!$H$8)</f>
        <v>17524439.199999999</v>
      </c>
      <c r="I15" s="106"/>
      <c r="J15" s="106">
        <f>+SUMIFS('Anexo Activos_Depreciaciones'!$Y:$Y,'Anexo Activos_Depreciaciones'!$P:$P,'Base de Capital'!$B15,'Anexo Activos_Depreciaciones'!$H:$H,'Base de Capital'!$J$8)</f>
        <v>3923431.2553000003</v>
      </c>
      <c r="K15" s="106">
        <f>+SUMIFS('Anexo Activos_Depreciaciones'!$AH:$AH,'Anexo Activos_Depreciaciones'!$P:$P,'Base de Capital'!$B15,'Anexo Activos_Depreciaciones'!$I:$I,'Base de Capital'!$K$8)</f>
        <v>4650204.8805</v>
      </c>
      <c r="L15" s="106">
        <f>+SUMIFS('Anexo Activos_Depreciaciones'!$AQ:$AQ,'Anexo Activos_Depreciaciones'!$P:$P,'Base de Capital'!$B15,'Anexo Activos_Depreciaciones'!$J:$J,'Base de Capital'!$L$8)</f>
        <v>5376978.5056999996</v>
      </c>
      <c r="M15" s="106">
        <f>+SUMIFS('Anexo Activos_Depreciaciones'!$AZ:$AZ,'Anexo Activos_Depreciaciones'!$P:$P,'Base de Capital'!$B15,'Anexo Activos_Depreciaciones'!$K:$K,'Base de Capital'!$M$8)</f>
        <v>6103752.1600000001</v>
      </c>
      <c r="N15" s="106"/>
      <c r="O15" s="106">
        <f>+SUMIFS('Anexo Activos_Depreciaciones'!$Z:$Z,'Anexo Activos_Depreciaciones'!$P:$P,'Base de Capital'!$B15,'Anexo Activos_Depreciaciones'!$L:$L,'Base de Capital'!$O$8)</f>
        <v>13601007.944699999</v>
      </c>
      <c r="P15" s="106">
        <f>+SUMIFS('Anexo Activos_Depreciaciones'!$AI:$AI,'Anexo Activos_Depreciaciones'!$P:$P,'Base de Capital'!$B15,'Anexo Activos_Depreciaciones'!$M:$M,'Base de Capital'!$P$8)</f>
        <v>12874234.319499999</v>
      </c>
      <c r="Q15" s="106">
        <f>+SUMIFS('Anexo Activos_Depreciaciones'!$AR:$AR,'Anexo Activos_Depreciaciones'!$P:$P,'Base de Capital'!$B15,'Anexo Activos_Depreciaciones'!$N:$N,'Base de Capital'!$Q$8)</f>
        <v>12147460.6943</v>
      </c>
      <c r="R15" s="106">
        <f>+SUMIFS('Anexo Activos_Depreciaciones'!$BA:$BA,'Anexo Activos_Depreciaciones'!$P:$P,'Base de Capital'!$B15,'Anexo Activos_Depreciaciones'!$O:$O,'Base de Capital'!$R$8)</f>
        <v>11420687.039999999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2:64" outlineLevel="1" x14ac:dyDescent="0.2">
      <c r="B16" s="28" t="str">
        <f t="shared" si="1"/>
        <v>SISTEMA PRINCIPALEQUIPO ELÉCTRICO AUXILIAR</v>
      </c>
      <c r="C16" s="28" t="s">
        <v>14</v>
      </c>
      <c r="D16" s="106">
        <f>+SUMIFS('Anexo Activos_Depreciaciones'!$S:$S,'Anexo Activos_Depreciaciones'!$P:$P,'Base de Capital'!$B16,'Anexo Activos_Depreciaciones'!$C:$C,'Base de Capital'!$D$8)</f>
        <v>6417088.5899999999</v>
      </c>
      <c r="E16" s="106">
        <f>+SUMIFS('Anexo Activos_Depreciaciones'!$X:$X,'Anexo Activos_Depreciaciones'!$P:$P,'Base de Capital'!$B16,'Anexo Activos_Depreciaciones'!$D:$D,'Base de Capital'!$E$8)</f>
        <v>6417088.5899999999</v>
      </c>
      <c r="F16" s="106">
        <f>+SUMIFS('Anexo Activos_Depreciaciones'!$AG:$AG,'Anexo Activos_Depreciaciones'!$P:$P,'Base de Capital'!$B16,'Anexo Activos_Depreciaciones'!$E:$E,'Base de Capital'!$F$8)</f>
        <v>6450727.8700000001</v>
      </c>
      <c r="G16" s="106">
        <f>+SUMIFS('Anexo Activos_Depreciaciones'!$AP:$AP,'Anexo Activos_Depreciaciones'!$P:$P,'Base de Capital'!$B16,'Anexo Activos_Depreciaciones'!$F:$F,'Base de Capital'!$G$8)</f>
        <v>6450727.8700000001</v>
      </c>
      <c r="H16" s="106">
        <f>+SUMIFS('Anexo Activos_Depreciaciones'!$AY:$AY,'Anexo Activos_Depreciaciones'!$P:$P,'Base de Capital'!$B16,'Anexo Activos_Depreciaciones'!$G:$G,'Base de Capital'!$H$8)</f>
        <v>6947635.8700000001</v>
      </c>
      <c r="I16" s="106"/>
      <c r="J16" s="106">
        <f>+SUMIFS('Anexo Activos_Depreciaciones'!$Y:$Y,'Anexo Activos_Depreciaciones'!$P:$P,'Base de Capital'!$B16,'Anexo Activos_Depreciaciones'!$H:$H,'Base de Capital'!$J$8)</f>
        <v>2954974.8550999998</v>
      </c>
      <c r="K16" s="106">
        <f>+SUMIFS('Anexo Activos_Depreciaciones'!$AH:$AH,'Anexo Activos_Depreciaciones'!$P:$P,'Base de Capital'!$B16,'Anexo Activos_Depreciaciones'!$I:$I,'Base de Capital'!$K$8)</f>
        <v>3136069.0341999996</v>
      </c>
      <c r="L16" s="106">
        <f>+SUMIFS('Anexo Activos_Depreciaciones'!$AQ:$AQ,'Anexo Activos_Depreciaciones'!$P:$P,'Base de Capital'!$B16,'Anexo Activos_Depreciaciones'!$J:$J,'Base de Capital'!$L$8)</f>
        <v>3317473.9721999997</v>
      </c>
      <c r="M16" s="106">
        <f>+SUMIFS('Anexo Activos_Depreciaciones'!$AZ:$AZ,'Anexo Activos_Depreciaciones'!$P:$P,'Base de Capital'!$B16,'Anexo Activos_Depreciaciones'!$K:$K,'Base de Capital'!$M$8)</f>
        <v>3525273.9099999997</v>
      </c>
      <c r="N16" s="106"/>
      <c r="O16" s="106">
        <f>+SUMIFS('Anexo Activos_Depreciaciones'!$Z:$Z,'Anexo Activos_Depreciaciones'!$P:$P,'Base de Capital'!$B16,'Anexo Activos_Depreciaciones'!$L:$L,'Base de Capital'!$O$8)</f>
        <v>3462113.7349</v>
      </c>
      <c r="P16" s="106">
        <f>+SUMIFS('Anexo Activos_Depreciaciones'!$AI:$AI,'Anexo Activos_Depreciaciones'!$P:$P,'Base de Capital'!$B16,'Anexo Activos_Depreciaciones'!$M:$M,'Base de Capital'!$P$8)</f>
        <v>3314658.8358000005</v>
      </c>
      <c r="Q16" s="106">
        <f>+SUMIFS('Anexo Activos_Depreciaciones'!$AR:$AR,'Anexo Activos_Depreciaciones'!$P:$P,'Base de Capital'!$B16,'Anexo Activos_Depreciaciones'!$N:$N,'Base de Capital'!$Q$8)</f>
        <v>3133253.8978000004</v>
      </c>
      <c r="R16" s="106">
        <f>+SUMIFS('Anexo Activos_Depreciaciones'!$BA:$BA,'Anexo Activos_Depreciaciones'!$P:$P,'Base de Capital'!$B16,'Anexo Activos_Depreciaciones'!$O:$O,'Base de Capital'!$R$8)</f>
        <v>3422361.9600000004</v>
      </c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</row>
    <row r="17" spans="2:64" outlineLevel="1" x14ac:dyDescent="0.2">
      <c r="B17" s="28" t="str">
        <f t="shared" si="1"/>
        <v>SISTEMA PRINCIPALEQUIPO ELÉCTRICO MISCELÁNEO</v>
      </c>
      <c r="C17" s="28" t="s">
        <v>15</v>
      </c>
      <c r="D17" s="106">
        <f>+SUMIFS('Anexo Activos_Depreciaciones'!$S:$S,'Anexo Activos_Depreciaciones'!$P:$P,'Base de Capital'!$B17,'Anexo Activos_Depreciaciones'!$C:$C,'Base de Capital'!$D$8)</f>
        <v>69052</v>
      </c>
      <c r="E17" s="106">
        <f>+SUMIFS('Anexo Activos_Depreciaciones'!$X:$X,'Anexo Activos_Depreciaciones'!$P:$P,'Base de Capital'!$B17,'Anexo Activos_Depreciaciones'!$D:$D,'Base de Capital'!$E$8)</f>
        <v>69052</v>
      </c>
      <c r="F17" s="106">
        <f>+SUMIFS('Anexo Activos_Depreciaciones'!$AG:$AG,'Anexo Activos_Depreciaciones'!$P:$P,'Base de Capital'!$B17,'Anexo Activos_Depreciaciones'!$E:$E,'Base de Capital'!$F$8)</f>
        <v>69052</v>
      </c>
      <c r="G17" s="106">
        <f>+SUMIFS('Anexo Activos_Depreciaciones'!$AP:$AP,'Anexo Activos_Depreciaciones'!$P:$P,'Base de Capital'!$B17,'Anexo Activos_Depreciaciones'!$F:$F,'Base de Capital'!$G$8)</f>
        <v>69052</v>
      </c>
      <c r="H17" s="106">
        <f>+SUMIFS('Anexo Activos_Depreciaciones'!$AY:$AY,'Anexo Activos_Depreciaciones'!$P:$P,'Base de Capital'!$B17,'Anexo Activos_Depreciaciones'!$G:$G,'Base de Capital'!$H$8)</f>
        <v>69052</v>
      </c>
      <c r="I17" s="106"/>
      <c r="J17" s="106">
        <f>+SUMIFS('Anexo Activos_Depreciaciones'!$Y:$Y,'Anexo Activos_Depreciaciones'!$P:$P,'Base de Capital'!$B17,'Anexo Activos_Depreciaciones'!$H:$H,'Base de Capital'!$J$8)</f>
        <v>54019.3485</v>
      </c>
      <c r="K17" s="106">
        <f>+SUMIFS('Anexo Activos_Depreciaciones'!$AH:$AH,'Anexo Activos_Depreciaciones'!$P:$P,'Base de Capital'!$B17,'Anexo Activos_Depreciaciones'!$I:$I,'Base de Capital'!$K$8)</f>
        <v>57352.869899999998</v>
      </c>
      <c r="L17" s="106">
        <f>+SUMIFS('Anexo Activos_Depreciaciones'!$AQ:$AQ,'Anexo Activos_Depreciaciones'!$P:$P,'Base de Capital'!$B17,'Anexo Activos_Depreciaciones'!$J:$J,'Base de Capital'!$L$8)</f>
        <v>60653.702299999997</v>
      </c>
      <c r="M17" s="106">
        <f>+SUMIFS('Anexo Activos_Depreciaciones'!$AZ:$AZ,'Anexo Activos_Depreciaciones'!$P:$P,'Base de Capital'!$B17,'Anexo Activos_Depreciaciones'!$K:$K,'Base de Capital'!$M$8)</f>
        <v>63955.009999999995</v>
      </c>
      <c r="N17" s="106"/>
      <c r="O17" s="106">
        <f>+SUMIFS('Anexo Activos_Depreciaciones'!$Z:$Z,'Anexo Activos_Depreciaciones'!$P:$P,'Base de Capital'!$B17,'Anexo Activos_Depreciaciones'!$L:$L,'Base de Capital'!$O$8)</f>
        <v>15032.6515</v>
      </c>
      <c r="P17" s="106">
        <f>+SUMIFS('Anexo Activos_Depreciaciones'!$AI:$AI,'Anexo Activos_Depreciaciones'!$P:$P,'Base de Capital'!$B17,'Anexo Activos_Depreciaciones'!$M:$M,'Base de Capital'!$P$8)</f>
        <v>11699.130100000002</v>
      </c>
      <c r="Q17" s="106">
        <f>+SUMIFS('Anexo Activos_Depreciaciones'!$AR:$AR,'Anexo Activos_Depreciaciones'!$P:$P,'Base de Capital'!$B17,'Anexo Activos_Depreciaciones'!$N:$N,'Base de Capital'!$Q$8)</f>
        <v>8398.2977000000028</v>
      </c>
      <c r="R17" s="106">
        <f>+SUMIFS('Anexo Activos_Depreciaciones'!$BA:$BA,'Anexo Activos_Depreciaciones'!$P:$P,'Base de Capital'!$B17,'Anexo Activos_Depreciaciones'!$O:$O,'Base de Capital'!$R$8)</f>
        <v>5096.9900000000052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2:64" outlineLevel="1" x14ac:dyDescent="0.2">
      <c r="B18" s="28" t="str">
        <f t="shared" si="1"/>
        <v>SISTEMA PRINCIPALEQUIPO DE SUBESTACIONES</v>
      </c>
      <c r="C18" s="28" t="s">
        <v>16</v>
      </c>
      <c r="D18" s="106">
        <f>+SUMIFS('Anexo Activos_Depreciaciones'!$S:$S,'Anexo Activos_Depreciaciones'!$P:$P,'Base de Capital'!$B18,'Anexo Activos_Depreciaciones'!$C:$C,'Base de Capital'!$D$8)</f>
        <v>53186556.583410524</v>
      </c>
      <c r="E18" s="106">
        <f>+SUMIFS('Anexo Activos_Depreciaciones'!$X:$X,'Anexo Activos_Depreciaciones'!$P:$P,'Base de Capital'!$B18,'Anexo Activos_Depreciaciones'!$D:$D,'Base de Capital'!$E$8)</f>
        <v>54551123.573410526</v>
      </c>
      <c r="F18" s="106">
        <f>+SUMIFS('Anexo Activos_Depreciaciones'!$AG:$AG,'Anexo Activos_Depreciaciones'!$P:$P,'Base de Capital'!$B18,'Anexo Activos_Depreciaciones'!$E:$E,'Base de Capital'!$F$8)</f>
        <v>60854154.573410526</v>
      </c>
      <c r="G18" s="106">
        <f>+SUMIFS('Anexo Activos_Depreciaciones'!$AP:$AP,'Anexo Activos_Depreciaciones'!$P:$P,'Base de Capital'!$B18,'Anexo Activos_Depreciaciones'!$F:$F,'Base de Capital'!$G$8)</f>
        <v>60363969.283410527</v>
      </c>
      <c r="H18" s="106">
        <f>+SUMIFS('Anexo Activos_Depreciaciones'!$AY:$AY,'Anexo Activos_Depreciaciones'!$P:$P,'Base de Capital'!$B18,'Anexo Activos_Depreciaciones'!$G:$G,'Base de Capital'!$H$8)</f>
        <v>77170219.283410519</v>
      </c>
      <c r="I18" s="106"/>
      <c r="J18" s="106">
        <f>+SUMIFS('Anexo Activos_Depreciaciones'!$Y:$Y,'Anexo Activos_Depreciaciones'!$P:$P,'Base de Capital'!$B18,'Anexo Activos_Depreciaciones'!$H:$H,'Base de Capital'!$J$8)</f>
        <v>24272630.652899999</v>
      </c>
      <c r="K18" s="106">
        <f>+SUMIFS('Anexo Activos_Depreciaciones'!$AH:$AH,'Anexo Activos_Depreciaciones'!$P:$P,'Base de Capital'!$B18,'Anexo Activos_Depreciaciones'!$I:$I,'Base de Capital'!$K$8)</f>
        <v>26142571.782099999</v>
      </c>
      <c r="L18" s="106">
        <f>+SUMIFS('Anexo Activos_Depreciaciones'!$AQ:$AQ,'Anexo Activos_Depreciaciones'!$P:$P,'Base de Capital'!$B18,'Anexo Activos_Depreciaciones'!$J:$J,'Base de Capital'!$L$8)</f>
        <v>28018320.883299999</v>
      </c>
      <c r="M18" s="106">
        <f>+SUMIFS('Anexo Activos_Depreciaciones'!$AZ:$AZ,'Anexo Activos_Depreciaciones'!$P:$P,'Base de Capital'!$B18,'Anexo Activos_Depreciaciones'!$K:$K,'Base de Capital'!$M$8)</f>
        <v>30427804.869999997</v>
      </c>
      <c r="N18" s="106"/>
      <c r="O18" s="106">
        <f>+SUMIFS('Anexo Activos_Depreciaciones'!$Z:$Z,'Anexo Activos_Depreciaciones'!$P:$P,'Base de Capital'!$B18,'Anexo Activos_Depreciaciones'!$L:$L,'Base de Capital'!$O$8)</f>
        <v>30278492.920510527</v>
      </c>
      <c r="P18" s="106">
        <f>+SUMIFS('Anexo Activos_Depreciaciones'!$AI:$AI,'Anexo Activos_Depreciaciones'!$P:$P,'Base de Capital'!$B18,'Anexo Activos_Depreciaciones'!$M:$M,'Base de Capital'!$P$8)</f>
        <v>34711582.791310526</v>
      </c>
      <c r="Q18" s="106">
        <f>+SUMIFS('Anexo Activos_Depreciaciones'!$AR:$AR,'Anexo Activos_Depreciaciones'!$P:$P,'Base de Capital'!$B18,'Anexo Activos_Depreciaciones'!$N:$N,'Base de Capital'!$Q$8)</f>
        <v>32345648.400110528</v>
      </c>
      <c r="R18" s="106">
        <f>+SUMIFS('Anexo Activos_Depreciaciones'!$BA:$BA,'Anexo Activos_Depreciaciones'!$P:$P,'Base de Capital'!$B18,'Anexo Activos_Depreciaciones'!$O:$O,'Base de Capital'!$R$8)</f>
        <v>46742414.413410522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2:64" outlineLevel="1" x14ac:dyDescent="0.2">
      <c r="B19" s="28" t="str">
        <f t="shared" si="1"/>
        <v>SISTEMA PRINCIPALTORRES Y ACCESORIOS</v>
      </c>
      <c r="C19" s="28" t="s">
        <v>17</v>
      </c>
      <c r="D19" s="106">
        <f>+SUMIFS('Anexo Activos_Depreciaciones'!$S:$S,'Anexo Activos_Depreciaciones'!$P:$P,'Base de Capital'!$B19,'Anexo Activos_Depreciaciones'!$C:$C,'Base de Capital'!$D$8)</f>
        <v>92015993.515311688</v>
      </c>
      <c r="E19" s="106">
        <f>+SUMIFS('Anexo Activos_Depreciaciones'!$X:$X,'Anexo Activos_Depreciaciones'!$P:$P,'Base de Capital'!$B19,'Anexo Activos_Depreciaciones'!$D:$D,'Base de Capital'!$E$8)</f>
        <v>92029734.875311688</v>
      </c>
      <c r="F19" s="106">
        <f>+SUMIFS('Anexo Activos_Depreciaciones'!$AG:$AG,'Anexo Activos_Depreciaciones'!$P:$P,'Base de Capital'!$B19,'Anexo Activos_Depreciaciones'!$E:$E,'Base de Capital'!$F$8)</f>
        <v>92058534.875311688</v>
      </c>
      <c r="G19" s="106">
        <f>+SUMIFS('Anexo Activos_Depreciaciones'!$AP:$AP,'Anexo Activos_Depreciaciones'!$P:$P,'Base de Capital'!$B19,'Anexo Activos_Depreciaciones'!$F:$F,'Base de Capital'!$G$8)</f>
        <v>92058534.875311688</v>
      </c>
      <c r="H19" s="106">
        <f>+SUMIFS('Anexo Activos_Depreciaciones'!$AY:$AY,'Anexo Activos_Depreciaciones'!$P:$P,'Base de Capital'!$B19,'Anexo Activos_Depreciaciones'!$G:$G,'Base de Capital'!$H$8)</f>
        <v>92654656.875311688</v>
      </c>
      <c r="I19" s="106"/>
      <c r="J19" s="106">
        <f>+SUMIFS('Anexo Activos_Depreciaciones'!$Y:$Y,'Anexo Activos_Depreciaciones'!$P:$P,'Base de Capital'!$B19,'Anexo Activos_Depreciaciones'!$H:$H,'Base de Capital'!$J$8)</f>
        <v>37591016.317900002</v>
      </c>
      <c r="K19" s="106">
        <f>+SUMIFS('Anexo Activos_Depreciaciones'!$AH:$AH,'Anexo Activos_Depreciaciones'!$P:$P,'Base de Capital'!$B19,'Anexo Activos_Depreciaciones'!$I:$I,'Base de Capital'!$K$8)</f>
        <v>39940717.963</v>
      </c>
      <c r="L19" s="106">
        <f>+SUMIFS('Anexo Activos_Depreciaciones'!$AQ:$AQ,'Anexo Activos_Depreciaciones'!$P:$P,'Base de Capital'!$B19,'Anexo Activos_Depreciaciones'!$J:$J,'Base de Capital'!$L$8)</f>
        <v>42290128.608099997</v>
      </c>
      <c r="M19" s="106">
        <f>+SUMIFS('Anexo Activos_Depreciaciones'!$AZ:$AZ,'Anexo Activos_Depreciaciones'!$P:$P,'Base de Capital'!$B19,'Anexo Activos_Depreciaciones'!$K:$K,'Base de Capital'!$M$8)</f>
        <v>44656678.609999999</v>
      </c>
      <c r="N19" s="106"/>
      <c r="O19" s="106">
        <f>+SUMIFS('Anexo Activos_Depreciaciones'!$Z:$Z,'Anexo Activos_Depreciaciones'!$P:$P,'Base de Capital'!$B19,'Anexo Activos_Depreciaciones'!$L:$L,'Base de Capital'!$O$8)</f>
        <v>54438718.557411686</v>
      </c>
      <c r="P19" s="106">
        <f>+SUMIFS('Anexo Activos_Depreciaciones'!$AI:$AI,'Anexo Activos_Depreciaciones'!$P:$P,'Base de Capital'!$B19,'Anexo Activos_Depreciaciones'!$M:$M,'Base de Capital'!$P$8)</f>
        <v>52117816.912311688</v>
      </c>
      <c r="Q19" s="106">
        <f>+SUMIFS('Anexo Activos_Depreciaciones'!$AR:$AR,'Anexo Activos_Depreciaciones'!$P:$P,'Base de Capital'!$B19,'Anexo Activos_Depreciaciones'!$N:$N,'Base de Capital'!$Q$8)</f>
        <v>49768406.267211691</v>
      </c>
      <c r="R19" s="106">
        <f>+SUMIFS('Anexo Activos_Depreciaciones'!$BA:$BA,'Anexo Activos_Depreciaciones'!$P:$P,'Base de Capital'!$B19,'Anexo Activos_Depreciaciones'!$O:$O,'Base de Capital'!$R$8)</f>
        <v>47997978.265311688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2:64" outlineLevel="1" x14ac:dyDescent="0.2">
      <c r="B20" s="28" t="str">
        <f t="shared" si="1"/>
        <v>SISTEMA PRINCIPALCONDUCTORES AÉREOS Y ACCESORIOS</v>
      </c>
      <c r="C20" s="28" t="s">
        <v>18</v>
      </c>
      <c r="D20" s="106">
        <f>+SUMIFS('Anexo Activos_Depreciaciones'!$S:$S,'Anexo Activos_Depreciaciones'!$P:$P,'Base de Capital'!$B20,'Anexo Activos_Depreciaciones'!$C:$C,'Base de Capital'!$D$8)</f>
        <v>86435917.065311655</v>
      </c>
      <c r="E20" s="106">
        <f>+SUMIFS('Anexo Activos_Depreciaciones'!$X:$X,'Anexo Activos_Depreciaciones'!$P:$P,'Base de Capital'!$B20,'Anexo Activos_Depreciaciones'!$D:$D,'Base de Capital'!$E$8)</f>
        <v>86697870.68531166</v>
      </c>
      <c r="F20" s="106">
        <f>+SUMIFS('Anexo Activos_Depreciaciones'!$AG:$AG,'Anexo Activos_Depreciaciones'!$P:$P,'Base de Capital'!$B20,'Anexo Activos_Depreciaciones'!$E:$E,'Base de Capital'!$F$8)</f>
        <v>89560259.825311661</v>
      </c>
      <c r="G20" s="106">
        <f>+SUMIFS('Anexo Activos_Depreciaciones'!$AP:$AP,'Anexo Activos_Depreciaciones'!$P:$P,'Base de Capital'!$B20,'Anexo Activos_Depreciaciones'!$F:$F,'Base de Capital'!$G$8)</f>
        <v>89560259.825311661</v>
      </c>
      <c r="H20" s="106">
        <f>+SUMIFS('Anexo Activos_Depreciaciones'!$AY:$AY,'Anexo Activos_Depreciaciones'!$P:$P,'Base de Capital'!$B20,'Anexo Activos_Depreciaciones'!$G:$G,'Base de Capital'!$H$8)</f>
        <v>92221757.825311661</v>
      </c>
      <c r="I20" s="106"/>
      <c r="J20" s="106">
        <f>+SUMIFS('Anexo Activos_Depreciaciones'!$Y:$Y,'Anexo Activos_Depreciaciones'!$P:$P,'Base de Capital'!$B20,'Anexo Activos_Depreciaciones'!$H:$H,'Base de Capital'!$J$8)</f>
        <v>37695369.994599998</v>
      </c>
      <c r="K20" s="106">
        <f>+SUMIFS('Anexo Activos_Depreciaciones'!$AH:$AH,'Anexo Activos_Depreciaciones'!$P:$P,'Base de Capital'!$B20,'Anexo Activos_Depreciaciones'!$I:$I,'Base de Capital'!$K$8)</f>
        <v>40316201.7038</v>
      </c>
      <c r="L20" s="106">
        <f>+SUMIFS('Anexo Activos_Depreciaciones'!$AQ:$AQ,'Anexo Activos_Depreciaciones'!$P:$P,'Base de Capital'!$B20,'Anexo Activos_Depreciaciones'!$J:$J,'Base de Capital'!$L$8)</f>
        <v>42328897.238300003</v>
      </c>
      <c r="M20" s="106">
        <f>+SUMIFS('Anexo Activos_Depreciaciones'!$AZ:$AZ,'Anexo Activos_Depreciaciones'!$P:$P,'Base de Capital'!$B20,'Anexo Activos_Depreciaciones'!$K:$K,'Base de Capital'!$M$8)</f>
        <v>44395997.899999999</v>
      </c>
      <c r="N20" s="106"/>
      <c r="O20" s="106">
        <f>+SUMIFS('Anexo Activos_Depreciaciones'!$Z:$Z,'Anexo Activos_Depreciaciones'!$P:$P,'Base de Capital'!$B20,'Anexo Activos_Depreciaciones'!$L:$L,'Base de Capital'!$O$8)</f>
        <v>49002500.690711662</v>
      </c>
      <c r="P20" s="106">
        <f>+SUMIFS('Anexo Activos_Depreciaciones'!$AI:$AI,'Anexo Activos_Depreciaciones'!$P:$P,'Base de Capital'!$B20,'Anexo Activos_Depreciaciones'!$M:$M,'Base de Capital'!$P$8)</f>
        <v>49244058.121511661</v>
      </c>
      <c r="Q20" s="106">
        <f>+SUMIFS('Anexo Activos_Depreciaciones'!$AR:$AR,'Anexo Activos_Depreciaciones'!$P:$P,'Base de Capital'!$B20,'Anexo Activos_Depreciaciones'!$N:$N,'Base de Capital'!$Q$8)</f>
        <v>47231362.587011658</v>
      </c>
      <c r="R20" s="106">
        <f>+SUMIFS('Anexo Activos_Depreciaciones'!$BA:$BA,'Anexo Activos_Depreciaciones'!$P:$P,'Base de Capital'!$B20,'Anexo Activos_Depreciaciones'!$O:$O,'Base de Capital'!$R$8)</f>
        <v>47825759.925311662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2:64" outlineLevel="1" x14ac:dyDescent="0.2">
      <c r="B21" s="28" t="str">
        <f t="shared" si="1"/>
        <v>SISTEMA PRINCIPALEQUIPO MECANICO</v>
      </c>
      <c r="C21" s="28" t="s">
        <v>19</v>
      </c>
      <c r="D21" s="106">
        <f>+SUMIFS('Anexo Activos_Depreciaciones'!$S:$S,'Anexo Activos_Depreciaciones'!$P:$P,'Base de Capital'!$B21,'Anexo Activos_Depreciaciones'!$C:$C,'Base de Capital'!$D$8)</f>
        <v>31826</v>
      </c>
      <c r="E21" s="106">
        <f>+SUMIFS('Anexo Activos_Depreciaciones'!$X:$X,'Anexo Activos_Depreciaciones'!$P:$P,'Base de Capital'!$B21,'Anexo Activos_Depreciaciones'!$D:$D,'Base de Capital'!$E$8)</f>
        <v>31826</v>
      </c>
      <c r="F21" s="106">
        <f>+SUMIFS('Anexo Activos_Depreciaciones'!$AG:$AG,'Anexo Activos_Depreciaciones'!$P:$P,'Base de Capital'!$B21,'Anexo Activos_Depreciaciones'!$E:$E,'Base de Capital'!$F$8)</f>
        <v>31826</v>
      </c>
      <c r="G21" s="106">
        <f>+SUMIFS('Anexo Activos_Depreciaciones'!$AP:$AP,'Anexo Activos_Depreciaciones'!$P:$P,'Base de Capital'!$B21,'Anexo Activos_Depreciaciones'!$F:$F,'Base de Capital'!$G$8)</f>
        <v>31826</v>
      </c>
      <c r="H21" s="106">
        <f>+SUMIFS('Anexo Activos_Depreciaciones'!$AY:$AY,'Anexo Activos_Depreciaciones'!$P:$P,'Base de Capital'!$B21,'Anexo Activos_Depreciaciones'!$G:$G,'Base de Capital'!$H$8)</f>
        <v>31826</v>
      </c>
      <c r="I21" s="106"/>
      <c r="J21" s="106">
        <f>+SUMIFS('Anexo Activos_Depreciaciones'!$Y:$Y,'Anexo Activos_Depreciaciones'!$P:$P,'Base de Capital'!$B21,'Anexo Activos_Depreciaciones'!$H:$H,'Base de Capital'!$J$8)</f>
        <v>15816.529</v>
      </c>
      <c r="K21" s="106">
        <f>+SUMIFS('Anexo Activos_Depreciaciones'!$AH:$AH,'Anexo Activos_Depreciaciones'!$P:$P,'Base de Capital'!$B21,'Anexo Activos_Depreciaciones'!$I:$I,'Base de Capital'!$K$8)</f>
        <v>18903.641299999999</v>
      </c>
      <c r="L21" s="106">
        <f>+SUMIFS('Anexo Activos_Depreciaciones'!$AQ:$AQ,'Anexo Activos_Depreciaciones'!$P:$P,'Base de Capital'!$B21,'Anexo Activos_Depreciaciones'!$J:$J,'Base de Capital'!$L$8)</f>
        <v>21990.7536</v>
      </c>
      <c r="M21" s="106">
        <f>+SUMIFS('Anexo Activos_Depreciaciones'!$AZ:$AZ,'Anexo Activos_Depreciaciones'!$P:$P,'Base de Capital'!$B21,'Anexo Activos_Depreciaciones'!$K:$K,'Base de Capital'!$M$8)</f>
        <v>25077.41</v>
      </c>
      <c r="N21" s="106"/>
      <c r="O21" s="106">
        <f>+SUMIFS('Anexo Activos_Depreciaciones'!$Z:$Z,'Anexo Activos_Depreciaciones'!$P:$P,'Base de Capital'!$B21,'Anexo Activos_Depreciaciones'!$L:$L,'Base de Capital'!$O$8)</f>
        <v>16009.471</v>
      </c>
      <c r="P21" s="106">
        <f>+SUMIFS('Anexo Activos_Depreciaciones'!$AI:$AI,'Anexo Activos_Depreciaciones'!$P:$P,'Base de Capital'!$B21,'Anexo Activos_Depreciaciones'!$M:$M,'Base de Capital'!$P$8)</f>
        <v>12922.358700000001</v>
      </c>
      <c r="Q21" s="106">
        <f>+SUMIFS('Anexo Activos_Depreciaciones'!$AR:$AR,'Anexo Activos_Depreciaciones'!$P:$P,'Base de Capital'!$B21,'Anexo Activos_Depreciaciones'!$N:$N,'Base de Capital'!$Q$8)</f>
        <v>9835.2464</v>
      </c>
      <c r="R21" s="106">
        <f>+SUMIFS('Anexo Activos_Depreciaciones'!$BA:$BA,'Anexo Activos_Depreciaciones'!$P:$P,'Base de Capital'!$B21,'Anexo Activos_Depreciaciones'!$O:$O,'Base de Capital'!$R$8)</f>
        <v>6748.59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2" spans="2:64" outlineLevel="1" x14ac:dyDescent="0.2">
      <c r="B22" s="28" t="str">
        <f t="shared" si="1"/>
        <v>SISTEMA PRINCIPALEQUIPO DE COMUNICACIÓN</v>
      </c>
      <c r="C22" s="28" t="s">
        <v>20</v>
      </c>
      <c r="D22" s="106">
        <f>+SUMIFS('Anexo Activos_Depreciaciones'!$S:$S,'Anexo Activos_Depreciaciones'!$P:$P,'Base de Capital'!$B22,'Anexo Activos_Depreciaciones'!$C:$C,'Base de Capital'!$D$8)</f>
        <v>1173393.68</v>
      </c>
      <c r="E22" s="106">
        <f>+SUMIFS('Anexo Activos_Depreciaciones'!$X:$X,'Anexo Activos_Depreciaciones'!$P:$P,'Base de Capital'!$B22,'Anexo Activos_Depreciaciones'!$D:$D,'Base de Capital'!$E$8)</f>
        <v>1173393.68</v>
      </c>
      <c r="F22" s="106">
        <f>+SUMIFS('Anexo Activos_Depreciaciones'!$AG:$AG,'Anexo Activos_Depreciaciones'!$P:$P,'Base de Capital'!$B22,'Anexo Activos_Depreciaciones'!$E:$E,'Base de Capital'!$F$8)</f>
        <v>1173393.68</v>
      </c>
      <c r="G22" s="106">
        <f>+SUMIFS('Anexo Activos_Depreciaciones'!$AP:$AP,'Anexo Activos_Depreciaciones'!$P:$P,'Base de Capital'!$B22,'Anexo Activos_Depreciaciones'!$F:$F,'Base de Capital'!$G$8)</f>
        <v>1173393.68</v>
      </c>
      <c r="H22" s="106">
        <f>+SUMIFS('Anexo Activos_Depreciaciones'!$AY:$AY,'Anexo Activos_Depreciaciones'!$P:$P,'Base de Capital'!$B22,'Anexo Activos_Depreciaciones'!$G:$G,'Base de Capital'!$H$8)</f>
        <v>3267407.6799999997</v>
      </c>
      <c r="I22" s="106"/>
      <c r="J22" s="106">
        <f>+SUMIFS('Anexo Activos_Depreciaciones'!$Y:$Y,'Anexo Activos_Depreciaciones'!$P:$P,'Base de Capital'!$B22,'Anexo Activos_Depreciaciones'!$H:$H,'Base de Capital'!$J$8)</f>
        <v>360131.21129999997</v>
      </c>
      <c r="K22" s="106">
        <f>+SUMIFS('Anexo Activos_Depreciaciones'!$AH:$AH,'Anexo Activos_Depreciaciones'!$P:$P,'Base de Capital'!$B22,'Anexo Activos_Depreciaciones'!$I:$I,'Base de Capital'!$K$8)</f>
        <v>464178.57169999997</v>
      </c>
      <c r="L22" s="106">
        <f>+SUMIFS('Anexo Activos_Depreciaciones'!$AQ:$AQ,'Anexo Activos_Depreciaciones'!$P:$P,'Base de Capital'!$B22,'Anexo Activos_Depreciaciones'!$J:$J,'Base de Capital'!$L$8)</f>
        <v>567350.06089999992</v>
      </c>
      <c r="M22" s="106">
        <f>+SUMIFS('Anexo Activos_Depreciaciones'!$AZ:$AZ,'Anexo Activos_Depreciaciones'!$P:$P,'Base de Capital'!$B22,'Anexo Activos_Depreciaciones'!$K:$K,'Base de Capital'!$M$8)</f>
        <v>841513.79999999993</v>
      </c>
      <c r="N22" s="106"/>
      <c r="O22" s="106">
        <f>+SUMIFS('Anexo Activos_Depreciaciones'!$Z:$Z,'Anexo Activos_Depreciaciones'!$P:$P,'Base de Capital'!$B22,'Anexo Activos_Depreciaciones'!$L:$L,'Base de Capital'!$O$8)</f>
        <v>813262.46869999997</v>
      </c>
      <c r="P22" s="106">
        <f>+SUMIFS('Anexo Activos_Depreciaciones'!$AI:$AI,'Anexo Activos_Depreciaciones'!$P:$P,'Base de Capital'!$B22,'Anexo Activos_Depreciaciones'!$M:$M,'Base de Capital'!$P$8)</f>
        <v>709215.10829999996</v>
      </c>
      <c r="Q22" s="106">
        <f>+SUMIFS('Anexo Activos_Depreciaciones'!$AR:$AR,'Anexo Activos_Depreciaciones'!$P:$P,'Base de Capital'!$B22,'Anexo Activos_Depreciaciones'!$N:$N,'Base de Capital'!$Q$8)</f>
        <v>606043.61910000001</v>
      </c>
      <c r="R22" s="106">
        <f>+SUMIFS('Anexo Activos_Depreciaciones'!$BA:$BA,'Anexo Activos_Depreciaciones'!$P:$P,'Base de Capital'!$B22,'Anexo Activos_Depreciaciones'!$O:$O,'Base de Capital'!$R$8)</f>
        <v>2425893.88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2:64" outlineLevel="1" x14ac:dyDescent="0.2">
      <c r="B23" s="28" t="str">
        <f t="shared" si="1"/>
        <v>SISTEMA PRINCIPALTRANSFORMADORES DE LÍNEAS</v>
      </c>
      <c r="C23" s="28" t="s">
        <v>21</v>
      </c>
      <c r="D23" s="106">
        <f>+SUMIFS('Anexo Activos_Depreciaciones'!$S:$S,'Anexo Activos_Depreciaciones'!$P:$P,'Base de Capital'!$B23,'Anexo Activos_Depreciaciones'!$C:$C,'Base de Capital'!$D$8)</f>
        <v>36524987.250000007</v>
      </c>
      <c r="E23" s="106">
        <f>+SUMIFS('Anexo Activos_Depreciaciones'!$X:$X,'Anexo Activos_Depreciaciones'!$P:$P,'Base de Capital'!$B23,'Anexo Activos_Depreciaciones'!$D:$D,'Base de Capital'!$E$8)</f>
        <v>36552936.590000011</v>
      </c>
      <c r="F23" s="106">
        <f>+SUMIFS('Anexo Activos_Depreciaciones'!$AG:$AG,'Anexo Activos_Depreciaciones'!$P:$P,'Base de Capital'!$B23,'Anexo Activos_Depreciaciones'!$E:$E,'Base de Capital'!$F$8)</f>
        <v>36686319.540000014</v>
      </c>
      <c r="G23" s="106">
        <f>+SUMIFS('Anexo Activos_Depreciaciones'!$AP:$AP,'Anexo Activos_Depreciaciones'!$P:$P,'Base de Capital'!$B23,'Anexo Activos_Depreciaciones'!$F:$F,'Base de Capital'!$G$8)</f>
        <v>36686319.540000014</v>
      </c>
      <c r="H23" s="106">
        <f>+SUMIFS('Anexo Activos_Depreciaciones'!$AY:$AY,'Anexo Activos_Depreciaciones'!$P:$P,'Base de Capital'!$B23,'Anexo Activos_Depreciaciones'!$G:$G,'Base de Capital'!$H$8)</f>
        <v>39052601.940000013</v>
      </c>
      <c r="I23" s="106"/>
      <c r="J23" s="106">
        <f>+SUMIFS('Anexo Activos_Depreciaciones'!$Y:$Y,'Anexo Activos_Depreciaciones'!$P:$P,'Base de Capital'!$B23,'Anexo Activos_Depreciaciones'!$H:$H,'Base de Capital'!$J$8)</f>
        <v>15939375.231999999</v>
      </c>
      <c r="K23" s="106">
        <f>+SUMIFS('Anexo Activos_Depreciaciones'!$AH:$AH,'Anexo Activos_Depreciaciones'!$P:$P,'Base de Capital'!$B23,'Anexo Activos_Depreciaciones'!$I:$I,'Base de Capital'!$K$8)</f>
        <v>16943842.484500002</v>
      </c>
      <c r="L23" s="106">
        <f>+SUMIFS('Anexo Activos_Depreciaciones'!$AQ:$AQ,'Anexo Activos_Depreciaciones'!$P:$P,'Base de Capital'!$B23,'Anexo Activos_Depreciaciones'!$J:$J,'Base de Capital'!$L$8)</f>
        <v>17949541.9474</v>
      </c>
      <c r="M23" s="106">
        <f>+SUMIFS('Anexo Activos_Depreciaciones'!$AZ:$AZ,'Anexo Activos_Depreciaciones'!$P:$P,'Base de Capital'!$B23,'Anexo Activos_Depreciaciones'!$K:$K,'Base de Capital'!$M$8)</f>
        <v>19013360.91</v>
      </c>
      <c r="N23" s="106"/>
      <c r="O23" s="106">
        <f>+SUMIFS('Anexo Activos_Depreciaciones'!$Z:$Z,'Anexo Activos_Depreciaciones'!$P:$P,'Base de Capital'!$B23,'Anexo Activos_Depreciaciones'!$L:$L,'Base de Capital'!$O$8)</f>
        <v>20613561.35800001</v>
      </c>
      <c r="P23" s="106">
        <f>+SUMIFS('Anexo Activos_Depreciaciones'!$AI:$AI,'Anexo Activos_Depreciaciones'!$P:$P,'Base de Capital'!$B23,'Anexo Activos_Depreciaciones'!$M:$M,'Base de Capital'!$P$8)</f>
        <v>19742477.055500012</v>
      </c>
      <c r="Q23" s="106">
        <f>+SUMIFS('Anexo Activos_Depreciaciones'!$AR:$AR,'Anexo Activos_Depreciaciones'!$P:$P,'Base de Capital'!$B23,'Anexo Activos_Depreciaciones'!$N:$N,'Base de Capital'!$Q$8)</f>
        <v>18736777.592600014</v>
      </c>
      <c r="R23" s="106">
        <f>+SUMIFS('Anexo Activos_Depreciaciones'!$BA:$BA,'Anexo Activos_Depreciaciones'!$P:$P,'Base de Capital'!$B23,'Anexo Activos_Depreciaciones'!$O:$O,'Base de Capital'!$R$8)</f>
        <v>20039241.030000012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2:64" outlineLevel="1" x14ac:dyDescent="0.2">
      <c r="B24" s="28" t="str">
        <f t="shared" si="1"/>
        <v>SISTEMA PRINCIPALEQUIPO DE PROTECCIÓN, CONTROL Y</v>
      </c>
      <c r="C24" s="28" t="s">
        <v>22</v>
      </c>
      <c r="D24" s="106">
        <f>+SUMIFS('Anexo Activos_Depreciaciones'!$S:$S,'Anexo Activos_Depreciaciones'!$P:$P,'Base de Capital'!$B24,'Anexo Activos_Depreciaciones'!$C:$C,'Base de Capital'!$D$8)</f>
        <v>15444003.799999999</v>
      </c>
      <c r="E24" s="106">
        <f>+SUMIFS('Anexo Activos_Depreciaciones'!$X:$X,'Anexo Activos_Depreciaciones'!$P:$P,'Base de Capital'!$B24,'Anexo Activos_Depreciaciones'!$D:$D,'Base de Capital'!$E$8)</f>
        <v>14531551.159999998</v>
      </c>
      <c r="F24" s="106">
        <f>+SUMIFS('Anexo Activos_Depreciaciones'!$AG:$AG,'Anexo Activos_Depreciaciones'!$P:$P,'Base de Capital'!$B24,'Anexo Activos_Depreciaciones'!$E:$E,'Base de Capital'!$F$8)</f>
        <v>14962154.969999999</v>
      </c>
      <c r="G24" s="106">
        <f>+SUMIFS('Anexo Activos_Depreciaciones'!$AP:$AP,'Anexo Activos_Depreciaciones'!$P:$P,'Base de Capital'!$B24,'Anexo Activos_Depreciaciones'!$F:$F,'Base de Capital'!$G$8)</f>
        <v>14962154.969999999</v>
      </c>
      <c r="H24" s="106">
        <f>+SUMIFS('Anexo Activos_Depreciaciones'!$AY:$AY,'Anexo Activos_Depreciaciones'!$P:$P,'Base de Capital'!$B24,'Anexo Activos_Depreciaciones'!$G:$G,'Base de Capital'!$H$8)</f>
        <v>17475334.369999997</v>
      </c>
      <c r="I24" s="106"/>
      <c r="J24" s="106">
        <f>+SUMIFS('Anexo Activos_Depreciaciones'!$Y:$Y,'Anexo Activos_Depreciaciones'!$P:$P,'Base de Capital'!$B24,'Anexo Activos_Depreciaciones'!$H:$H,'Base de Capital'!$J$8)</f>
        <v>12827512.305299999</v>
      </c>
      <c r="K24" s="106">
        <f>+SUMIFS('Anexo Activos_Depreciaciones'!$AH:$AH,'Anexo Activos_Depreciaciones'!$P:$P,'Base de Capital'!$B24,'Anexo Activos_Depreciaciones'!$I:$I,'Base de Capital'!$K$8)</f>
        <v>13328577.736299999</v>
      </c>
      <c r="L24" s="106">
        <f>+SUMIFS('Anexo Activos_Depreciaciones'!$AQ:$AQ,'Anexo Activos_Depreciaciones'!$P:$P,'Base de Capital'!$B24,'Anexo Activos_Depreciaciones'!$J:$J,'Base de Capital'!$L$8)</f>
        <v>13776104.1337</v>
      </c>
      <c r="M24" s="106">
        <f>+SUMIFS('Anexo Activos_Depreciaciones'!$AZ:$AZ,'Anexo Activos_Depreciaciones'!$P:$P,'Base de Capital'!$B24,'Anexo Activos_Depreciaciones'!$K:$K,'Base de Capital'!$M$8)</f>
        <v>14350427.35</v>
      </c>
      <c r="N24" s="106"/>
      <c r="O24" s="106">
        <f>+SUMIFS('Anexo Activos_Depreciaciones'!$Z:$Z,'Anexo Activos_Depreciaciones'!$P:$P,'Base de Capital'!$B24,'Anexo Activos_Depreciaciones'!$L:$L,'Base de Capital'!$O$8)</f>
        <v>1704038.8546999991</v>
      </c>
      <c r="P24" s="106">
        <f>+SUMIFS('Anexo Activos_Depreciaciones'!$AI:$AI,'Anexo Activos_Depreciaciones'!$P:$P,'Base de Capital'!$B24,'Anexo Activos_Depreciaciones'!$M:$M,'Base de Capital'!$P$8)</f>
        <v>1633577.2336999997</v>
      </c>
      <c r="Q24" s="106">
        <f>+SUMIFS('Anexo Activos_Depreciaciones'!$AR:$AR,'Anexo Activos_Depreciaciones'!$P:$P,'Base de Capital'!$B24,'Anexo Activos_Depreciaciones'!$N:$N,'Base de Capital'!$Q$8)</f>
        <v>1186050.8362999987</v>
      </c>
      <c r="R24" s="106">
        <f>+SUMIFS('Anexo Activos_Depreciaciones'!$BA:$BA,'Anexo Activos_Depreciaciones'!$P:$P,'Base de Capital'!$B24,'Anexo Activos_Depreciaciones'!$O:$O,'Base de Capital'!$R$8)</f>
        <v>3124907.0199999977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2:64" outlineLevel="1" x14ac:dyDescent="0.2">
      <c r="B25" s="28" t="str">
        <f t="shared" si="1"/>
        <v>SISTEMA PRINCIPALMOBILIARIO Y EQUIPO DE OFICINA</v>
      </c>
      <c r="C25" s="28" t="s">
        <v>23</v>
      </c>
      <c r="D25" s="106">
        <f>+SUMIFS('Anexo Activos_Depreciaciones'!$S:$S,'Anexo Activos_Depreciaciones'!$P:$P,'Base de Capital'!$B25,'Anexo Activos_Depreciaciones'!$C:$C,'Base de Capital'!$D$8)</f>
        <v>89012.98</v>
      </c>
      <c r="E25" s="106">
        <f>+SUMIFS('Anexo Activos_Depreciaciones'!$X:$X,'Anexo Activos_Depreciaciones'!$P:$P,'Base de Capital'!$B25,'Anexo Activos_Depreciaciones'!$D:$D,'Base de Capital'!$E$8)</f>
        <v>89012.98</v>
      </c>
      <c r="F25" s="106">
        <f>+SUMIFS('Anexo Activos_Depreciaciones'!$AG:$AG,'Anexo Activos_Depreciaciones'!$P:$P,'Base de Capital'!$B25,'Anexo Activos_Depreciaciones'!$E:$E,'Base de Capital'!$F$8)</f>
        <v>89012.98</v>
      </c>
      <c r="G25" s="106">
        <f>+SUMIFS('Anexo Activos_Depreciaciones'!$AP:$AP,'Anexo Activos_Depreciaciones'!$P:$P,'Base de Capital'!$B25,'Anexo Activos_Depreciaciones'!$F:$F,'Base de Capital'!$G$8)</f>
        <v>89012.98</v>
      </c>
      <c r="H25" s="106">
        <f>+SUMIFS('Anexo Activos_Depreciaciones'!$AY:$AY,'Anexo Activos_Depreciaciones'!$P:$P,'Base de Capital'!$B25,'Anexo Activos_Depreciaciones'!$G:$G,'Base de Capital'!$H$8)</f>
        <v>89012.98</v>
      </c>
      <c r="I25" s="106"/>
      <c r="J25" s="106">
        <f>+SUMIFS('Anexo Activos_Depreciaciones'!$Y:$Y,'Anexo Activos_Depreciaciones'!$P:$P,'Base de Capital'!$B25,'Anexo Activos_Depreciaciones'!$H:$H,'Base de Capital'!$J$8)</f>
        <v>83693.966799999995</v>
      </c>
      <c r="K25" s="106">
        <f>+SUMIFS('Anexo Activos_Depreciaciones'!$AH:$AH,'Anexo Activos_Depreciaciones'!$P:$P,'Base de Capital'!$B25,'Anexo Activos_Depreciaciones'!$I:$I,'Base de Capital'!$K$8)</f>
        <v>84308.568499999994</v>
      </c>
      <c r="L25" s="106">
        <f>+SUMIFS('Anexo Activos_Depreciaciones'!$AQ:$AQ,'Anexo Activos_Depreciaciones'!$P:$P,'Base de Capital'!$B25,'Anexo Activos_Depreciaciones'!$J:$J,'Base de Capital'!$L$8)</f>
        <v>84839.6823</v>
      </c>
      <c r="M25" s="106">
        <f>+SUMIFS('Anexo Activos_Depreciaciones'!$AZ:$AZ,'Anexo Activos_Depreciaciones'!$P:$P,'Base de Capital'!$B25,'Anexo Activos_Depreciaciones'!$K:$K,'Base de Capital'!$M$8)</f>
        <v>85254.27</v>
      </c>
      <c r="N25" s="106"/>
      <c r="O25" s="106">
        <f>+SUMIFS('Anexo Activos_Depreciaciones'!$Z:$Z,'Anexo Activos_Depreciaciones'!$P:$P,'Base de Capital'!$B25,'Anexo Activos_Depreciaciones'!$L:$L,'Base de Capital'!$O$8)</f>
        <v>5319.0132000000012</v>
      </c>
      <c r="P25" s="106">
        <f>+SUMIFS('Anexo Activos_Depreciaciones'!$AI:$AI,'Anexo Activos_Depreciaciones'!$P:$P,'Base de Capital'!$B25,'Anexo Activos_Depreciaciones'!$M:$M,'Base de Capital'!$P$8)</f>
        <v>4704.411500000002</v>
      </c>
      <c r="Q25" s="106">
        <f>+SUMIFS('Anexo Activos_Depreciaciones'!$AR:$AR,'Anexo Activos_Depreciaciones'!$P:$P,'Base de Capital'!$B25,'Anexo Activos_Depreciaciones'!$N:$N,'Base de Capital'!$Q$8)</f>
        <v>4173.2976999999955</v>
      </c>
      <c r="R25" s="106">
        <f>+SUMIFS('Anexo Activos_Depreciaciones'!$BA:$BA,'Anexo Activos_Depreciaciones'!$P:$P,'Base de Capital'!$B25,'Anexo Activos_Depreciaciones'!$O:$O,'Base de Capital'!$R$8)</f>
        <v>3758.7099999999919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2:64" outlineLevel="1" x14ac:dyDescent="0.2">
      <c r="B26" s="28" t="str">
        <f t="shared" si="1"/>
        <v>SISTEMA PRINCIPALHERRAMIENTAS ESPECIALIZADAS</v>
      </c>
      <c r="C26" s="28" t="s">
        <v>24</v>
      </c>
      <c r="D26" s="106">
        <f>+SUMIFS('Anexo Activos_Depreciaciones'!$S:$S,'Anexo Activos_Depreciaciones'!$P:$P,'Base de Capital'!$B26,'Anexo Activos_Depreciaciones'!$C:$C,'Base de Capital'!$D$8)</f>
        <v>3.0000000027939677E-2</v>
      </c>
      <c r="E26" s="106">
        <f>+SUMIFS('Anexo Activos_Depreciaciones'!$X:$X,'Anexo Activos_Depreciaciones'!$P:$P,'Base de Capital'!$B26,'Anexo Activos_Depreciaciones'!$D:$D,'Base de Capital'!$E$8)</f>
        <v>3.0000000027939677E-2</v>
      </c>
      <c r="F26" s="106">
        <f>+SUMIFS('Anexo Activos_Depreciaciones'!$AG:$AG,'Anexo Activos_Depreciaciones'!$P:$P,'Base de Capital'!$B26,'Anexo Activos_Depreciaciones'!$E:$E,'Base de Capital'!$F$8)</f>
        <v>3.0000000027939677E-2</v>
      </c>
      <c r="G26" s="106">
        <f>+SUMIFS('Anexo Activos_Depreciaciones'!$AP:$AP,'Anexo Activos_Depreciaciones'!$P:$P,'Base de Capital'!$B26,'Anexo Activos_Depreciaciones'!$F:$F,'Base de Capital'!$G$8)</f>
        <v>3.0000000027939677E-2</v>
      </c>
      <c r="H26" s="106">
        <f>+SUMIFS('Anexo Activos_Depreciaciones'!$AY:$AY,'Anexo Activos_Depreciaciones'!$P:$P,'Base de Capital'!$B26,'Anexo Activos_Depreciaciones'!$G:$G,'Base de Capital'!$H$8)</f>
        <v>3.0000000027939677E-2</v>
      </c>
      <c r="I26" s="106"/>
      <c r="J26" s="106">
        <f>+SUMIFS('Anexo Activos_Depreciaciones'!$Y:$Y,'Anexo Activos_Depreciaciones'!$P:$P,'Base de Capital'!$B26,'Anexo Activos_Depreciaciones'!$H:$H,'Base de Capital'!$J$8)</f>
        <v>0</v>
      </c>
      <c r="K26" s="106">
        <f>+SUMIFS('Anexo Activos_Depreciaciones'!$AH:$AH,'Anexo Activos_Depreciaciones'!$P:$P,'Base de Capital'!$B26,'Anexo Activos_Depreciaciones'!$I:$I,'Base de Capital'!$K$8)</f>
        <v>0</v>
      </c>
      <c r="L26" s="106">
        <f>+SUMIFS('Anexo Activos_Depreciaciones'!$AQ:$AQ,'Anexo Activos_Depreciaciones'!$P:$P,'Base de Capital'!$B26,'Anexo Activos_Depreciaciones'!$J:$J,'Base de Capital'!$L$8)</f>
        <v>0</v>
      </c>
      <c r="M26" s="106">
        <f>+SUMIFS('Anexo Activos_Depreciaciones'!$AZ:$AZ,'Anexo Activos_Depreciaciones'!$P:$P,'Base de Capital'!$B26,'Anexo Activos_Depreciaciones'!$K:$K,'Base de Capital'!$M$8)</f>
        <v>0</v>
      </c>
      <c r="N26" s="106"/>
      <c r="O26" s="106">
        <f>+SUMIFS('Anexo Activos_Depreciaciones'!$Z:$Z,'Anexo Activos_Depreciaciones'!$P:$P,'Base de Capital'!$B26,'Anexo Activos_Depreciaciones'!$L:$L,'Base de Capital'!$O$8)</f>
        <v>3.0000000027939677E-2</v>
      </c>
      <c r="P26" s="106">
        <f>+SUMIFS('Anexo Activos_Depreciaciones'!$AI:$AI,'Anexo Activos_Depreciaciones'!$P:$P,'Base de Capital'!$B26,'Anexo Activos_Depreciaciones'!$M:$M,'Base de Capital'!$P$8)</f>
        <v>3.0000000027939677E-2</v>
      </c>
      <c r="Q26" s="106">
        <f>+SUMIFS('Anexo Activos_Depreciaciones'!$AR:$AR,'Anexo Activos_Depreciaciones'!$P:$P,'Base de Capital'!$B26,'Anexo Activos_Depreciaciones'!$N:$N,'Base de Capital'!$Q$8)</f>
        <v>3.0000000027939677E-2</v>
      </c>
      <c r="R26" s="106">
        <f>+SUMIFS('Anexo Activos_Depreciaciones'!$BA:$BA,'Anexo Activos_Depreciaciones'!$P:$P,'Base de Capital'!$B26,'Anexo Activos_Depreciaciones'!$O:$O,'Base de Capital'!$R$8)</f>
        <v>3.0000000027939677E-2</v>
      </c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2:64" s="55" customFormat="1" x14ac:dyDescent="0.2">
      <c r="B27" s="55" t="str">
        <f t="shared" si="1"/>
        <v>SISTEMA PRINCIPALSUB TOTAL</v>
      </c>
      <c r="C27" s="55" t="s">
        <v>25</v>
      </c>
      <c r="D27" s="77">
        <f>+SUMIFS('Anexo Activos_Depreciaciones'!$S:$S,'Anexo Activos_Depreciaciones'!$P:$P,'Base de Capital'!$B27,'Anexo Activos_Depreciaciones'!$C:$C,'Base de Capital'!$D$8)</f>
        <v>328214907.00403386</v>
      </c>
      <c r="E27" s="77">
        <f>+SUMIFS('Anexo Activos_Depreciaciones'!$X:$X,'Anexo Activos_Depreciaciones'!$P:$P,'Base de Capital'!$B27,'Anexo Activos_Depreciaciones'!$D:$D,'Base de Capital'!$E$8)</f>
        <v>329397254.11403394</v>
      </c>
      <c r="F27" s="77">
        <f>+SUMIFS('Anexo Activos_Depreciaciones'!$AG:$AG,'Anexo Activos_Depreciaciones'!$P:$P,'Base de Capital'!$B27,'Anexo Activos_Depreciaciones'!$E:$E,'Base de Capital'!$F$8)</f>
        <v>339317559.45403385</v>
      </c>
      <c r="G27" s="77">
        <f>+SUMIFS('Anexo Activos_Depreciaciones'!$AP:$AP,'Anexo Activos_Depreciaciones'!$P:$P,'Base de Capital'!$B27,'Anexo Activos_Depreciaciones'!$F:$F,'Base de Capital'!$G$8)</f>
        <v>338827374.16403389</v>
      </c>
      <c r="H27" s="77">
        <f>+SUMIFS('Anexo Activos_Depreciaciones'!$AY:$AY,'Anexo Activos_Depreciaciones'!$P:$P,'Base de Capital'!$B27,'Anexo Activos_Depreciaciones'!$G:$G,'Base de Capital'!$H$8)</f>
        <v>367674767.96403384</v>
      </c>
      <c r="I27" s="77"/>
      <c r="J27" s="77">
        <f>+SUMIFS('Anexo Activos_Depreciaciones'!$Y:$Y,'Anexo Activos_Depreciaciones'!$P:$P,'Base de Capital'!$B27,'Anexo Activos_Depreciaciones'!$H:$H,'Base de Capital'!$J$8)</f>
        <v>143353569.64399999</v>
      </c>
      <c r="K27" s="77">
        <f>+SUMIFS('Anexo Activos_Depreciaciones'!$AH:$AH,'Anexo Activos_Depreciaciones'!$P:$P,'Base de Capital'!$B27,'Anexo Activos_Depreciaciones'!$I:$I,'Base de Capital'!$K$8)</f>
        <v>153153465.88939998</v>
      </c>
      <c r="L27" s="77">
        <f>+SUMIFS('Anexo Activos_Depreciaciones'!$AQ:$AQ,'Anexo Activos_Depreciaciones'!$P:$P,'Base de Capital'!$B27,'Anexo Activos_Depreciaciones'!$J:$J,'Base de Capital'!$L$8)</f>
        <v>162298861.11440003</v>
      </c>
      <c r="M27" s="77">
        <f>+SUMIFS('Anexo Activos_Depreciaciones'!$AZ:$AZ,'Anexo Activos_Depreciaciones'!$P:$P,'Base de Capital'!$B27,'Anexo Activos_Depreciaciones'!$K:$K,'Base de Capital'!$M$8)</f>
        <v>172470143.84</v>
      </c>
      <c r="N27" s="77"/>
      <c r="O27" s="77">
        <f>+SUMIFS('Anexo Activos_Depreciaciones'!$Z:$Z,'Anexo Activos_Depreciaciones'!$P:$P,'Base de Capital'!$B27,'Anexo Activos_Depreciaciones'!$L:$L,'Base de Capital'!$O$8)</f>
        <v>186043684.47003388</v>
      </c>
      <c r="P27" s="77">
        <f>+SUMIFS('Anexo Activos_Depreciaciones'!$AI:$AI,'Anexo Activos_Depreciaciones'!$P:$P,'Base de Capital'!$B27,'Anexo Activos_Depreciaciones'!$M:$M,'Base de Capital'!$P$8)</f>
        <v>186164093.56463391</v>
      </c>
      <c r="Q27" s="77">
        <f>+SUMIFS('Anexo Activos_Depreciaciones'!$AR:$AR,'Anexo Activos_Depreciaciones'!$P:$P,'Base de Capital'!$B27,'Anexo Activos_Depreciaciones'!$N:$N,'Base de Capital'!$Q$8)</f>
        <v>176528513.04963386</v>
      </c>
      <c r="R27" s="77">
        <f>+SUMIFS('Anexo Activos_Depreciaciones'!$BA:$BA,'Anexo Activos_Depreciaciones'!$P:$P,'Base de Capital'!$B27,'Anexo Activos_Depreciaciones'!$O:$O,'Base de Capital'!$R$8)</f>
        <v>195204624.1240339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2:64" x14ac:dyDescent="0.2">
      <c r="C28" s="29"/>
      <c r="D28" s="78"/>
      <c r="E28" s="78"/>
      <c r="F28" s="78"/>
      <c r="G28" s="78"/>
      <c r="H28" s="78"/>
      <c r="I28" s="76"/>
      <c r="J28" s="78"/>
      <c r="K28" s="78"/>
      <c r="L28" s="78"/>
      <c r="M28" s="78"/>
      <c r="N28" s="78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2:64" s="94" customFormat="1" x14ac:dyDescent="0.2">
      <c r="B29" s="94" t="str">
        <f>+CONCATENATE($C$11,C29)</f>
        <v>SISTEMA PRINCIPALCONEXIÓN</v>
      </c>
      <c r="C29" s="95" t="s">
        <v>26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</row>
    <row r="30" spans="2:64" outlineLevel="1" x14ac:dyDescent="0.2">
      <c r="B30" s="28" t="str">
        <f t="shared" ref="B30:B39" si="2">+CONCATENATE($C$29,C30)</f>
        <v>CONEXIÓNTERRENOS</v>
      </c>
      <c r="C30" s="28" t="s">
        <v>10</v>
      </c>
      <c r="D30" s="106">
        <f>+SUMIFS('Anexo Activos_Depreciaciones'!$S:$S,'Anexo Activos_Depreciaciones'!$P:$P,'Base de Capital'!$B30,'Anexo Activos_Depreciaciones'!$C:$C,'Base de Capital'!$D$8)</f>
        <v>770837.08</v>
      </c>
      <c r="E30" s="106">
        <f>+SUMIFS('Anexo Activos_Depreciaciones'!$X:$X,'Anexo Activos_Depreciaciones'!$P:$P,'Base de Capital'!$B30,'Anexo Activos_Depreciaciones'!$D:$D,'Base de Capital'!$E$8)</f>
        <v>770837.08</v>
      </c>
      <c r="F30" s="106">
        <f>+SUMIFS('Anexo Activos_Depreciaciones'!$AG:$AG,'Anexo Activos_Depreciaciones'!$P:$P,'Base de Capital'!$B30,'Anexo Activos_Depreciaciones'!$E:$E,'Base de Capital'!$F$8)</f>
        <v>770837.08</v>
      </c>
      <c r="G30" s="106">
        <f>+SUMIFS('Anexo Activos_Depreciaciones'!$AP:$AP,'Anexo Activos_Depreciaciones'!$P:$P,'Base de Capital'!$B30,'Anexo Activos_Depreciaciones'!$F:$F,'Base de Capital'!$G$8)</f>
        <v>770837.08</v>
      </c>
      <c r="H30" s="106">
        <f>+SUMIFS('Anexo Activos_Depreciaciones'!$AY:$AY,'Anexo Activos_Depreciaciones'!$P:$P,'Base de Capital'!$B30,'Anexo Activos_Depreciaciones'!$G:$G,'Base de Capital'!$H$8)</f>
        <v>770837.08</v>
      </c>
      <c r="I30" s="106"/>
      <c r="J30" s="106">
        <f>+SUMIFS('Anexo Activos_Depreciaciones'!$Y:$Y,'Anexo Activos_Depreciaciones'!$P:$P,'Base de Capital'!$B30,'Anexo Activos_Depreciaciones'!$H:$H,'Base de Capital'!$J$8)</f>
        <v>0</v>
      </c>
      <c r="K30" s="106">
        <f>+SUMIFS('Anexo Activos_Depreciaciones'!$AH:$AH,'Anexo Activos_Depreciaciones'!$P:$P,'Base de Capital'!$B30,'Anexo Activos_Depreciaciones'!$I:$I,'Base de Capital'!$K$8)</f>
        <v>0</v>
      </c>
      <c r="L30" s="106">
        <f>+SUMIFS('Anexo Activos_Depreciaciones'!$AQ:$AQ,'Anexo Activos_Depreciaciones'!$P:$P,'Base de Capital'!$B30,'Anexo Activos_Depreciaciones'!$J:$J,'Base de Capital'!$L$8)</f>
        <v>0</v>
      </c>
      <c r="M30" s="106">
        <f>+SUMIFS('Anexo Activos_Depreciaciones'!$AZ:$AZ,'Anexo Activos_Depreciaciones'!$P:$P,'Base de Capital'!$B30,'Anexo Activos_Depreciaciones'!$K:$K,'Base de Capital'!$M$8)</f>
        <v>0</v>
      </c>
      <c r="N30" s="106"/>
      <c r="O30" s="106">
        <f>+SUMIFS('Anexo Activos_Depreciaciones'!$Z:$Z,'Anexo Activos_Depreciaciones'!$P:$P,'Base de Capital'!$B30,'Anexo Activos_Depreciaciones'!$L:$L,'Base de Capital'!$O$8)</f>
        <v>770837.08</v>
      </c>
      <c r="P30" s="106">
        <f>+SUMIFS('Anexo Activos_Depreciaciones'!$AI:$AI,'Anexo Activos_Depreciaciones'!$P:$P,'Base de Capital'!$B30,'Anexo Activos_Depreciaciones'!$M:$M,'Base de Capital'!$P$8)</f>
        <v>770837.08</v>
      </c>
      <c r="Q30" s="106">
        <f>+SUMIFS('Anexo Activos_Depreciaciones'!$AR:$AR,'Anexo Activos_Depreciaciones'!$P:$P,'Base de Capital'!$B30,'Anexo Activos_Depreciaciones'!$N:$N,'Base de Capital'!$Q$8)</f>
        <v>770837.08</v>
      </c>
      <c r="R30" s="106">
        <f>+SUMIFS('Anexo Activos_Depreciaciones'!$BA:$BA,'Anexo Activos_Depreciaciones'!$P:$P,'Base de Capital'!$B30,'Anexo Activos_Depreciaciones'!$O:$O,'Base de Capital'!$R$8)</f>
        <v>770837.08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2:64" outlineLevel="1" x14ac:dyDescent="0.2">
      <c r="B31" s="28" t="str">
        <f t="shared" si="2"/>
        <v>CONEXIÓNEDIFICIOS Y MEJORAS</v>
      </c>
      <c r="C31" s="28" t="s">
        <v>11</v>
      </c>
      <c r="D31" s="106">
        <f>+SUMIFS('Anexo Activos_Depreciaciones'!$S:$S,'Anexo Activos_Depreciaciones'!$P:$P,'Base de Capital'!$B31,'Anexo Activos_Depreciaciones'!$C:$C,'Base de Capital'!$D$8)</f>
        <v>138192.18</v>
      </c>
      <c r="E31" s="106">
        <f>+SUMIFS('Anexo Activos_Depreciaciones'!$X:$X,'Anexo Activos_Depreciaciones'!$P:$P,'Base de Capital'!$B31,'Anexo Activos_Depreciaciones'!$D:$D,'Base de Capital'!$E$8)</f>
        <v>138192.18</v>
      </c>
      <c r="F31" s="106">
        <f>+SUMIFS('Anexo Activos_Depreciaciones'!$AG:$AG,'Anexo Activos_Depreciaciones'!$P:$P,'Base de Capital'!$B31,'Anexo Activos_Depreciaciones'!$E:$E,'Base de Capital'!$F$8)</f>
        <v>138192.18</v>
      </c>
      <c r="G31" s="106">
        <f>+SUMIFS('Anexo Activos_Depreciaciones'!$AP:$AP,'Anexo Activos_Depreciaciones'!$P:$P,'Base de Capital'!$B31,'Anexo Activos_Depreciaciones'!$F:$F,'Base de Capital'!$G$8)</f>
        <v>138192.18</v>
      </c>
      <c r="H31" s="106">
        <f>+SUMIFS('Anexo Activos_Depreciaciones'!$AY:$AY,'Anexo Activos_Depreciaciones'!$P:$P,'Base de Capital'!$B31,'Anexo Activos_Depreciaciones'!$G:$G,'Base de Capital'!$H$8)</f>
        <v>138192.18</v>
      </c>
      <c r="I31" s="106"/>
      <c r="J31" s="106">
        <f>+SUMIFS('Anexo Activos_Depreciaciones'!$Y:$Y,'Anexo Activos_Depreciaciones'!$P:$P,'Base de Capital'!$B31,'Anexo Activos_Depreciaciones'!$H:$H,'Base de Capital'!$J$8)</f>
        <v>105880.28999999996</v>
      </c>
      <c r="K31" s="106">
        <f>+SUMIFS('Anexo Activos_Depreciaciones'!$AH:$AH,'Anexo Activos_Depreciaciones'!$P:$P,'Base de Capital'!$B31,'Anexo Activos_Depreciaciones'!$I:$I,'Base de Capital'!$K$8)</f>
        <v>109828.57999999996</v>
      </c>
      <c r="L31" s="106">
        <f>+SUMIFS('Anexo Activos_Depreciaciones'!$AQ:$AQ,'Anexo Activos_Depreciaciones'!$P:$P,'Base de Capital'!$B31,'Anexo Activos_Depreciaciones'!$J:$J,'Base de Capital'!$L$8)</f>
        <v>113776.86999999995</v>
      </c>
      <c r="M31" s="106">
        <f>+SUMIFS('Anexo Activos_Depreciaciones'!$AZ:$AZ,'Anexo Activos_Depreciaciones'!$P:$P,'Base de Capital'!$B31,'Anexo Activos_Depreciaciones'!$K:$K,'Base de Capital'!$M$8)</f>
        <v>117725</v>
      </c>
      <c r="N31" s="106"/>
      <c r="O31" s="106">
        <f>+SUMIFS('Anexo Activos_Depreciaciones'!$Z:$Z,'Anexo Activos_Depreciaciones'!$P:$P,'Base de Capital'!$B31,'Anexo Activos_Depreciaciones'!$L:$L,'Base de Capital'!$O$8)</f>
        <v>32311.890000000029</v>
      </c>
      <c r="P31" s="106">
        <f>+SUMIFS('Anexo Activos_Depreciaciones'!$AI:$AI,'Anexo Activos_Depreciaciones'!$P:$P,'Base de Capital'!$B31,'Anexo Activos_Depreciaciones'!$M:$M,'Base de Capital'!$P$8)</f>
        <v>28363.600000000035</v>
      </c>
      <c r="Q31" s="106">
        <f>+SUMIFS('Anexo Activos_Depreciaciones'!$AR:$AR,'Anexo Activos_Depreciaciones'!$P:$P,'Base de Capital'!$B31,'Anexo Activos_Depreciaciones'!$N:$N,'Base de Capital'!$Q$8)</f>
        <v>24415.310000000041</v>
      </c>
      <c r="R31" s="106">
        <f>+SUMIFS('Anexo Activos_Depreciaciones'!$BA:$BA,'Anexo Activos_Depreciaciones'!$P:$P,'Base de Capital'!$B31,'Anexo Activos_Depreciaciones'!$O:$O,'Base de Capital'!$R$8)</f>
        <v>20467.179999999993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2:64" outlineLevel="1" x14ac:dyDescent="0.2">
      <c r="B32" s="28" t="str">
        <f t="shared" si="2"/>
        <v>CONEXIÓNSERVIDUMBRE</v>
      </c>
      <c r="C32" s="28" t="s">
        <v>13</v>
      </c>
      <c r="D32" s="106">
        <f>+SUMIFS('Anexo Activos_Depreciaciones'!$S:$S,'Anexo Activos_Depreciaciones'!$P:$P,'Base de Capital'!$B32,'Anexo Activos_Depreciaciones'!$C:$C,'Base de Capital'!$D$8)</f>
        <v>8591.3799999999992</v>
      </c>
      <c r="E32" s="106">
        <f>+SUMIFS('Anexo Activos_Depreciaciones'!$X:$X,'Anexo Activos_Depreciaciones'!$P:$P,'Base de Capital'!$B32,'Anexo Activos_Depreciaciones'!$D:$D,'Base de Capital'!$E$8)</f>
        <v>8591.3799999999992</v>
      </c>
      <c r="F32" s="106">
        <f>+SUMIFS('Anexo Activos_Depreciaciones'!$AG:$AG,'Anexo Activos_Depreciaciones'!$P:$P,'Base de Capital'!$B32,'Anexo Activos_Depreciaciones'!$E:$E,'Base de Capital'!$F$8)</f>
        <v>8591.3799999999992</v>
      </c>
      <c r="G32" s="106">
        <f>+SUMIFS('Anexo Activos_Depreciaciones'!$AP:$AP,'Anexo Activos_Depreciaciones'!$P:$P,'Base de Capital'!$B32,'Anexo Activos_Depreciaciones'!$F:$F,'Base de Capital'!$G$8)</f>
        <v>8591.3799999999992</v>
      </c>
      <c r="H32" s="106">
        <f>+SUMIFS('Anexo Activos_Depreciaciones'!$AY:$AY,'Anexo Activos_Depreciaciones'!$P:$P,'Base de Capital'!$B32,'Anexo Activos_Depreciaciones'!$G:$G,'Base de Capital'!$H$8)</f>
        <v>8591.3799999999992</v>
      </c>
      <c r="I32" s="106"/>
      <c r="J32" s="106">
        <f>+SUMIFS('Anexo Activos_Depreciaciones'!$Y:$Y,'Anexo Activos_Depreciaciones'!$P:$P,'Base de Capital'!$B32,'Anexo Activos_Depreciaciones'!$H:$H,'Base de Capital'!$J$8)</f>
        <v>2454.6</v>
      </c>
      <c r="K32" s="106">
        <f>+SUMIFS('Anexo Activos_Depreciaciones'!$AH:$AH,'Anexo Activos_Depreciaciones'!$P:$P,'Base de Capital'!$B32,'Anexo Activos_Depreciaciones'!$I:$I,'Base de Capital'!$K$8)</f>
        <v>2700.06</v>
      </c>
      <c r="L32" s="106">
        <f>+SUMIFS('Anexo Activos_Depreciaciones'!$AQ:$AQ,'Anexo Activos_Depreciaciones'!$P:$P,'Base de Capital'!$B32,'Anexo Activos_Depreciaciones'!$J:$J,'Base de Capital'!$L$8)</f>
        <v>2945.52</v>
      </c>
      <c r="M32" s="106">
        <f>+SUMIFS('Anexo Activos_Depreciaciones'!$AZ:$AZ,'Anexo Activos_Depreciaciones'!$P:$P,'Base de Capital'!$B32,'Anexo Activos_Depreciaciones'!$K:$K,'Base de Capital'!$M$8)</f>
        <v>3191</v>
      </c>
      <c r="N32" s="106"/>
      <c r="O32" s="106">
        <f>+SUMIFS('Anexo Activos_Depreciaciones'!$Z:$Z,'Anexo Activos_Depreciaciones'!$P:$P,'Base de Capital'!$B32,'Anexo Activos_Depreciaciones'!$L:$L,'Base de Capital'!$O$8)</f>
        <v>6136.7799999999988</v>
      </c>
      <c r="P32" s="106">
        <f>+SUMIFS('Anexo Activos_Depreciaciones'!$AI:$AI,'Anexo Activos_Depreciaciones'!$P:$P,'Base de Capital'!$B32,'Anexo Activos_Depreciaciones'!$M:$M,'Base de Capital'!$P$8)</f>
        <v>5891.32</v>
      </c>
      <c r="Q32" s="106">
        <f>+SUMIFS('Anexo Activos_Depreciaciones'!$AR:$AR,'Anexo Activos_Depreciaciones'!$P:$P,'Base de Capital'!$B32,'Anexo Activos_Depreciaciones'!$N:$N,'Base de Capital'!$Q$8)</f>
        <v>5645.8599999999988</v>
      </c>
      <c r="R32" s="106">
        <f>+SUMIFS('Anexo Activos_Depreciaciones'!$BA:$BA,'Anexo Activos_Depreciaciones'!$P:$P,'Base de Capital'!$B32,'Anexo Activos_Depreciaciones'!$O:$O,'Base de Capital'!$R$8)</f>
        <v>5400.3799999999992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2:64" outlineLevel="1" x14ac:dyDescent="0.2">
      <c r="B33" s="28" t="str">
        <f t="shared" si="2"/>
        <v>CONEXIÓNEQUIPO ELÉCTRICO AUXILIAR</v>
      </c>
      <c r="C33" s="28" t="s">
        <v>14</v>
      </c>
      <c r="D33" s="106">
        <f>+SUMIFS('Anexo Activos_Depreciaciones'!$S:$S,'Anexo Activos_Depreciaciones'!$P:$P,'Base de Capital'!$B33,'Anexo Activos_Depreciaciones'!$C:$C,'Base de Capital'!$D$8)</f>
        <v>219682.02</v>
      </c>
      <c r="E33" s="106">
        <f>+SUMIFS('Anexo Activos_Depreciaciones'!$X:$X,'Anexo Activos_Depreciaciones'!$P:$P,'Base de Capital'!$B33,'Anexo Activos_Depreciaciones'!$D:$D,'Base de Capital'!$E$8)</f>
        <v>219682.02</v>
      </c>
      <c r="F33" s="106">
        <f>+SUMIFS('Anexo Activos_Depreciaciones'!$AG:$AG,'Anexo Activos_Depreciaciones'!$P:$P,'Base de Capital'!$B33,'Anexo Activos_Depreciaciones'!$E:$E,'Base de Capital'!$F$8)</f>
        <v>219682.02</v>
      </c>
      <c r="G33" s="106">
        <f>+SUMIFS('Anexo Activos_Depreciaciones'!$AP:$AP,'Anexo Activos_Depreciaciones'!$P:$P,'Base de Capital'!$B33,'Anexo Activos_Depreciaciones'!$F:$F,'Base de Capital'!$G$8)</f>
        <v>219682.02</v>
      </c>
      <c r="H33" s="106">
        <f>+SUMIFS('Anexo Activos_Depreciaciones'!$AY:$AY,'Anexo Activos_Depreciaciones'!$P:$P,'Base de Capital'!$B33,'Anexo Activos_Depreciaciones'!$G:$G,'Base de Capital'!$H$8)</f>
        <v>219682.02</v>
      </c>
      <c r="I33" s="106"/>
      <c r="J33" s="106">
        <f>+SUMIFS('Anexo Activos_Depreciaciones'!$Y:$Y,'Anexo Activos_Depreciaciones'!$P:$P,'Base de Capital'!$B33,'Anexo Activos_Depreciaciones'!$H:$H,'Base de Capital'!$J$8)</f>
        <v>140068.86999999997</v>
      </c>
      <c r="K33" s="106">
        <f>+SUMIFS('Anexo Activos_Depreciaciones'!$AH:$AH,'Anexo Activos_Depreciaciones'!$P:$P,'Base de Capital'!$B33,'Anexo Activos_Depreciaciones'!$I:$I,'Base de Capital'!$K$8)</f>
        <v>146345.35999999996</v>
      </c>
      <c r="L33" s="106">
        <f>+SUMIFS('Anexo Activos_Depreciaciones'!$AQ:$AQ,'Anexo Activos_Depreciaciones'!$P:$P,'Base de Capital'!$B33,'Anexo Activos_Depreciaciones'!$J:$J,'Base de Capital'!$L$8)</f>
        <v>152621.84999999995</v>
      </c>
      <c r="M33" s="106">
        <f>+SUMIFS('Anexo Activos_Depreciaciones'!$AZ:$AZ,'Anexo Activos_Depreciaciones'!$P:$P,'Base de Capital'!$B33,'Anexo Activos_Depreciaciones'!$K:$K,'Base de Capital'!$M$8)</f>
        <v>158898</v>
      </c>
      <c r="N33" s="106"/>
      <c r="O33" s="106">
        <f>+SUMIFS('Anexo Activos_Depreciaciones'!$Z:$Z,'Anexo Activos_Depreciaciones'!$P:$P,'Base de Capital'!$B33,'Anexo Activos_Depreciaciones'!$L:$L,'Base de Capital'!$O$8)</f>
        <v>79613.150000000023</v>
      </c>
      <c r="P33" s="106">
        <f>+SUMIFS('Anexo Activos_Depreciaciones'!$AI:$AI,'Anexo Activos_Depreciaciones'!$P:$P,'Base de Capital'!$B33,'Anexo Activos_Depreciaciones'!$M:$M,'Base de Capital'!$P$8)</f>
        <v>73336.660000000033</v>
      </c>
      <c r="Q33" s="106">
        <f>+SUMIFS('Anexo Activos_Depreciaciones'!$AR:$AR,'Anexo Activos_Depreciaciones'!$P:$P,'Base de Capital'!$B33,'Anexo Activos_Depreciaciones'!$N:$N,'Base de Capital'!$Q$8)</f>
        <v>67060.170000000042</v>
      </c>
      <c r="R33" s="106">
        <f>+SUMIFS('Anexo Activos_Depreciaciones'!$BA:$BA,'Anexo Activos_Depreciaciones'!$P:$P,'Base de Capital'!$B33,'Anexo Activos_Depreciaciones'!$O:$O,'Base de Capital'!$R$8)</f>
        <v>60784.01999999999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2:64" outlineLevel="1" x14ac:dyDescent="0.2">
      <c r="B34" s="28" t="str">
        <f t="shared" si="2"/>
        <v>CONEXIÓNEQUIPO DE SUBESTACIONES</v>
      </c>
      <c r="C34" s="28" t="s">
        <v>16</v>
      </c>
      <c r="D34" s="106">
        <f>+SUMIFS('Anexo Activos_Depreciaciones'!$S:$S,'Anexo Activos_Depreciaciones'!$P:$P,'Base de Capital'!$B34,'Anexo Activos_Depreciaciones'!$C:$C,'Base de Capital'!$D$8)</f>
        <v>5518751.9299999997</v>
      </c>
      <c r="E34" s="106">
        <f>+SUMIFS('Anexo Activos_Depreciaciones'!$X:$X,'Anexo Activos_Depreciaciones'!$P:$P,'Base de Capital'!$B34,'Anexo Activos_Depreciaciones'!$D:$D,'Base de Capital'!$E$8)</f>
        <v>5518751.9299999997</v>
      </c>
      <c r="F34" s="106">
        <f>+SUMIFS('Anexo Activos_Depreciaciones'!$AG:$AG,'Anexo Activos_Depreciaciones'!$P:$P,'Base de Capital'!$B34,'Anexo Activos_Depreciaciones'!$E:$E,'Base de Capital'!$F$8)</f>
        <v>6058718.1199999992</v>
      </c>
      <c r="G34" s="106">
        <f>+SUMIFS('Anexo Activos_Depreciaciones'!$AP:$AP,'Anexo Activos_Depreciaciones'!$P:$P,'Base de Capital'!$B34,'Anexo Activos_Depreciaciones'!$F:$F,'Base de Capital'!$G$8)</f>
        <v>6058718.1199999992</v>
      </c>
      <c r="H34" s="106">
        <f>+SUMIFS('Anexo Activos_Depreciaciones'!$AY:$AY,'Anexo Activos_Depreciaciones'!$P:$P,'Base de Capital'!$B34,'Anexo Activos_Depreciaciones'!$G:$G,'Base de Capital'!$H$8)</f>
        <v>6370591.1199999992</v>
      </c>
      <c r="I34" s="106"/>
      <c r="J34" s="106">
        <f>+SUMIFS('Anexo Activos_Depreciaciones'!$Y:$Y,'Anexo Activos_Depreciaciones'!$P:$P,'Base de Capital'!$B34,'Anexo Activos_Depreciaciones'!$H:$H,'Base de Capital'!$J$8)</f>
        <v>3823560.44</v>
      </c>
      <c r="K34" s="106">
        <f>+SUMIFS('Anexo Activos_Depreciaciones'!$AH:$AH,'Anexo Activos_Depreciaciones'!$P:$P,'Base de Capital'!$B34,'Anexo Activos_Depreciaciones'!$I:$I,'Base de Capital'!$K$8)</f>
        <v>3997406.52</v>
      </c>
      <c r="L34" s="106">
        <f>+SUMIFS('Anexo Activos_Depreciaciones'!$AQ:$AQ,'Anexo Activos_Depreciaciones'!$P:$P,'Base de Capital'!$B34,'Anexo Activos_Depreciaciones'!$J:$J,'Base de Capital'!$L$8)</f>
        <v>4170511.45</v>
      </c>
      <c r="M34" s="106">
        <f>+SUMIFS('Anexo Activos_Depreciaciones'!$AZ:$AZ,'Anexo Activos_Depreciaciones'!$P:$P,'Base de Capital'!$B34,'Anexo Activos_Depreciaciones'!$K:$K,'Base de Capital'!$M$8)</f>
        <v>4360695</v>
      </c>
      <c r="N34" s="106"/>
      <c r="O34" s="106">
        <f>+SUMIFS('Anexo Activos_Depreciaciones'!$Z:$Z,'Anexo Activos_Depreciaciones'!$P:$P,'Base de Capital'!$B34,'Anexo Activos_Depreciaciones'!$L:$L,'Base de Capital'!$O$8)</f>
        <v>1695191.4899999998</v>
      </c>
      <c r="P34" s="106">
        <f>+SUMIFS('Anexo Activos_Depreciaciones'!$AI:$AI,'Anexo Activos_Depreciaciones'!$P:$P,'Base de Capital'!$B34,'Anexo Activos_Depreciaciones'!$M:$M,'Base de Capital'!$P$8)</f>
        <v>2061311.5999999992</v>
      </c>
      <c r="Q34" s="106">
        <f>+SUMIFS('Anexo Activos_Depreciaciones'!$AR:$AR,'Anexo Activos_Depreciaciones'!$P:$P,'Base de Capital'!$B34,'Anexo Activos_Depreciaciones'!$N:$N,'Base de Capital'!$Q$8)</f>
        <v>1888206.669999999</v>
      </c>
      <c r="R34" s="106">
        <f>+SUMIFS('Anexo Activos_Depreciaciones'!$BA:$BA,'Anexo Activos_Depreciaciones'!$P:$P,'Base de Capital'!$B34,'Anexo Activos_Depreciaciones'!$O:$O,'Base de Capital'!$R$8)</f>
        <v>2009896.1199999992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2:64" outlineLevel="1" x14ac:dyDescent="0.2">
      <c r="B35" s="28" t="str">
        <f t="shared" si="2"/>
        <v>CONEXIÓNTORRES Y ACCESORIOS</v>
      </c>
      <c r="C35" s="28" t="s">
        <v>17</v>
      </c>
      <c r="D35" s="106">
        <f>+SUMIFS('Anexo Activos_Depreciaciones'!$S:$S,'Anexo Activos_Depreciaciones'!$P:$P,'Base de Capital'!$B35,'Anexo Activos_Depreciaciones'!$C:$C,'Base de Capital'!$D$8)</f>
        <v>2037750.78</v>
      </c>
      <c r="E35" s="106">
        <f>+SUMIFS('Anexo Activos_Depreciaciones'!$X:$X,'Anexo Activos_Depreciaciones'!$P:$P,'Base de Capital'!$B35,'Anexo Activos_Depreciaciones'!$D:$D,'Base de Capital'!$E$8)</f>
        <v>2037750.78</v>
      </c>
      <c r="F35" s="106">
        <f>+SUMIFS('Anexo Activos_Depreciaciones'!$AG:$AG,'Anexo Activos_Depreciaciones'!$P:$P,'Base de Capital'!$B35,'Anexo Activos_Depreciaciones'!$E:$E,'Base de Capital'!$F$8)</f>
        <v>2037750.78</v>
      </c>
      <c r="G35" s="106">
        <f>+SUMIFS('Anexo Activos_Depreciaciones'!$AP:$AP,'Anexo Activos_Depreciaciones'!$P:$P,'Base de Capital'!$B35,'Anexo Activos_Depreciaciones'!$F:$F,'Base de Capital'!$G$8)</f>
        <v>2037750.78</v>
      </c>
      <c r="H35" s="106">
        <f>+SUMIFS('Anexo Activos_Depreciaciones'!$AY:$AY,'Anexo Activos_Depreciaciones'!$P:$P,'Base de Capital'!$B35,'Anexo Activos_Depreciaciones'!$G:$G,'Base de Capital'!$H$8)</f>
        <v>2037750.78</v>
      </c>
      <c r="I35" s="106"/>
      <c r="J35" s="106">
        <f>+SUMIFS('Anexo Activos_Depreciaciones'!$Y:$Y,'Anexo Activos_Depreciaciones'!$P:$P,'Base de Capital'!$B35,'Anexo Activos_Depreciaciones'!$H:$H,'Base de Capital'!$J$8)</f>
        <v>1688098.7300000004</v>
      </c>
      <c r="K35" s="106">
        <f>+SUMIFS('Anexo Activos_Depreciaciones'!$AH:$AH,'Anexo Activos_Depreciaciones'!$P:$P,'Base de Capital'!$B35,'Anexo Activos_Depreciaciones'!$I:$I,'Base de Capital'!$K$8)</f>
        <v>1739042.0600000005</v>
      </c>
      <c r="L35" s="106">
        <f>+SUMIFS('Anexo Activos_Depreciaciones'!$AQ:$AQ,'Anexo Activos_Depreciaciones'!$P:$P,'Base de Capital'!$B35,'Anexo Activos_Depreciaciones'!$J:$J,'Base de Capital'!$L$8)</f>
        <v>1789985.3900000006</v>
      </c>
      <c r="M35" s="106">
        <f>+SUMIFS('Anexo Activos_Depreciaciones'!$AZ:$AZ,'Anexo Activos_Depreciaciones'!$P:$P,'Base de Capital'!$B35,'Anexo Activos_Depreciaciones'!$K:$K,'Base de Capital'!$M$8)</f>
        <v>1840928.5</v>
      </c>
      <c r="N35" s="106"/>
      <c r="O35" s="106">
        <f>+SUMIFS('Anexo Activos_Depreciaciones'!$Z:$Z,'Anexo Activos_Depreciaciones'!$P:$P,'Base de Capital'!$B35,'Anexo Activos_Depreciaciones'!$L:$L,'Base de Capital'!$O$8)</f>
        <v>349652.04999999958</v>
      </c>
      <c r="P35" s="106">
        <f>+SUMIFS('Anexo Activos_Depreciaciones'!$AI:$AI,'Anexo Activos_Depreciaciones'!$P:$P,'Base de Capital'!$B35,'Anexo Activos_Depreciaciones'!$M:$M,'Base de Capital'!$P$8)</f>
        <v>298708.71999999951</v>
      </c>
      <c r="Q35" s="106">
        <f>+SUMIFS('Anexo Activos_Depreciaciones'!$AR:$AR,'Anexo Activos_Depreciaciones'!$P:$P,'Base de Capital'!$B35,'Anexo Activos_Depreciaciones'!$N:$N,'Base de Capital'!$Q$8)</f>
        <v>247765.38999999943</v>
      </c>
      <c r="R35" s="106">
        <f>+SUMIFS('Anexo Activos_Depreciaciones'!$BA:$BA,'Anexo Activos_Depreciaciones'!$P:$P,'Base de Capital'!$B35,'Anexo Activos_Depreciaciones'!$O:$O,'Base de Capital'!$R$8)</f>
        <v>196822.28000000003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2:64" outlineLevel="1" x14ac:dyDescent="0.2">
      <c r="B36" s="28" t="str">
        <f t="shared" si="2"/>
        <v>CONEXIÓNCONDUCTORES AÉREOS Y ACCESORIOS</v>
      </c>
      <c r="C36" s="28" t="s">
        <v>18</v>
      </c>
      <c r="D36" s="106">
        <f>+SUMIFS('Anexo Activos_Depreciaciones'!$S:$S,'Anexo Activos_Depreciaciones'!$P:$P,'Base de Capital'!$B36,'Anexo Activos_Depreciaciones'!$C:$C,'Base de Capital'!$D$8)</f>
        <v>407101.57</v>
      </c>
      <c r="E36" s="106">
        <f>+SUMIFS('Anexo Activos_Depreciaciones'!$X:$X,'Anexo Activos_Depreciaciones'!$P:$P,'Base de Capital'!$B36,'Anexo Activos_Depreciaciones'!$D:$D,'Base de Capital'!$E$8)</f>
        <v>407101.57</v>
      </c>
      <c r="F36" s="106">
        <f>+SUMIFS('Anexo Activos_Depreciaciones'!$AG:$AG,'Anexo Activos_Depreciaciones'!$P:$P,'Base de Capital'!$B36,'Anexo Activos_Depreciaciones'!$E:$E,'Base de Capital'!$F$8)</f>
        <v>407101.57</v>
      </c>
      <c r="G36" s="106">
        <f>+SUMIFS('Anexo Activos_Depreciaciones'!$AP:$AP,'Anexo Activos_Depreciaciones'!$P:$P,'Base de Capital'!$B36,'Anexo Activos_Depreciaciones'!$F:$F,'Base de Capital'!$G$8)</f>
        <v>407101.57</v>
      </c>
      <c r="H36" s="106">
        <f>+SUMIFS('Anexo Activos_Depreciaciones'!$AY:$AY,'Anexo Activos_Depreciaciones'!$P:$P,'Base de Capital'!$B36,'Anexo Activos_Depreciaciones'!$G:$G,'Base de Capital'!$H$8)</f>
        <v>799150.57000000007</v>
      </c>
      <c r="I36" s="106"/>
      <c r="J36" s="106">
        <f>+SUMIFS('Anexo Activos_Depreciaciones'!$Y:$Y,'Anexo Activos_Depreciaciones'!$P:$P,'Base de Capital'!$B36,'Anexo Activos_Depreciaciones'!$H:$H,'Base de Capital'!$J$8)</f>
        <v>359263.09</v>
      </c>
      <c r="K36" s="106">
        <f>+SUMIFS('Anexo Activos_Depreciaciones'!$AH:$AH,'Anexo Activos_Depreciaciones'!$P:$P,'Base de Capital'!$B36,'Anexo Activos_Depreciaciones'!$I:$I,'Base de Capital'!$K$8)</f>
        <v>369842.19</v>
      </c>
      <c r="L36" s="106">
        <f>+SUMIFS('Anexo Activos_Depreciaciones'!$AQ:$AQ,'Anexo Activos_Depreciaciones'!$P:$P,'Base de Capital'!$B36,'Anexo Activos_Depreciaciones'!$J:$J,'Base de Capital'!$L$8)</f>
        <v>375074.05</v>
      </c>
      <c r="M36" s="106">
        <f>+SUMIFS('Anexo Activos_Depreciaciones'!$AZ:$AZ,'Anexo Activos_Depreciaciones'!$P:$P,'Base de Capital'!$B36,'Anexo Activos_Depreciaciones'!$K:$K,'Base de Capital'!$M$8)</f>
        <v>401456</v>
      </c>
      <c r="N36" s="106"/>
      <c r="O36" s="106">
        <f>+SUMIFS('Anexo Activos_Depreciaciones'!$Z:$Z,'Anexo Activos_Depreciaciones'!$P:$P,'Base de Capital'!$B36,'Anexo Activos_Depreciaciones'!$L:$L,'Base de Capital'!$O$8)</f>
        <v>47838.479999999981</v>
      </c>
      <c r="P36" s="106">
        <f>+SUMIFS('Anexo Activos_Depreciaciones'!$AI:$AI,'Anexo Activos_Depreciaciones'!$P:$P,'Base de Capital'!$B36,'Anexo Activos_Depreciaciones'!$M:$M,'Base de Capital'!$P$8)</f>
        <v>37259.380000000005</v>
      </c>
      <c r="Q36" s="106">
        <f>+SUMIFS('Anexo Activos_Depreciaciones'!$AR:$AR,'Anexo Activos_Depreciaciones'!$P:$P,'Base de Capital'!$B36,'Anexo Activos_Depreciaciones'!$N:$N,'Base de Capital'!$Q$8)</f>
        <v>32027.520000000019</v>
      </c>
      <c r="R36" s="106">
        <f>+SUMIFS('Anexo Activos_Depreciaciones'!$BA:$BA,'Anexo Activos_Depreciaciones'!$P:$P,'Base de Capital'!$B36,'Anexo Activos_Depreciaciones'!$O:$O,'Base de Capital'!$R$8)</f>
        <v>397694.57000000007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2:64" outlineLevel="1" x14ac:dyDescent="0.2">
      <c r="B37" s="28" t="str">
        <f t="shared" si="2"/>
        <v>CONEXIÓNTRANSFORMADORES DE LÍNEAS</v>
      </c>
      <c r="C37" s="28" t="s">
        <v>21</v>
      </c>
      <c r="D37" s="106">
        <f>+SUMIFS('Anexo Activos_Depreciaciones'!$S:$S,'Anexo Activos_Depreciaciones'!$P:$P,'Base de Capital'!$B37,'Anexo Activos_Depreciaciones'!$C:$C,'Base de Capital'!$D$8)</f>
        <v>12821847.01</v>
      </c>
      <c r="E37" s="106">
        <f>+SUMIFS('Anexo Activos_Depreciaciones'!$X:$X,'Anexo Activos_Depreciaciones'!$P:$P,'Base de Capital'!$B37,'Anexo Activos_Depreciaciones'!$D:$D,'Base de Capital'!$E$8)</f>
        <v>19703625.669999998</v>
      </c>
      <c r="F37" s="106">
        <f>+SUMIFS('Anexo Activos_Depreciaciones'!$AG:$AG,'Anexo Activos_Depreciaciones'!$P:$P,'Base de Capital'!$B37,'Anexo Activos_Depreciaciones'!$E:$E,'Base de Capital'!$F$8)</f>
        <v>19353808.18</v>
      </c>
      <c r="G37" s="106">
        <f>+SUMIFS('Anexo Activos_Depreciaciones'!$AP:$AP,'Anexo Activos_Depreciaciones'!$P:$P,'Base de Capital'!$B37,'Anexo Activos_Depreciaciones'!$F:$F,'Base de Capital'!$G$8)</f>
        <v>19353808.18</v>
      </c>
      <c r="H37" s="106">
        <f>+SUMIFS('Anexo Activos_Depreciaciones'!$AY:$AY,'Anexo Activos_Depreciaciones'!$P:$P,'Base de Capital'!$B37,'Anexo Activos_Depreciaciones'!$G:$G,'Base de Capital'!$H$8)</f>
        <v>19353808.18</v>
      </c>
      <c r="I37" s="106"/>
      <c r="J37" s="106">
        <f>+SUMIFS('Anexo Activos_Depreciaciones'!$Y:$Y,'Anexo Activos_Depreciaciones'!$P:$P,'Base de Capital'!$B37,'Anexo Activos_Depreciaciones'!$H:$H,'Base de Capital'!$J$8)</f>
        <v>7333925.79</v>
      </c>
      <c r="K37" s="106">
        <f>+SUMIFS('Anexo Activos_Depreciaciones'!$AH:$AH,'Anexo Activos_Depreciaciones'!$P:$P,'Base de Capital'!$B37,'Anexo Activos_Depreciaciones'!$I:$I,'Base de Capital'!$K$8)</f>
        <v>7743671.3100000005</v>
      </c>
      <c r="L37" s="106">
        <f>+SUMIFS('Anexo Activos_Depreciaciones'!$AQ:$AQ,'Anexo Activos_Depreciaciones'!$P:$P,'Base de Capital'!$B37,'Anexo Activos_Depreciaciones'!$J:$J,'Base de Capital'!$L$8)</f>
        <v>8154249.7500000009</v>
      </c>
      <c r="M37" s="106">
        <f>+SUMIFS('Anexo Activos_Depreciaciones'!$AZ:$AZ,'Anexo Activos_Depreciaciones'!$P:$P,'Base de Capital'!$B37,'Anexo Activos_Depreciaciones'!$K:$K,'Base de Capital'!$M$8)</f>
        <v>8564828</v>
      </c>
      <c r="N37" s="106"/>
      <c r="O37" s="106">
        <f>+SUMIFS('Anexo Activos_Depreciaciones'!$Z:$Z,'Anexo Activos_Depreciaciones'!$P:$P,'Base de Capital'!$B37,'Anexo Activos_Depreciaciones'!$L:$L,'Base de Capital'!$O$8)</f>
        <v>12369699.879999999</v>
      </c>
      <c r="P37" s="106">
        <f>+SUMIFS('Anexo Activos_Depreciaciones'!$AI:$AI,'Anexo Activos_Depreciaciones'!$P:$P,'Base de Capital'!$B37,'Anexo Activos_Depreciaciones'!$M:$M,'Base de Capital'!$P$8)</f>
        <v>11610136.869999999</v>
      </c>
      <c r="Q37" s="106">
        <f>+SUMIFS('Anexo Activos_Depreciaciones'!$AR:$AR,'Anexo Activos_Depreciaciones'!$P:$P,'Base de Capital'!$B37,'Anexo Activos_Depreciaciones'!$N:$N,'Base de Capital'!$Q$8)</f>
        <v>11199558.43</v>
      </c>
      <c r="R37" s="106">
        <f>+SUMIFS('Anexo Activos_Depreciaciones'!$BA:$BA,'Anexo Activos_Depreciaciones'!$P:$P,'Base de Capital'!$B37,'Anexo Activos_Depreciaciones'!$O:$O,'Base de Capital'!$R$8)</f>
        <v>10788980.18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2:64" outlineLevel="1" x14ac:dyDescent="0.2">
      <c r="B38" s="28" t="str">
        <f t="shared" si="2"/>
        <v>CONEXIÓNEQUIPO DE PROTECCIÓN, CONTROL Y</v>
      </c>
      <c r="C38" s="28" t="s">
        <v>22</v>
      </c>
      <c r="D38" s="106">
        <f>+SUMIFS('Anexo Activos_Depreciaciones'!$S:$S,'Anexo Activos_Depreciaciones'!$P:$P,'Base de Capital'!$B38,'Anexo Activos_Depreciaciones'!$C:$C,'Base de Capital'!$D$8)</f>
        <v>161016.65</v>
      </c>
      <c r="E38" s="106">
        <f>+SUMIFS('Anexo Activos_Depreciaciones'!$X:$X,'Anexo Activos_Depreciaciones'!$P:$P,'Base de Capital'!$B38,'Anexo Activos_Depreciaciones'!$D:$D,'Base de Capital'!$E$8)</f>
        <v>161016.65</v>
      </c>
      <c r="F38" s="106">
        <f>+SUMIFS('Anexo Activos_Depreciaciones'!$AG:$AG,'Anexo Activos_Depreciaciones'!$P:$P,'Base de Capital'!$B38,'Anexo Activos_Depreciaciones'!$E:$E,'Base de Capital'!$F$8)</f>
        <v>161016.65</v>
      </c>
      <c r="G38" s="106">
        <f>+SUMIFS('Anexo Activos_Depreciaciones'!$AP:$AP,'Anexo Activos_Depreciaciones'!$P:$P,'Base de Capital'!$B38,'Anexo Activos_Depreciaciones'!$F:$F,'Base de Capital'!$G$8)</f>
        <v>161016.65</v>
      </c>
      <c r="H38" s="106">
        <f>+SUMIFS('Anexo Activos_Depreciaciones'!$AY:$AY,'Anexo Activos_Depreciaciones'!$P:$P,'Base de Capital'!$B38,'Anexo Activos_Depreciaciones'!$G:$G,'Base de Capital'!$H$8)</f>
        <v>612014.245</v>
      </c>
      <c r="I38" s="106"/>
      <c r="J38" s="106">
        <f>+SUMIFS('Anexo Activos_Depreciaciones'!$Y:$Y,'Anexo Activos_Depreciaciones'!$P:$P,'Base de Capital'!$B38,'Anexo Activos_Depreciaciones'!$H:$H,'Base de Capital'!$J$8)</f>
        <v>161016.65000000002</v>
      </c>
      <c r="K38" s="106">
        <f>+SUMIFS('Anexo Activos_Depreciaciones'!$AH:$AH,'Anexo Activos_Depreciaciones'!$P:$P,'Base de Capital'!$B38,'Anexo Activos_Depreciaciones'!$I:$I,'Base de Capital'!$K$8)</f>
        <v>161016.65000000002</v>
      </c>
      <c r="L38" s="106">
        <f>+SUMIFS('Anexo Activos_Depreciaciones'!$AQ:$AQ,'Anexo Activos_Depreciaciones'!$P:$P,'Base de Capital'!$B38,'Anexo Activos_Depreciaciones'!$J:$J,'Base de Capital'!$L$8)</f>
        <v>161016.65000000002</v>
      </c>
      <c r="M38" s="106">
        <f>+SUMIFS('Anexo Activos_Depreciaciones'!$AZ:$AZ,'Anexo Activos_Depreciaciones'!$P:$P,'Base de Capital'!$B38,'Anexo Activos_Depreciaciones'!$K:$K,'Base de Capital'!$M$8)</f>
        <v>246704</v>
      </c>
      <c r="N38" s="106"/>
      <c r="O38" s="106">
        <f>+SUMIFS('Anexo Activos_Depreciaciones'!$Z:$Z,'Anexo Activos_Depreciaciones'!$P:$P,'Base de Capital'!$B38,'Anexo Activos_Depreciaciones'!$L:$L,'Base de Capital'!$O$8)</f>
        <v>0</v>
      </c>
      <c r="P38" s="106">
        <f>+SUMIFS('Anexo Activos_Depreciaciones'!$AI:$AI,'Anexo Activos_Depreciaciones'!$P:$P,'Base de Capital'!$B38,'Anexo Activos_Depreciaciones'!$M:$M,'Base de Capital'!$P$8)</f>
        <v>0</v>
      </c>
      <c r="Q38" s="106">
        <f>+SUMIFS('Anexo Activos_Depreciaciones'!$AR:$AR,'Anexo Activos_Depreciaciones'!$P:$P,'Base de Capital'!$B38,'Anexo Activos_Depreciaciones'!$N:$N,'Base de Capital'!$Q$8)</f>
        <v>0</v>
      </c>
      <c r="R38" s="106">
        <f>+SUMIFS('Anexo Activos_Depreciaciones'!$BA:$BA,'Anexo Activos_Depreciaciones'!$P:$P,'Base de Capital'!$B38,'Anexo Activos_Depreciaciones'!$O:$O,'Base de Capital'!$R$8)</f>
        <v>365310.245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2:64" s="55" customFormat="1" x14ac:dyDescent="0.2">
      <c r="B39" s="55" t="str">
        <f t="shared" si="2"/>
        <v>CONEXIÓNSUB TOTAL</v>
      </c>
      <c r="C39" s="55" t="s">
        <v>25</v>
      </c>
      <c r="D39" s="77">
        <f>+SUMIFS('Anexo Activos_Depreciaciones'!$S:$S,'Anexo Activos_Depreciaciones'!$P:$P,'Base de Capital'!$B39,'Anexo Activos_Depreciaciones'!$C:$C,'Base de Capital'!$D$8)</f>
        <v>22083770.599999998</v>
      </c>
      <c r="E39" s="77">
        <f>+SUMIFS('Anexo Activos_Depreciaciones'!$X:$X,'Anexo Activos_Depreciaciones'!$P:$P,'Base de Capital'!$B39,'Anexo Activos_Depreciaciones'!$D:$D,'Base de Capital'!$E$8)</f>
        <v>28965549.259999998</v>
      </c>
      <c r="F39" s="77">
        <f>+SUMIFS('Anexo Activos_Depreciaciones'!$AG:$AG,'Anexo Activos_Depreciaciones'!$P:$P,'Base de Capital'!$B39,'Anexo Activos_Depreciaciones'!$E:$E,'Base de Capital'!$F$8)</f>
        <v>29155697.959999997</v>
      </c>
      <c r="G39" s="77">
        <f>+SUMIFS('Anexo Activos_Depreciaciones'!$AP:$AP,'Anexo Activos_Depreciaciones'!$P:$P,'Base de Capital'!$B39,'Anexo Activos_Depreciaciones'!$F:$F,'Base de Capital'!$G$8)</f>
        <v>29155697.959999997</v>
      </c>
      <c r="H39" s="77">
        <f>+SUMIFS('Anexo Activos_Depreciaciones'!$AY:$AY,'Anexo Activos_Depreciaciones'!$P:$P,'Base de Capital'!$B39,'Anexo Activos_Depreciaciones'!$G:$G,'Base de Capital'!$H$8)</f>
        <v>30496959.555</v>
      </c>
      <c r="I39" s="77"/>
      <c r="J39" s="77">
        <f>+SUMIFS('Anexo Activos_Depreciaciones'!$Y:$Y,'Anexo Activos_Depreciaciones'!$P:$P,'Base de Capital'!$B39,'Anexo Activos_Depreciaciones'!$H:$H,'Base de Capital'!$J$8)</f>
        <v>13614268.459999999</v>
      </c>
      <c r="K39" s="77">
        <f>+SUMIFS('Anexo Activos_Depreciaciones'!$AH:$AH,'Anexo Activos_Depreciaciones'!$P:$P,'Base de Capital'!$B39,'Anexo Activos_Depreciaciones'!$I:$I,'Base de Capital'!$K$8)</f>
        <v>14269852.730000002</v>
      </c>
      <c r="L39" s="77">
        <f>+SUMIFS('Anexo Activos_Depreciaciones'!$AQ:$AQ,'Anexo Activos_Depreciaciones'!$P:$P,'Base de Capital'!$B39,'Anexo Activos_Depreciaciones'!$J:$J,'Base de Capital'!$L$8)</f>
        <v>14920181.530000003</v>
      </c>
      <c r="M39" s="77">
        <f>+SUMIFS('Anexo Activos_Depreciaciones'!$AZ:$AZ,'Anexo Activos_Depreciaciones'!$P:$P,'Base de Capital'!$B39,'Anexo Activos_Depreciaciones'!$K:$K,'Base de Capital'!$M$8)</f>
        <v>15730141.07</v>
      </c>
      <c r="N39" s="77"/>
      <c r="O39" s="77">
        <f>+SUMIFS('Anexo Activos_Depreciaciones'!$Z:$Z,'Anexo Activos_Depreciaciones'!$P:$P,'Base de Capital'!$B39,'Anexo Activos_Depreciaciones'!$L:$L,'Base de Capital'!$O$8)</f>
        <v>15351280.799999999</v>
      </c>
      <c r="P39" s="77">
        <f>+SUMIFS('Anexo Activos_Depreciaciones'!$AI:$AI,'Anexo Activos_Depreciaciones'!$P:$P,'Base de Capital'!$B39,'Anexo Activos_Depreciaciones'!$M:$M,'Base de Capital'!$P$8)</f>
        <v>14885845.229999997</v>
      </c>
      <c r="Q39" s="77">
        <f>+SUMIFS('Anexo Activos_Depreciaciones'!$AR:$AR,'Anexo Activos_Depreciaciones'!$P:$P,'Base de Capital'!$B39,'Anexo Activos_Depreciaciones'!$N:$N,'Base de Capital'!$Q$8)</f>
        <v>14235516.429999998</v>
      </c>
      <c r="R39" s="77">
        <f>+SUMIFS('Anexo Activos_Depreciaciones'!$BA:$BA,'Anexo Activos_Depreciaciones'!$P:$P,'Base de Capital'!$B39,'Anexo Activos_Depreciaciones'!$O:$O,'Base de Capital'!$R$8)</f>
        <v>14766818.484999999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</row>
    <row r="40" spans="2:64" x14ac:dyDescent="0.2">
      <c r="C40" s="29"/>
      <c r="D40" s="78"/>
      <c r="E40" s="78"/>
      <c r="F40" s="78"/>
      <c r="G40" s="78"/>
      <c r="H40" s="78"/>
      <c r="I40" s="76"/>
      <c r="J40" s="78"/>
      <c r="K40" s="78"/>
      <c r="L40" s="78"/>
      <c r="M40" s="78"/>
      <c r="N40" s="78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</row>
    <row r="41" spans="2:64" s="94" customFormat="1" x14ac:dyDescent="0.2">
      <c r="C41" s="95" t="s">
        <v>27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</row>
    <row r="42" spans="2:64" outlineLevel="1" x14ac:dyDescent="0.2">
      <c r="B42" s="28" t="str">
        <f t="shared" ref="B42:B49" si="3">+CONCATENATE($C$41,C42)</f>
        <v>CENTRO NACIONAL DE DESPACHOEDIFICIOS Y MEJORAS</v>
      </c>
      <c r="C42" s="28" t="s">
        <v>11</v>
      </c>
      <c r="D42" s="106">
        <f>+SUMIFS('Anexo Activos_Depreciaciones'!$S:$S,'Anexo Activos_Depreciaciones'!$P:$P,'Base de Capital'!$B42,'Anexo Activos_Depreciaciones'!$C:$C,'Base de Capital'!$D$8)</f>
        <v>1421893.43</v>
      </c>
      <c r="E42" s="106">
        <f>+SUMIFS('Anexo Activos_Depreciaciones'!$X:$X,'Anexo Activos_Depreciaciones'!$P:$P,'Base de Capital'!$B42,'Anexo Activos_Depreciaciones'!$D:$D,'Base de Capital'!$E$8)</f>
        <v>1695673.2899999998</v>
      </c>
      <c r="F42" s="106">
        <f>+SUMIFS('Anexo Activos_Depreciaciones'!$AG:$AG,'Anexo Activos_Depreciaciones'!$P:$P,'Base de Capital'!$B42,'Anexo Activos_Depreciaciones'!$E:$E,'Base de Capital'!$F$8)</f>
        <v>1695673.2899999998</v>
      </c>
      <c r="G42" s="106">
        <f>+SUMIFS('Anexo Activos_Depreciaciones'!$AP:$AP,'Anexo Activos_Depreciaciones'!$P:$P,'Base de Capital'!$B42,'Anexo Activos_Depreciaciones'!$F:$F,'Base de Capital'!$G$8)</f>
        <v>1695673.2899999998</v>
      </c>
      <c r="H42" s="106">
        <f>+SUMIFS('Anexo Activos_Depreciaciones'!$AY:$AY,'Anexo Activos_Depreciaciones'!$P:$P,'Base de Capital'!$B42,'Anexo Activos_Depreciaciones'!$G:$G,'Base de Capital'!$H$8)</f>
        <v>1722671.2899999998</v>
      </c>
      <c r="I42" s="106"/>
      <c r="J42" s="106">
        <f>+SUMIFS('Anexo Activos_Depreciaciones'!$Y:$Y,'Anexo Activos_Depreciaciones'!$P:$P,'Base de Capital'!$B42,'Anexo Activos_Depreciaciones'!$H:$H,'Base de Capital'!$J$8)</f>
        <v>1175318.3299999998</v>
      </c>
      <c r="K42" s="106">
        <f>+SUMIFS('Anexo Activos_Depreciaciones'!$AH:$AH,'Anexo Activos_Depreciaciones'!$P:$P,'Base de Capital'!$B42,'Anexo Activos_Depreciaciones'!$I:$I,'Base de Capital'!$K$8)</f>
        <v>1223766.0199999998</v>
      </c>
      <c r="L42" s="106">
        <f>+SUMIFS('Anexo Activos_Depreciaciones'!$AQ:$AQ,'Anexo Activos_Depreciaciones'!$P:$P,'Base de Capital'!$B42,'Anexo Activos_Depreciaciones'!$J:$J,'Base de Capital'!$L$8)</f>
        <v>1272213.7099999997</v>
      </c>
      <c r="M42" s="106">
        <f>+SUMIFS('Anexo Activos_Depreciaciones'!$AZ:$AZ,'Anexo Activos_Depreciaciones'!$P:$P,'Base de Capital'!$B42,'Anexo Activos_Depreciaciones'!$K:$K,'Base de Capital'!$M$8)</f>
        <v>1322204</v>
      </c>
      <c r="N42" s="106"/>
      <c r="O42" s="106">
        <f>+SUMIFS('Anexo Activos_Depreciaciones'!$Z:$Z,'Anexo Activos_Depreciaciones'!$P:$P,'Base de Capital'!$B42,'Anexo Activos_Depreciaciones'!$L:$L,'Base de Capital'!$O$8)</f>
        <v>520354.95999999996</v>
      </c>
      <c r="P42" s="106">
        <f>+SUMIFS('Anexo Activos_Depreciaciones'!$AI:$AI,'Anexo Activos_Depreciaciones'!$P:$P,'Base de Capital'!$B42,'Anexo Activos_Depreciaciones'!$M:$M,'Base de Capital'!$P$8)</f>
        <v>471907.27</v>
      </c>
      <c r="Q42" s="106">
        <f>+SUMIFS('Anexo Activos_Depreciaciones'!$AR:$AR,'Anexo Activos_Depreciaciones'!$P:$P,'Base de Capital'!$B42,'Anexo Activos_Depreciaciones'!$N:$N,'Base de Capital'!$Q$8)</f>
        <v>423459.58000000007</v>
      </c>
      <c r="R42" s="106">
        <f>+SUMIFS('Anexo Activos_Depreciaciones'!$BA:$BA,'Anexo Activos_Depreciaciones'!$P:$P,'Base de Capital'!$B42,'Anexo Activos_Depreciaciones'!$O:$O,'Base de Capital'!$R$8)</f>
        <v>400467.2899999998</v>
      </c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</row>
    <row r="43" spans="2:64" outlineLevel="1" x14ac:dyDescent="0.2">
      <c r="B43" s="28" t="str">
        <f t="shared" si="3"/>
        <v>CENTRO NACIONAL DE DESPACHOEQUIPO ELECTRICO AUXILIAR</v>
      </c>
      <c r="C43" s="28" t="s">
        <v>28</v>
      </c>
      <c r="D43" s="106">
        <f>+SUMIFS('Anexo Activos_Depreciaciones'!$S:$S,'Anexo Activos_Depreciaciones'!$P:$P,'Base de Capital'!$B43,'Anexo Activos_Depreciaciones'!$C:$C,'Base de Capital'!$D$8)</f>
        <v>129178.45</v>
      </c>
      <c r="E43" s="106">
        <f>+SUMIFS('Anexo Activos_Depreciaciones'!$X:$X,'Anexo Activos_Depreciaciones'!$P:$P,'Base de Capital'!$B43,'Anexo Activos_Depreciaciones'!$D:$D,'Base de Capital'!$E$8)</f>
        <v>129178.45</v>
      </c>
      <c r="F43" s="106">
        <f>+SUMIFS('Anexo Activos_Depreciaciones'!$AG:$AG,'Anexo Activos_Depreciaciones'!$P:$P,'Base de Capital'!$B43,'Anexo Activos_Depreciaciones'!$E:$E,'Base de Capital'!$F$8)</f>
        <v>129178.45</v>
      </c>
      <c r="G43" s="106">
        <f>+SUMIFS('Anexo Activos_Depreciaciones'!$AP:$AP,'Anexo Activos_Depreciaciones'!$P:$P,'Base de Capital'!$B43,'Anexo Activos_Depreciaciones'!$F:$F,'Base de Capital'!$G$8)</f>
        <v>129178.45</v>
      </c>
      <c r="H43" s="106">
        <f>+SUMIFS('Anexo Activos_Depreciaciones'!$AY:$AY,'Anexo Activos_Depreciaciones'!$P:$P,'Base de Capital'!$B43,'Anexo Activos_Depreciaciones'!$G:$G,'Base de Capital'!$H$8)</f>
        <v>129178.45</v>
      </c>
      <c r="I43" s="106"/>
      <c r="J43" s="106">
        <f>+SUMIFS('Anexo Activos_Depreciaciones'!$Y:$Y,'Anexo Activos_Depreciaciones'!$P:$P,'Base de Capital'!$B43,'Anexo Activos_Depreciaciones'!$H:$H,'Base de Capital'!$J$8)</f>
        <v>30469.459999999992</v>
      </c>
      <c r="K43" s="106">
        <f>+SUMIFS('Anexo Activos_Depreciaciones'!$AH:$AH,'Anexo Activos_Depreciaciones'!$P:$P,'Base de Capital'!$B43,'Anexo Activos_Depreciaciones'!$I:$I,'Base de Capital'!$K$8)</f>
        <v>34160.26999999999</v>
      </c>
      <c r="L43" s="106">
        <f>+SUMIFS('Anexo Activos_Depreciaciones'!$AQ:$AQ,'Anexo Activos_Depreciaciones'!$P:$P,'Base de Capital'!$B43,'Anexo Activos_Depreciaciones'!$J:$J,'Base de Capital'!$L$8)</f>
        <v>37851.079999999987</v>
      </c>
      <c r="M43" s="106">
        <f>+SUMIFS('Anexo Activos_Depreciaciones'!$AZ:$AZ,'Anexo Activos_Depreciaciones'!$P:$P,'Base de Capital'!$B43,'Anexo Activos_Depreciaciones'!$K:$K,'Base de Capital'!$M$8)</f>
        <v>41541.5</v>
      </c>
      <c r="N43" s="106"/>
      <c r="O43" s="106">
        <f>+SUMIFS('Anexo Activos_Depreciaciones'!$Z:$Z,'Anexo Activos_Depreciaciones'!$P:$P,'Base de Capital'!$B43,'Anexo Activos_Depreciaciones'!$L:$L,'Base de Capital'!$O$8)</f>
        <v>98708.99</v>
      </c>
      <c r="P43" s="106">
        <f>+SUMIFS('Anexo Activos_Depreciaciones'!$AI:$AI,'Anexo Activos_Depreciaciones'!$P:$P,'Base de Capital'!$B43,'Anexo Activos_Depreciaciones'!$M:$M,'Base de Capital'!$P$8)</f>
        <v>95018.180000000008</v>
      </c>
      <c r="Q43" s="106">
        <f>+SUMIFS('Anexo Activos_Depreciaciones'!$AR:$AR,'Anexo Activos_Depreciaciones'!$P:$P,'Base de Capital'!$B43,'Anexo Activos_Depreciaciones'!$N:$N,'Base de Capital'!$Q$8)</f>
        <v>91327.37000000001</v>
      </c>
      <c r="R43" s="106">
        <f>+SUMIFS('Anexo Activos_Depreciaciones'!$BA:$BA,'Anexo Activos_Depreciaciones'!$P:$P,'Base de Capital'!$B43,'Anexo Activos_Depreciaciones'!$O:$O,'Base de Capital'!$R$8)</f>
        <v>87636.95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</row>
    <row r="44" spans="2:64" outlineLevel="1" x14ac:dyDescent="0.2">
      <c r="B44" s="28" t="str">
        <f t="shared" si="3"/>
        <v>CENTRO NACIONAL DE DESPACHOEQUIPO ELÉCTRICO MISCELÁNEO</v>
      </c>
      <c r="C44" s="28" t="s">
        <v>15</v>
      </c>
      <c r="D44" s="106">
        <f>+SUMIFS('Anexo Activos_Depreciaciones'!$S:$S,'Anexo Activos_Depreciaciones'!$P:$P,'Base de Capital'!$B44,'Anexo Activos_Depreciaciones'!$C:$C,'Base de Capital'!$D$8)</f>
        <v>223980.21</v>
      </c>
      <c r="E44" s="106">
        <f>+SUMIFS('Anexo Activos_Depreciaciones'!$X:$X,'Anexo Activos_Depreciaciones'!$P:$P,'Base de Capital'!$B44,'Anexo Activos_Depreciaciones'!$D:$D,'Base de Capital'!$E$8)</f>
        <v>223922.46</v>
      </c>
      <c r="F44" s="106">
        <f>+SUMIFS('Anexo Activos_Depreciaciones'!$AG:$AG,'Anexo Activos_Depreciaciones'!$P:$P,'Base de Capital'!$B44,'Anexo Activos_Depreciaciones'!$E:$E,'Base de Capital'!$F$8)</f>
        <v>314115.44</v>
      </c>
      <c r="G44" s="106">
        <f>+SUMIFS('Anexo Activos_Depreciaciones'!$AP:$AP,'Anexo Activos_Depreciaciones'!$P:$P,'Base de Capital'!$B44,'Anexo Activos_Depreciaciones'!$F:$F,'Base de Capital'!$G$8)</f>
        <v>314115.44</v>
      </c>
      <c r="H44" s="106">
        <f>+SUMIFS('Anexo Activos_Depreciaciones'!$AY:$AY,'Anexo Activos_Depreciaciones'!$P:$P,'Base de Capital'!$B44,'Anexo Activos_Depreciaciones'!$G:$G,'Base de Capital'!$H$8)</f>
        <v>375891.44</v>
      </c>
      <c r="I44" s="106"/>
      <c r="J44" s="106">
        <f>+SUMIFS('Anexo Activos_Depreciaciones'!$Y:$Y,'Anexo Activos_Depreciaciones'!$P:$P,'Base de Capital'!$B44,'Anexo Activos_Depreciaciones'!$H:$H,'Base de Capital'!$J$8)</f>
        <v>71194.16</v>
      </c>
      <c r="K44" s="106">
        <f>+SUMIFS('Anexo Activos_Depreciaciones'!$AH:$AH,'Anexo Activos_Depreciaciones'!$P:$P,'Base de Capital'!$B44,'Anexo Activos_Depreciaciones'!$I:$I,'Base de Capital'!$K$8)</f>
        <v>108249.53</v>
      </c>
      <c r="L44" s="106">
        <f>+SUMIFS('Anexo Activos_Depreciaciones'!$AQ:$AQ,'Anexo Activos_Depreciaciones'!$P:$P,'Base de Capital'!$B44,'Anexo Activos_Depreciaciones'!$J:$J,'Base de Capital'!$L$8)</f>
        <v>139293.66</v>
      </c>
      <c r="M44" s="106">
        <f>+SUMIFS('Anexo Activos_Depreciaciones'!$AZ:$AZ,'Anexo Activos_Depreciaciones'!$P:$P,'Base de Capital'!$B44,'Anexo Activos_Depreciaciones'!$K:$K,'Base de Capital'!$M$8)</f>
        <v>176068</v>
      </c>
      <c r="N44" s="106"/>
      <c r="O44" s="106">
        <f>+SUMIFS('Anexo Activos_Depreciaciones'!$Z:$Z,'Anexo Activos_Depreciaciones'!$P:$P,'Base de Capital'!$B44,'Anexo Activos_Depreciaciones'!$L:$L,'Base de Capital'!$O$8)</f>
        <v>152728.29999999999</v>
      </c>
      <c r="P44" s="106">
        <f>+SUMIFS('Anexo Activos_Depreciaciones'!$AI:$AI,'Anexo Activos_Depreciaciones'!$P:$P,'Base de Capital'!$B44,'Anexo Activos_Depreciaciones'!$M:$M,'Base de Capital'!$P$8)</f>
        <v>205865.91</v>
      </c>
      <c r="Q44" s="106">
        <f>+SUMIFS('Anexo Activos_Depreciaciones'!$AR:$AR,'Anexo Activos_Depreciaciones'!$P:$P,'Base de Capital'!$B44,'Anexo Activos_Depreciaciones'!$N:$N,'Base de Capital'!$Q$8)</f>
        <v>174821.78</v>
      </c>
      <c r="R44" s="106">
        <f>+SUMIFS('Anexo Activos_Depreciaciones'!$BA:$BA,'Anexo Activos_Depreciaciones'!$P:$P,'Base de Capital'!$B44,'Anexo Activos_Depreciaciones'!$O:$O,'Base de Capital'!$R$8)</f>
        <v>199823.44</v>
      </c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</row>
    <row r="45" spans="2:64" outlineLevel="1" x14ac:dyDescent="0.2">
      <c r="B45" s="28" t="str">
        <f t="shared" si="3"/>
        <v>CENTRO NACIONAL DE DESPACHOEQUIPO DE COMUNICACIÓN</v>
      </c>
      <c r="C45" s="28" t="s">
        <v>20</v>
      </c>
      <c r="D45" s="106">
        <f>+SUMIFS('Anexo Activos_Depreciaciones'!$S:$S,'Anexo Activos_Depreciaciones'!$P:$P,'Base de Capital'!$B45,'Anexo Activos_Depreciaciones'!$C:$C,'Base de Capital'!$D$8)</f>
        <v>443827.52999999991</v>
      </c>
      <c r="E45" s="106">
        <f>+SUMIFS('Anexo Activos_Depreciaciones'!$X:$X,'Anexo Activos_Depreciaciones'!$P:$P,'Base de Capital'!$B45,'Anexo Activos_Depreciaciones'!$D:$D,'Base de Capital'!$E$8)</f>
        <v>443827.52999999991</v>
      </c>
      <c r="F45" s="106">
        <f>+SUMIFS('Anexo Activos_Depreciaciones'!$AG:$AG,'Anexo Activos_Depreciaciones'!$P:$P,'Base de Capital'!$B45,'Anexo Activos_Depreciaciones'!$E:$E,'Base de Capital'!$F$8)</f>
        <v>443827.52999999991</v>
      </c>
      <c r="G45" s="106">
        <f>+SUMIFS('Anexo Activos_Depreciaciones'!$AP:$AP,'Anexo Activos_Depreciaciones'!$P:$P,'Base de Capital'!$B45,'Anexo Activos_Depreciaciones'!$F:$F,'Base de Capital'!$G$8)</f>
        <v>443827.52999999991</v>
      </c>
      <c r="H45" s="106">
        <f>+SUMIFS('Anexo Activos_Depreciaciones'!$AY:$AY,'Anexo Activos_Depreciaciones'!$P:$P,'Base de Capital'!$B45,'Anexo Activos_Depreciaciones'!$G:$G,'Base de Capital'!$H$8)</f>
        <v>704605.32999999984</v>
      </c>
      <c r="I45" s="106"/>
      <c r="J45" s="106">
        <f>+SUMIFS('Anexo Activos_Depreciaciones'!$Y:$Y,'Anexo Activos_Depreciaciones'!$P:$P,'Base de Capital'!$B45,'Anexo Activos_Depreciaciones'!$H:$H,'Base de Capital'!$J$8)</f>
        <v>443827.52999999991</v>
      </c>
      <c r="K45" s="106">
        <f>+SUMIFS('Anexo Activos_Depreciaciones'!$AH:$AH,'Anexo Activos_Depreciaciones'!$P:$P,'Base de Capital'!$B45,'Anexo Activos_Depreciaciones'!$I:$I,'Base de Capital'!$K$8)</f>
        <v>443827.52999999991</v>
      </c>
      <c r="L45" s="106">
        <f>+SUMIFS('Anexo Activos_Depreciaciones'!$AQ:$AQ,'Anexo Activos_Depreciaciones'!$P:$P,'Base de Capital'!$B45,'Anexo Activos_Depreciaciones'!$J:$J,'Base de Capital'!$L$8)</f>
        <v>443827.52999999991</v>
      </c>
      <c r="M45" s="106">
        <f>+SUMIFS('Anexo Activos_Depreciaciones'!$AZ:$AZ,'Anexo Activos_Depreciaciones'!$P:$P,'Base de Capital'!$B45,'Anexo Activos_Depreciaciones'!$K:$K,'Base de Capital'!$M$8)</f>
        <v>511471</v>
      </c>
      <c r="N45" s="106"/>
      <c r="O45" s="106">
        <f>+SUMIFS('Anexo Activos_Depreciaciones'!$Z:$Z,'Anexo Activos_Depreciaciones'!$P:$P,'Base de Capital'!$B45,'Anexo Activos_Depreciaciones'!$L:$L,'Base de Capital'!$O$8)</f>
        <v>0</v>
      </c>
      <c r="P45" s="106">
        <f>+SUMIFS('Anexo Activos_Depreciaciones'!$AI:$AI,'Anexo Activos_Depreciaciones'!$P:$P,'Base de Capital'!$B45,'Anexo Activos_Depreciaciones'!$M:$M,'Base de Capital'!$P$8)</f>
        <v>0</v>
      </c>
      <c r="Q45" s="106">
        <f>+SUMIFS('Anexo Activos_Depreciaciones'!$AR:$AR,'Anexo Activos_Depreciaciones'!$P:$P,'Base de Capital'!$B45,'Anexo Activos_Depreciaciones'!$N:$N,'Base de Capital'!$Q$8)</f>
        <v>0</v>
      </c>
      <c r="R45" s="106">
        <f>+SUMIFS('Anexo Activos_Depreciaciones'!$BA:$BA,'Anexo Activos_Depreciaciones'!$P:$P,'Base de Capital'!$B45,'Anexo Activos_Depreciaciones'!$O:$O,'Base de Capital'!$R$8)</f>
        <v>193134.32999999984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</row>
    <row r="46" spans="2:64" outlineLevel="1" x14ac:dyDescent="0.2">
      <c r="B46" s="28" t="str">
        <f t="shared" si="3"/>
        <v>CENTRO NACIONAL DE DESPACHOEQUIPO DE INFORMÁTICA</v>
      </c>
      <c r="C46" s="28" t="s">
        <v>29</v>
      </c>
      <c r="D46" s="106">
        <f>+SUMIFS('Anexo Activos_Depreciaciones'!$S:$S,'Anexo Activos_Depreciaciones'!$P:$P,'Base de Capital'!$B46,'Anexo Activos_Depreciaciones'!$C:$C,'Base de Capital'!$D$8)</f>
        <v>6190253.5799999991</v>
      </c>
      <c r="E46" s="106">
        <f>+SUMIFS('Anexo Activos_Depreciaciones'!$X:$X,'Anexo Activos_Depreciaciones'!$P:$P,'Base de Capital'!$B46,'Anexo Activos_Depreciaciones'!$D:$D,'Base de Capital'!$E$8)</f>
        <v>6625431.1999999983</v>
      </c>
      <c r="F46" s="106">
        <f>+SUMIFS('Anexo Activos_Depreciaciones'!$AG:$AG,'Anexo Activos_Depreciaciones'!$P:$P,'Base de Capital'!$B46,'Anexo Activos_Depreciaciones'!$E:$E,'Base de Capital'!$F$8)</f>
        <v>6894050.1199999992</v>
      </c>
      <c r="G46" s="106">
        <f>+SUMIFS('Anexo Activos_Depreciaciones'!$AP:$AP,'Anexo Activos_Depreciaciones'!$P:$P,'Base de Capital'!$B46,'Anexo Activos_Depreciaciones'!$F:$F,'Base de Capital'!$G$8)</f>
        <v>6892006.8499999996</v>
      </c>
      <c r="H46" s="106">
        <f>+SUMIFS('Anexo Activos_Depreciaciones'!$AY:$AY,'Anexo Activos_Depreciaciones'!$P:$P,'Base de Capital'!$B46,'Anexo Activos_Depreciaciones'!$G:$G,'Base de Capital'!$H$8)</f>
        <v>5729232</v>
      </c>
      <c r="I46" s="106"/>
      <c r="J46" s="106">
        <f>+SUMIFS('Anexo Activos_Depreciaciones'!$Y:$Y,'Anexo Activos_Depreciaciones'!$P:$P,'Base de Capital'!$B46,'Anexo Activos_Depreciaciones'!$H:$H,'Base de Capital'!$J$8)</f>
        <v>6292729.9399999985</v>
      </c>
      <c r="K46" s="106">
        <f>+SUMIFS('Anexo Activos_Depreciaciones'!$AH:$AH,'Anexo Activos_Depreciaciones'!$P:$P,'Base de Capital'!$B46,'Anexo Activos_Depreciaciones'!$I:$I,'Base de Capital'!$K$8)</f>
        <v>6564170.4299999988</v>
      </c>
      <c r="L46" s="106">
        <f>+SUMIFS('Anexo Activos_Depreciaciones'!$AQ:$AQ,'Anexo Activos_Depreciaciones'!$P:$P,'Base de Capital'!$B46,'Anexo Activos_Depreciaciones'!$J:$J,'Base de Capital'!$L$8)</f>
        <v>6771016.2999999989</v>
      </c>
      <c r="M46" s="106">
        <f>+SUMIFS('Anexo Activos_Depreciaciones'!$AZ:$AZ,'Anexo Activos_Depreciaciones'!$P:$P,'Base de Capital'!$B46,'Anexo Activos_Depreciaciones'!$K:$K,'Base de Capital'!$M$8)</f>
        <v>5721729</v>
      </c>
      <c r="N46" s="106"/>
      <c r="O46" s="106">
        <f>+SUMIFS('Anexo Activos_Depreciaciones'!$Z:$Z,'Anexo Activos_Depreciaciones'!$P:$P,'Base de Capital'!$B46,'Anexo Activos_Depreciaciones'!$L:$L,'Base de Capital'!$O$8)</f>
        <v>332701.25999999978</v>
      </c>
      <c r="P46" s="106">
        <f>+SUMIFS('Anexo Activos_Depreciaciones'!$AI:$AI,'Anexo Activos_Depreciaciones'!$P:$P,'Base de Capital'!$B46,'Anexo Activos_Depreciaciones'!$M:$M,'Base de Capital'!$P$8)</f>
        <v>329879.69000000041</v>
      </c>
      <c r="Q46" s="106">
        <f>+SUMIFS('Anexo Activos_Depreciaciones'!$AR:$AR,'Anexo Activos_Depreciaciones'!$P:$P,'Base de Capital'!$B46,'Anexo Activos_Depreciaciones'!$N:$N,'Base de Capital'!$Q$8)</f>
        <v>120990.55000000075</v>
      </c>
      <c r="R46" s="106">
        <f>+SUMIFS('Anexo Activos_Depreciaciones'!$BA:$BA,'Anexo Activos_Depreciaciones'!$P:$P,'Base de Capital'!$B46,'Anexo Activos_Depreciaciones'!$O:$O,'Base de Capital'!$R$8)</f>
        <v>7503</v>
      </c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</row>
    <row r="47" spans="2:64" outlineLevel="1" x14ac:dyDescent="0.2">
      <c r="B47" s="28" t="str">
        <f t="shared" si="3"/>
        <v>CENTRO NACIONAL DE DESPACHOEQUIPO Y MOBILIARIO DE OFICINA</v>
      </c>
      <c r="C47" s="28" t="s">
        <v>30</v>
      </c>
      <c r="D47" s="106">
        <f>+SUMIFS('Anexo Activos_Depreciaciones'!$S:$S,'Anexo Activos_Depreciaciones'!$P:$P,'Base de Capital'!$B47,'Anexo Activos_Depreciaciones'!$C:$C,'Base de Capital'!$D$8)</f>
        <v>239761.48</v>
      </c>
      <c r="E47" s="106">
        <f>+SUMIFS('Anexo Activos_Depreciaciones'!$X:$X,'Anexo Activos_Depreciaciones'!$P:$P,'Base de Capital'!$B47,'Anexo Activos_Depreciaciones'!$D:$D,'Base de Capital'!$E$8)</f>
        <v>236031.35</v>
      </c>
      <c r="F47" s="106">
        <f>+SUMIFS('Anexo Activos_Depreciaciones'!$AG:$AG,'Anexo Activos_Depreciaciones'!$P:$P,'Base de Capital'!$B47,'Anexo Activos_Depreciaciones'!$E:$E,'Base de Capital'!$F$8)</f>
        <v>269168.93000000005</v>
      </c>
      <c r="G47" s="106">
        <f>+SUMIFS('Anexo Activos_Depreciaciones'!$AP:$AP,'Anexo Activos_Depreciaciones'!$P:$P,'Base de Capital'!$B47,'Anexo Activos_Depreciaciones'!$F:$F,'Base de Capital'!$G$8)</f>
        <v>269168.93000000005</v>
      </c>
      <c r="H47" s="106">
        <f>+SUMIFS('Anexo Activos_Depreciaciones'!$AY:$AY,'Anexo Activos_Depreciaciones'!$P:$P,'Base de Capital'!$B47,'Anexo Activos_Depreciaciones'!$G:$G,'Base de Capital'!$H$8)</f>
        <v>288124.93000000005</v>
      </c>
      <c r="I47" s="106"/>
      <c r="J47" s="106">
        <f>+SUMIFS('Anexo Activos_Depreciaciones'!$Y:$Y,'Anexo Activos_Depreciaciones'!$P:$P,'Base de Capital'!$B47,'Anexo Activos_Depreciaciones'!$H:$H,'Base de Capital'!$J$8)</f>
        <v>165975.26999999996</v>
      </c>
      <c r="K47" s="106">
        <f>+SUMIFS('Anexo Activos_Depreciaciones'!$AH:$AH,'Anexo Activos_Depreciaciones'!$P:$P,'Base de Capital'!$B47,'Anexo Activos_Depreciaciones'!$I:$I,'Base de Capital'!$K$8)</f>
        <v>166386.59999999995</v>
      </c>
      <c r="L47" s="106">
        <f>+SUMIFS('Anexo Activos_Depreciaciones'!$AQ:$AQ,'Anexo Activos_Depreciaciones'!$P:$P,'Base de Capital'!$B47,'Anexo Activos_Depreciaciones'!$J:$J,'Base de Capital'!$L$8)</f>
        <v>185087.13999999996</v>
      </c>
      <c r="M47" s="106">
        <f>+SUMIFS('Anexo Activos_Depreciaciones'!$AZ:$AZ,'Anexo Activos_Depreciaciones'!$P:$P,'Base de Capital'!$B47,'Anexo Activos_Depreciaciones'!$K:$K,'Base de Capital'!$M$8)</f>
        <v>205018</v>
      </c>
      <c r="N47" s="106"/>
      <c r="O47" s="106">
        <f>+SUMIFS('Anexo Activos_Depreciaciones'!$Z:$Z,'Anexo Activos_Depreciaciones'!$P:$P,'Base de Capital'!$B47,'Anexo Activos_Depreciaciones'!$L:$L,'Base de Capital'!$O$8)</f>
        <v>70056.080000000045</v>
      </c>
      <c r="P47" s="106">
        <f>+SUMIFS('Anexo Activos_Depreciaciones'!$AI:$AI,'Anexo Activos_Depreciaciones'!$P:$P,'Base de Capital'!$B47,'Anexo Activos_Depreciaciones'!$M:$M,'Base de Capital'!$P$8)</f>
        <v>102782.3300000001</v>
      </c>
      <c r="Q47" s="106">
        <f>+SUMIFS('Anexo Activos_Depreciaciones'!$AR:$AR,'Anexo Activos_Depreciaciones'!$P:$P,'Base de Capital'!$B47,'Anexo Activos_Depreciaciones'!$N:$N,'Base de Capital'!$Q$8)</f>
        <v>84081.790000000095</v>
      </c>
      <c r="R47" s="106">
        <f>+SUMIFS('Anexo Activos_Depreciaciones'!$BA:$BA,'Anexo Activos_Depreciaciones'!$P:$P,'Base de Capital'!$B47,'Anexo Activos_Depreciaciones'!$O:$O,'Base de Capital'!$R$8)</f>
        <v>83106.930000000051</v>
      </c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2:64" outlineLevel="1" x14ac:dyDescent="0.2">
      <c r="B48" s="28" t="str">
        <f t="shared" si="3"/>
        <v>CENTRO NACIONAL DE DESPACHOEQUIPO DE TRANSPORTE</v>
      </c>
      <c r="C48" s="28" t="s">
        <v>31</v>
      </c>
      <c r="D48" s="106">
        <f>+SUMIFS('Anexo Activos_Depreciaciones'!$S:$S,'Anexo Activos_Depreciaciones'!$P:$P,'Base de Capital'!$B48,'Anexo Activos_Depreciaciones'!$C:$C,'Base de Capital'!$D$8)</f>
        <v>114299.1</v>
      </c>
      <c r="E48" s="106">
        <f>+SUMIFS('Anexo Activos_Depreciaciones'!$X:$X,'Anexo Activos_Depreciaciones'!$P:$P,'Base de Capital'!$B48,'Anexo Activos_Depreciaciones'!$D:$D,'Base de Capital'!$E$8)</f>
        <v>114299.1</v>
      </c>
      <c r="F48" s="106">
        <f>+SUMIFS('Anexo Activos_Depreciaciones'!$AG:$AG,'Anexo Activos_Depreciaciones'!$P:$P,'Base de Capital'!$B48,'Anexo Activos_Depreciaciones'!$E:$E,'Base de Capital'!$F$8)</f>
        <v>90758.1</v>
      </c>
      <c r="G48" s="106">
        <f>+SUMIFS('Anexo Activos_Depreciaciones'!$AP:$AP,'Anexo Activos_Depreciaciones'!$P:$P,'Base de Capital'!$B48,'Anexo Activos_Depreciaciones'!$F:$F,'Base de Capital'!$G$8)</f>
        <v>66758.100000000006</v>
      </c>
      <c r="H48" s="106">
        <f>+SUMIFS('Anexo Activos_Depreciaciones'!$AY:$AY,'Anexo Activos_Depreciaciones'!$P:$P,'Base de Capital'!$B48,'Anexo Activos_Depreciaciones'!$G:$G,'Base de Capital'!$H$8)</f>
        <v>129888</v>
      </c>
      <c r="I48" s="106"/>
      <c r="J48" s="106">
        <f>+SUMIFS('Anexo Activos_Depreciaciones'!$Y:$Y,'Anexo Activos_Depreciaciones'!$P:$P,'Base de Capital'!$B48,'Anexo Activos_Depreciaciones'!$H:$H,'Base de Capital'!$J$8)</f>
        <v>94521.739999999991</v>
      </c>
      <c r="K48" s="106">
        <f>+SUMIFS('Anexo Activos_Depreciaciones'!$AH:$AH,'Anexo Activos_Depreciaciones'!$P:$P,'Base de Capital'!$B48,'Anexo Activos_Depreciaciones'!$I:$I,'Base de Capital'!$K$8)</f>
        <v>81299.359999999986</v>
      </c>
      <c r="L48" s="106">
        <f>+SUMIFS('Anexo Activos_Depreciaciones'!$AQ:$AQ,'Anexo Activos_Depreciaciones'!$P:$P,'Base de Capital'!$B48,'Anexo Activos_Depreciaciones'!$J:$J,'Base de Capital'!$L$8)</f>
        <v>66758.099999999991</v>
      </c>
      <c r="M48" s="106">
        <f>+SUMIFS('Anexo Activos_Depreciaciones'!$AZ:$AZ,'Anexo Activos_Depreciaciones'!$P:$P,'Base de Capital'!$B48,'Anexo Activos_Depreciaciones'!$K:$K,'Base de Capital'!$M$8)</f>
        <v>72545</v>
      </c>
      <c r="N48" s="106"/>
      <c r="O48" s="106">
        <f>+SUMIFS('Anexo Activos_Depreciaciones'!$Z:$Z,'Anexo Activos_Depreciaciones'!$P:$P,'Base de Capital'!$B48,'Anexo Activos_Depreciaciones'!$L:$L,'Base de Capital'!$O$8)</f>
        <v>19777.360000000015</v>
      </c>
      <c r="P48" s="106">
        <f>+SUMIFS('Anexo Activos_Depreciaciones'!$AI:$AI,'Anexo Activos_Depreciaciones'!$P:$P,'Base de Capital'!$B48,'Anexo Activos_Depreciaciones'!$M:$M,'Base de Capital'!$P$8)</f>
        <v>9458.7400000000198</v>
      </c>
      <c r="Q48" s="106">
        <f>+SUMIFS('Anexo Activos_Depreciaciones'!$AR:$AR,'Anexo Activos_Depreciaciones'!$P:$P,'Base de Capital'!$B48,'Anexo Activos_Depreciaciones'!$N:$N,'Base de Capital'!$Q$8)</f>
        <v>0</v>
      </c>
      <c r="R48" s="106">
        <f>+SUMIFS('Anexo Activos_Depreciaciones'!$BA:$BA,'Anexo Activos_Depreciaciones'!$P:$P,'Base de Capital'!$B48,'Anexo Activos_Depreciaciones'!$O:$O,'Base de Capital'!$R$8)</f>
        <v>57343</v>
      </c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2:64" s="55" customFormat="1" x14ac:dyDescent="0.2">
      <c r="B49" s="55" t="str">
        <f t="shared" si="3"/>
        <v>CENTRO NACIONAL DE DESPACHOSUB TOTAL</v>
      </c>
      <c r="C49" s="55" t="s">
        <v>25</v>
      </c>
      <c r="D49" s="77">
        <f>+SUMIFS('Anexo Activos_Depreciaciones'!$S:$S,'Anexo Activos_Depreciaciones'!$P:$P,'Base de Capital'!$B49,'Anexo Activos_Depreciaciones'!$C:$C,'Base de Capital'!$D$8)</f>
        <v>8763193.7799999993</v>
      </c>
      <c r="E49" s="77">
        <f>+SUMIFS('Anexo Activos_Depreciaciones'!$X:$X,'Anexo Activos_Depreciaciones'!$P:$P,'Base de Capital'!$B49,'Anexo Activos_Depreciaciones'!$D:$D,'Base de Capital'!$E$8)</f>
        <v>9468363.3799999971</v>
      </c>
      <c r="F49" s="77">
        <f>+SUMIFS('Anexo Activos_Depreciaciones'!$AG:$AG,'Anexo Activos_Depreciaciones'!$P:$P,'Base de Capital'!$B49,'Anexo Activos_Depreciaciones'!$E:$E,'Base de Capital'!$F$8)</f>
        <v>9836771.8599999975</v>
      </c>
      <c r="G49" s="77">
        <f>+SUMIFS('Anexo Activos_Depreciaciones'!$AP:$AP,'Anexo Activos_Depreciaciones'!$P:$P,'Base de Capital'!$B49,'Anexo Activos_Depreciaciones'!$F:$F,'Base de Capital'!$G$8)</f>
        <v>9810728.589999998</v>
      </c>
      <c r="H49" s="77">
        <f>+SUMIFS('Anexo Activos_Depreciaciones'!$AY:$AY,'Anexo Activos_Depreciaciones'!$P:$P,'Base de Capital'!$B49,'Anexo Activos_Depreciaciones'!$G:$G,'Base de Capital'!$H$8)</f>
        <v>9079591.4399999995</v>
      </c>
      <c r="I49" s="77"/>
      <c r="J49" s="77">
        <f>+SUMIFS('Anexo Activos_Depreciaciones'!$Y:$Y,'Anexo Activos_Depreciaciones'!$P:$P,'Base de Capital'!$B49,'Anexo Activos_Depreciaciones'!$H:$H,'Base de Capital'!$J$8)</f>
        <v>8274036.4299999978</v>
      </c>
      <c r="K49" s="77">
        <f>+SUMIFS('Anexo Activos_Depreciaciones'!$AH:$AH,'Anexo Activos_Depreciaciones'!$P:$P,'Base de Capital'!$B49,'Anexo Activos_Depreciaciones'!$I:$I,'Base de Capital'!$K$8)</f>
        <v>8621859.7399999984</v>
      </c>
      <c r="L49" s="77">
        <f>+SUMIFS('Anexo Activos_Depreciaciones'!$AQ:$AQ,'Anexo Activos_Depreciaciones'!$P:$P,'Base de Capital'!$B49,'Anexo Activos_Depreciaciones'!$J:$J,'Base de Capital'!$L$8)</f>
        <v>8916047.5199999977</v>
      </c>
      <c r="M49" s="77">
        <f>+SUMIFS('Anexo Activos_Depreciaciones'!$AZ:$AZ,'Anexo Activos_Depreciaciones'!$P:$P,'Base de Capital'!$B49,'Anexo Activos_Depreciaciones'!$K:$K,'Base de Capital'!$M$8)</f>
        <v>8050576.5</v>
      </c>
      <c r="N49" s="77"/>
      <c r="O49" s="77">
        <f>+SUMIFS('Anexo Activos_Depreciaciones'!$Z:$Z,'Anexo Activos_Depreciaciones'!$P:$P,'Base de Capital'!$B49,'Anexo Activos_Depreciaciones'!$L:$L,'Base de Capital'!$O$8)</f>
        <v>1194326.95</v>
      </c>
      <c r="P49" s="77">
        <f>+SUMIFS('Anexo Activos_Depreciaciones'!$AI:$AI,'Anexo Activos_Depreciaciones'!$P:$P,'Base de Capital'!$B49,'Anexo Activos_Depreciaciones'!$M:$M,'Base de Capital'!$P$8)</f>
        <v>1214912.1200000006</v>
      </c>
      <c r="Q49" s="77">
        <f>+SUMIFS('Anexo Activos_Depreciaciones'!$AR:$AR,'Anexo Activos_Depreciaciones'!$P:$P,'Base de Capital'!$B49,'Anexo Activos_Depreciaciones'!$N:$N,'Base de Capital'!$Q$8)</f>
        <v>894681.070000001</v>
      </c>
      <c r="R49" s="77">
        <f>+SUMIFS('Anexo Activos_Depreciaciones'!$BA:$BA,'Anexo Activos_Depreciaciones'!$P:$P,'Base de Capital'!$B49,'Anexo Activos_Depreciaciones'!$O:$O,'Base de Capital'!$R$8)</f>
        <v>1029014.9399999997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2:64" x14ac:dyDescent="0.2">
      <c r="C50" s="29"/>
      <c r="D50" s="78"/>
      <c r="E50" s="78"/>
      <c r="F50" s="78"/>
      <c r="G50" s="78"/>
      <c r="H50" s="78"/>
      <c r="I50" s="76"/>
      <c r="J50" s="78"/>
      <c r="K50" s="78"/>
      <c r="L50" s="78"/>
      <c r="M50" s="78"/>
      <c r="N50" s="78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2:64" s="94" customFormat="1" x14ac:dyDescent="0.2">
      <c r="C51" s="95" t="s">
        <v>32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2:64" outlineLevel="1" x14ac:dyDescent="0.2">
      <c r="B52" s="28" t="str">
        <f>+CONCATENATE($C$51,C52)</f>
        <v>HIDROMETEOROLOGIAEQUIPO ELÉCTRICO MISCELÁNEO</v>
      </c>
      <c r="C52" s="28" t="s">
        <v>15</v>
      </c>
      <c r="D52" s="106">
        <f>+SUMIFS('Anexo Activos_Depreciaciones'!$S:$S,'Anexo Activos_Depreciaciones'!$P:$P,'Base de Capital'!$B52,'Anexo Activos_Depreciaciones'!$C:$C,'Base de Capital'!$D$8)</f>
        <v>69711.63</v>
      </c>
      <c r="E52" s="106">
        <f>+SUMIFS('Anexo Activos_Depreciaciones'!$X:$X,'Anexo Activos_Depreciaciones'!$P:$P,'Base de Capital'!$B52,'Anexo Activos_Depreciaciones'!$D:$D,'Base de Capital'!$E$8)</f>
        <v>69711.63</v>
      </c>
      <c r="F52" s="106">
        <f>+SUMIFS('Anexo Activos_Depreciaciones'!$AG:$AG,'Anexo Activos_Depreciaciones'!$P:$P,'Base de Capital'!$B52,'Anexo Activos_Depreciaciones'!$E:$E,'Base de Capital'!$F$8)</f>
        <v>69711.63</v>
      </c>
      <c r="G52" s="106">
        <f>+SUMIFS('Anexo Activos_Depreciaciones'!$AP:$AP,'Anexo Activos_Depreciaciones'!$P:$P,'Base de Capital'!$B52,'Anexo Activos_Depreciaciones'!$F:$F,'Base de Capital'!$G$8)</f>
        <v>72250.740000000005</v>
      </c>
      <c r="H52" s="106">
        <f>+SUMIFS('Anexo Activos_Depreciaciones'!$AY:$AY,'Anexo Activos_Depreciaciones'!$P:$P,'Base de Capital'!$B52,'Anexo Activos_Depreciaciones'!$G:$G,'Base de Capital'!$H$8)</f>
        <v>72251</v>
      </c>
      <c r="I52" s="106"/>
      <c r="J52" s="106">
        <f>+SUMIFS('Anexo Activos_Depreciaciones'!$Y:$Y,'Anexo Activos_Depreciaciones'!$P:$P,'Base de Capital'!$B52,'Anexo Activos_Depreciaciones'!$H:$H,'Base de Capital'!$J$8)</f>
        <v>27798.36</v>
      </c>
      <c r="K52" s="106">
        <f>+SUMIFS('Anexo Activos_Depreciaciones'!$AH:$AH,'Anexo Activos_Depreciaciones'!$P:$P,'Base de Capital'!$B52,'Anexo Activos_Depreciaciones'!$I:$I,'Base de Capital'!$K$8)</f>
        <v>33929.24</v>
      </c>
      <c r="L52" s="106">
        <f>+SUMIFS('Anexo Activos_Depreciaciones'!$AQ:$AQ,'Anexo Activos_Depreciaciones'!$P:$P,'Base de Capital'!$B52,'Anexo Activos_Depreciaciones'!$J:$J,'Base de Capital'!$L$8)</f>
        <v>40192.54</v>
      </c>
      <c r="M52" s="106">
        <f>+SUMIFS('Anexo Activos_Depreciaciones'!$AZ:$AZ,'Anexo Activos_Depreciaciones'!$P:$P,'Base de Capital'!$B52,'Anexo Activos_Depreciaciones'!$K:$K,'Base de Capital'!$M$8)</f>
        <v>46546</v>
      </c>
      <c r="N52" s="106"/>
      <c r="O52" s="106">
        <f>+SUMIFS('Anexo Activos_Depreciaciones'!$Z:$Z,'Anexo Activos_Depreciaciones'!$P:$P,'Base de Capital'!$B52,'Anexo Activos_Depreciaciones'!$L:$L,'Base de Capital'!$O$8)</f>
        <v>41913.270000000004</v>
      </c>
      <c r="P52" s="106">
        <f>+SUMIFS('Anexo Activos_Depreciaciones'!$AI:$AI,'Anexo Activos_Depreciaciones'!$P:$P,'Base de Capital'!$B52,'Anexo Activos_Depreciaciones'!$M:$M,'Base de Capital'!$P$8)</f>
        <v>35782.390000000007</v>
      </c>
      <c r="Q52" s="106">
        <f>+SUMIFS('Anexo Activos_Depreciaciones'!$AR:$AR,'Anexo Activos_Depreciaciones'!$P:$P,'Base de Capital'!$B52,'Anexo Activos_Depreciaciones'!$N:$N,'Base de Capital'!$Q$8)</f>
        <v>32058.200000000004</v>
      </c>
      <c r="R52" s="106">
        <f>+SUMIFS('Anexo Activos_Depreciaciones'!$BA:$BA,'Anexo Activos_Depreciaciones'!$P:$P,'Base de Capital'!$B52,'Anexo Activos_Depreciaciones'!$O:$O,'Base de Capital'!$R$8)</f>
        <v>25705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</row>
    <row r="53" spans="2:64" outlineLevel="1" x14ac:dyDescent="0.2">
      <c r="B53" s="28" t="str">
        <f t="shared" ref="B53:B59" si="4">+CONCATENATE($C$51,C53)</f>
        <v>HIDROMETEOROLOGIAEQUIPO DE COMUNICACIÓN</v>
      </c>
      <c r="C53" s="28" t="s">
        <v>20</v>
      </c>
      <c r="D53" s="106">
        <f>+SUMIFS('Anexo Activos_Depreciaciones'!$S:$S,'Anexo Activos_Depreciaciones'!$P:$P,'Base de Capital'!$B53,'Anexo Activos_Depreciaciones'!$C:$C,'Base de Capital'!$D$8)</f>
        <v>181033.55000000002</v>
      </c>
      <c r="E53" s="106">
        <f>+SUMIFS('Anexo Activos_Depreciaciones'!$X:$X,'Anexo Activos_Depreciaciones'!$P:$P,'Base de Capital'!$B53,'Anexo Activos_Depreciaciones'!$D:$D,'Base de Capital'!$E$8)</f>
        <v>181033.55000000002</v>
      </c>
      <c r="F53" s="106">
        <f>+SUMIFS('Anexo Activos_Depreciaciones'!$AG:$AG,'Anexo Activos_Depreciaciones'!$P:$P,'Base de Capital'!$B53,'Anexo Activos_Depreciaciones'!$E:$E,'Base de Capital'!$F$8)</f>
        <v>181033.55000000002</v>
      </c>
      <c r="G53" s="106">
        <f>+SUMIFS('Anexo Activos_Depreciaciones'!$AP:$AP,'Anexo Activos_Depreciaciones'!$P:$P,'Base de Capital'!$B53,'Anexo Activos_Depreciaciones'!$F:$F,'Base de Capital'!$G$8)</f>
        <v>181033.55000000002</v>
      </c>
      <c r="H53" s="106">
        <f>+SUMIFS('Anexo Activos_Depreciaciones'!$AY:$AY,'Anexo Activos_Depreciaciones'!$P:$P,'Base de Capital'!$B53,'Anexo Activos_Depreciaciones'!$G:$G,'Base de Capital'!$H$8)</f>
        <v>181034</v>
      </c>
      <c r="I53" s="106"/>
      <c r="J53" s="106">
        <f>+SUMIFS('Anexo Activos_Depreciaciones'!$Y:$Y,'Anexo Activos_Depreciaciones'!$P:$P,'Base de Capital'!$B53,'Anexo Activos_Depreciaciones'!$H:$H,'Base de Capital'!$J$8)</f>
        <v>65631.7</v>
      </c>
      <c r="K53" s="106">
        <f>+SUMIFS('Anexo Activos_Depreciaciones'!$AH:$AH,'Anexo Activos_Depreciaciones'!$P:$P,'Base de Capital'!$B53,'Anexo Activos_Depreciaciones'!$I:$I,'Base de Capital'!$K$8)</f>
        <v>83669.95</v>
      </c>
      <c r="L53" s="106">
        <f>+SUMIFS('Anexo Activos_Depreciaciones'!$AQ:$AQ,'Anexo Activos_Depreciaciones'!$P:$P,'Base de Capital'!$B53,'Anexo Activos_Depreciaciones'!$J:$J,'Base de Capital'!$L$8)</f>
        <v>101708.2</v>
      </c>
      <c r="M53" s="106">
        <f>+SUMIFS('Anexo Activos_Depreciaciones'!$AZ:$AZ,'Anexo Activos_Depreciaciones'!$P:$P,'Base de Capital'!$B53,'Anexo Activos_Depreciaciones'!$K:$K,'Base de Capital'!$M$8)</f>
        <v>119746</v>
      </c>
      <c r="N53" s="106"/>
      <c r="O53" s="106">
        <f>+SUMIFS('Anexo Activos_Depreciaciones'!$Z:$Z,'Anexo Activos_Depreciaciones'!$P:$P,'Base de Capital'!$B53,'Anexo Activos_Depreciaciones'!$L:$L,'Base de Capital'!$O$8)</f>
        <v>115401.85000000002</v>
      </c>
      <c r="P53" s="106">
        <f>+SUMIFS('Anexo Activos_Depreciaciones'!$AI:$AI,'Anexo Activos_Depreciaciones'!$P:$P,'Base de Capital'!$B53,'Anexo Activos_Depreciaciones'!$M:$M,'Base de Capital'!$P$8)</f>
        <v>97363.60000000002</v>
      </c>
      <c r="Q53" s="106">
        <f>+SUMIFS('Anexo Activos_Depreciaciones'!$AR:$AR,'Anexo Activos_Depreciaciones'!$P:$P,'Base de Capital'!$B53,'Anexo Activos_Depreciaciones'!$N:$N,'Base de Capital'!$Q$8)</f>
        <v>79325.35000000002</v>
      </c>
      <c r="R53" s="106">
        <f>+SUMIFS('Anexo Activos_Depreciaciones'!$BA:$BA,'Anexo Activos_Depreciaciones'!$P:$P,'Base de Capital'!$B53,'Anexo Activos_Depreciaciones'!$O:$O,'Base de Capital'!$R$8)</f>
        <v>61286.5</v>
      </c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</row>
    <row r="54" spans="2:64" outlineLevel="1" x14ac:dyDescent="0.2">
      <c r="B54" s="28" t="str">
        <f t="shared" si="4"/>
        <v>HIDROMETEOROLOGIAEQUIPO DE INFORMÁTICA</v>
      </c>
      <c r="C54" s="28" t="s">
        <v>29</v>
      </c>
      <c r="D54" s="106">
        <f>+SUMIFS('Anexo Activos_Depreciaciones'!$S:$S,'Anexo Activos_Depreciaciones'!$P:$P,'Base de Capital'!$B54,'Anexo Activos_Depreciaciones'!$C:$C,'Base de Capital'!$D$8)</f>
        <v>974163.54</v>
      </c>
      <c r="E54" s="106">
        <f>+SUMIFS('Anexo Activos_Depreciaciones'!$X:$X,'Anexo Activos_Depreciaciones'!$P:$P,'Base de Capital'!$B54,'Anexo Activos_Depreciaciones'!$D:$D,'Base de Capital'!$E$8)</f>
        <v>1016414.8</v>
      </c>
      <c r="F54" s="106">
        <f>+SUMIFS('Anexo Activos_Depreciaciones'!$AG:$AG,'Anexo Activos_Depreciaciones'!$P:$P,'Base de Capital'!$B54,'Anexo Activos_Depreciaciones'!$E:$E,'Base de Capital'!$F$8)</f>
        <v>1018439.24</v>
      </c>
      <c r="G54" s="106">
        <f>+SUMIFS('Anexo Activos_Depreciaciones'!$AP:$AP,'Anexo Activos_Depreciaciones'!$P:$P,'Base de Capital'!$B54,'Anexo Activos_Depreciaciones'!$F:$F,'Base de Capital'!$G$8)</f>
        <v>1018439.24</v>
      </c>
      <c r="H54" s="106">
        <f>+SUMIFS('Anexo Activos_Depreciaciones'!$AY:$AY,'Anexo Activos_Depreciaciones'!$P:$P,'Base de Capital'!$B54,'Anexo Activos_Depreciaciones'!$G:$G,'Base de Capital'!$H$8)</f>
        <v>1018439</v>
      </c>
      <c r="I54" s="106"/>
      <c r="J54" s="106">
        <f>+SUMIFS('Anexo Activos_Depreciaciones'!$Y:$Y,'Anexo Activos_Depreciaciones'!$P:$P,'Base de Capital'!$B54,'Anexo Activos_Depreciaciones'!$H:$H,'Base de Capital'!$J$8)</f>
        <v>947395.87999999989</v>
      </c>
      <c r="K54" s="106">
        <f>+SUMIFS('Anexo Activos_Depreciaciones'!$AH:$AH,'Anexo Activos_Depreciaciones'!$P:$P,'Base de Capital'!$B54,'Anexo Activos_Depreciaciones'!$I:$I,'Base de Capital'!$K$8)</f>
        <v>993617.50999999989</v>
      </c>
      <c r="L54" s="106">
        <f>+SUMIFS('Anexo Activos_Depreciaciones'!$AQ:$AQ,'Anexo Activos_Depreciaciones'!$P:$P,'Base de Capital'!$B54,'Anexo Activos_Depreciaciones'!$J:$J,'Base de Capital'!$L$8)</f>
        <v>1008376.0599999999</v>
      </c>
      <c r="M54" s="106">
        <f>+SUMIFS('Anexo Activos_Depreciaciones'!$AZ:$AZ,'Anexo Activos_Depreciaciones'!$P:$P,'Base de Capital'!$B54,'Anexo Activos_Depreciaciones'!$K:$K,'Base de Capital'!$M$8)</f>
        <v>1017821</v>
      </c>
      <c r="N54" s="106"/>
      <c r="O54" s="106">
        <f>+SUMIFS('Anexo Activos_Depreciaciones'!$Z:$Z,'Anexo Activos_Depreciaciones'!$P:$P,'Base de Capital'!$B54,'Anexo Activos_Depreciaciones'!$L:$L,'Base de Capital'!$O$8)</f>
        <v>69018.920000000158</v>
      </c>
      <c r="P54" s="106">
        <f>+SUMIFS('Anexo Activos_Depreciaciones'!$AI:$AI,'Anexo Activos_Depreciaciones'!$P:$P,'Base de Capital'!$B54,'Anexo Activos_Depreciaciones'!$M:$M,'Base de Capital'!$P$8)</f>
        <v>24821.730000000098</v>
      </c>
      <c r="Q54" s="106">
        <f>+SUMIFS('Anexo Activos_Depreciaciones'!$AR:$AR,'Anexo Activos_Depreciaciones'!$P:$P,'Base de Capital'!$B54,'Anexo Activos_Depreciaciones'!$N:$N,'Base de Capital'!$Q$8)</f>
        <v>10063.180000000051</v>
      </c>
      <c r="R54" s="106">
        <f>+SUMIFS('Anexo Activos_Depreciaciones'!$BA:$BA,'Anexo Activos_Depreciaciones'!$P:$P,'Base de Capital'!$B54,'Anexo Activos_Depreciaciones'!$O:$O,'Base de Capital'!$R$8)</f>
        <v>618.5</v>
      </c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</row>
    <row r="55" spans="2:64" outlineLevel="1" x14ac:dyDescent="0.2">
      <c r="B55" s="28" t="str">
        <f t="shared" si="4"/>
        <v>HIDROMETEOROLOGIAMOBILIARIO Y EQUIPO DE OFICINA</v>
      </c>
      <c r="C55" s="28" t="s">
        <v>23</v>
      </c>
      <c r="D55" s="106">
        <f>+SUMIFS('Anexo Activos_Depreciaciones'!$S:$S,'Anexo Activos_Depreciaciones'!$P:$P,'Base de Capital'!$B55,'Anexo Activos_Depreciaciones'!$C:$C,'Base de Capital'!$D$8)</f>
        <v>251418.83</v>
      </c>
      <c r="E55" s="106">
        <f>+SUMIFS('Anexo Activos_Depreciaciones'!$X:$X,'Anexo Activos_Depreciaciones'!$P:$P,'Base de Capital'!$B55,'Anexo Activos_Depreciaciones'!$D:$D,'Base de Capital'!$E$8)</f>
        <v>255640.12</v>
      </c>
      <c r="F55" s="106">
        <f>+SUMIFS('Anexo Activos_Depreciaciones'!$AG:$AG,'Anexo Activos_Depreciaciones'!$P:$P,'Base de Capital'!$B55,'Anexo Activos_Depreciaciones'!$E:$E,'Base de Capital'!$F$8)</f>
        <v>140338.69</v>
      </c>
      <c r="G55" s="106">
        <f>+SUMIFS('Anexo Activos_Depreciaciones'!$AP:$AP,'Anexo Activos_Depreciaciones'!$P:$P,'Base de Capital'!$B55,'Anexo Activos_Depreciaciones'!$F:$F,'Base de Capital'!$G$8)</f>
        <v>140338.69</v>
      </c>
      <c r="H55" s="106">
        <f>+SUMIFS('Anexo Activos_Depreciaciones'!$AY:$AY,'Anexo Activos_Depreciaciones'!$P:$P,'Base de Capital'!$B55,'Anexo Activos_Depreciaciones'!$G:$G,'Base de Capital'!$H$8)</f>
        <v>140339</v>
      </c>
      <c r="I55" s="106"/>
      <c r="J55" s="106">
        <f>+SUMIFS('Anexo Activos_Depreciaciones'!$Y:$Y,'Anexo Activos_Depreciaciones'!$P:$P,'Base de Capital'!$B55,'Anexo Activos_Depreciaciones'!$H:$H,'Base de Capital'!$J$8)</f>
        <v>248113.68</v>
      </c>
      <c r="K55" s="106">
        <f>+SUMIFS('Anexo Activos_Depreciaciones'!$AH:$AH,'Anexo Activos_Depreciaciones'!$P:$P,'Base de Capital'!$B55,'Anexo Activos_Depreciaciones'!$I:$I,'Base de Capital'!$K$8)</f>
        <v>132187.26</v>
      </c>
      <c r="L55" s="106">
        <f>+SUMIFS('Anexo Activos_Depreciaciones'!$AQ:$AQ,'Anexo Activos_Depreciaciones'!$P:$P,'Base de Capital'!$B55,'Anexo Activos_Depreciaciones'!$J:$J,'Base de Capital'!$L$8)</f>
        <v>133426.58000000002</v>
      </c>
      <c r="M55" s="106">
        <f>+SUMIFS('Anexo Activos_Depreciaciones'!$AZ:$AZ,'Anexo Activos_Depreciaciones'!$P:$P,'Base de Capital'!$B55,'Anexo Activos_Depreciaciones'!$K:$K,'Base de Capital'!$M$8)</f>
        <v>134521</v>
      </c>
      <c r="N55" s="106"/>
      <c r="O55" s="106">
        <f>+SUMIFS('Anexo Activos_Depreciaciones'!$Z:$Z,'Anexo Activos_Depreciaciones'!$P:$P,'Base de Capital'!$B55,'Anexo Activos_Depreciaciones'!$L:$L,'Base de Capital'!$O$8)</f>
        <v>7526.4400000000023</v>
      </c>
      <c r="P55" s="106">
        <f>+SUMIFS('Anexo Activos_Depreciaciones'!$AI:$AI,'Anexo Activos_Depreciaciones'!$P:$P,'Base de Capital'!$B55,'Anexo Activos_Depreciaciones'!$M:$M,'Base de Capital'!$P$8)</f>
        <v>8151.429999999993</v>
      </c>
      <c r="Q55" s="106">
        <f>+SUMIFS('Anexo Activos_Depreciaciones'!$AR:$AR,'Anexo Activos_Depreciaciones'!$P:$P,'Base de Capital'!$B55,'Anexo Activos_Depreciaciones'!$N:$N,'Base de Capital'!$Q$8)</f>
        <v>6912.109999999986</v>
      </c>
      <c r="R55" s="106">
        <f>+SUMIFS('Anexo Activos_Depreciaciones'!$BA:$BA,'Anexo Activos_Depreciaciones'!$P:$P,'Base de Capital'!$B55,'Anexo Activos_Depreciaciones'!$O:$O,'Base de Capital'!$R$8)</f>
        <v>5818</v>
      </c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2:64" outlineLevel="1" x14ac:dyDescent="0.2">
      <c r="B56" s="28" t="str">
        <f t="shared" si="4"/>
        <v>HIDROMETEOROLOGIAEQUIPO DE TRANSPORTE</v>
      </c>
      <c r="C56" s="28" t="s">
        <v>31</v>
      </c>
      <c r="D56" s="106">
        <f>+SUMIFS('Anexo Activos_Depreciaciones'!$S:$S,'Anexo Activos_Depreciaciones'!$P:$P,'Base de Capital'!$B56,'Anexo Activos_Depreciaciones'!$C:$C,'Base de Capital'!$D$8)</f>
        <v>348694.15</v>
      </c>
      <c r="E56" s="106">
        <f>+SUMIFS('Anexo Activos_Depreciaciones'!$X:$X,'Anexo Activos_Depreciaciones'!$P:$P,'Base de Capital'!$B56,'Anexo Activos_Depreciaciones'!$D:$D,'Base de Capital'!$E$8)</f>
        <v>348694.15</v>
      </c>
      <c r="F56" s="106">
        <f>+SUMIFS('Anexo Activos_Depreciaciones'!$AG:$AG,'Anexo Activos_Depreciaciones'!$P:$P,'Base de Capital'!$B56,'Anexo Activos_Depreciaciones'!$E:$E,'Base de Capital'!$F$8)</f>
        <v>286839.97000000003</v>
      </c>
      <c r="G56" s="106">
        <f>+SUMIFS('Anexo Activos_Depreciaciones'!$AP:$AP,'Anexo Activos_Depreciaciones'!$P:$P,'Base de Capital'!$B56,'Anexo Activos_Depreciaciones'!$F:$F,'Base de Capital'!$G$8)</f>
        <v>286839.97000000003</v>
      </c>
      <c r="H56" s="106">
        <f>+SUMIFS('Anexo Activos_Depreciaciones'!$AY:$AY,'Anexo Activos_Depreciaciones'!$P:$P,'Base de Capital'!$B56,'Anexo Activos_Depreciaciones'!$G:$G,'Base de Capital'!$H$8)</f>
        <v>286840</v>
      </c>
      <c r="I56" s="106"/>
      <c r="J56" s="106">
        <f>+SUMIFS('Anexo Activos_Depreciaciones'!$Y:$Y,'Anexo Activos_Depreciaciones'!$P:$P,'Base de Capital'!$B56,'Anexo Activos_Depreciaciones'!$H:$H,'Base de Capital'!$J$8)</f>
        <v>316993.61000000004</v>
      </c>
      <c r="K56" s="106">
        <f>+SUMIFS('Anexo Activos_Depreciaciones'!$AH:$AH,'Anexo Activos_Depreciaciones'!$P:$P,'Base de Capital'!$B56,'Anexo Activos_Depreciaciones'!$I:$I,'Base de Capital'!$K$8)</f>
        <v>263785.03000000003</v>
      </c>
      <c r="L56" s="106">
        <f>+SUMIFS('Anexo Activos_Depreciaciones'!$AQ:$AQ,'Anexo Activos_Depreciaciones'!$P:$P,'Base de Capital'!$B56,'Anexo Activos_Depreciaciones'!$J:$J,'Base de Capital'!$L$8)</f>
        <v>272430.63</v>
      </c>
      <c r="M56" s="106">
        <f>+SUMIFS('Anexo Activos_Depreciaciones'!$AZ:$AZ,'Anexo Activos_Depreciaciones'!$P:$P,'Base de Capital'!$B56,'Anexo Activos_Depreciaciones'!$K:$K,'Base de Capital'!$M$8)</f>
        <v>281076</v>
      </c>
      <c r="N56" s="106"/>
      <c r="O56" s="106">
        <f>+SUMIFS('Anexo Activos_Depreciaciones'!$Z:$Z,'Anexo Activos_Depreciaciones'!$P:$P,'Base de Capital'!$B56,'Anexo Activos_Depreciaciones'!$L:$L,'Base de Capital'!$O$8)</f>
        <v>31700.539999999979</v>
      </c>
      <c r="P56" s="106">
        <f>+SUMIFS('Anexo Activos_Depreciaciones'!$AI:$AI,'Anexo Activos_Depreciaciones'!$P:$P,'Base de Capital'!$B56,'Anexo Activos_Depreciaciones'!$M:$M,'Base de Capital'!$P$8)</f>
        <v>23054.940000000002</v>
      </c>
      <c r="Q56" s="106">
        <f>+SUMIFS('Anexo Activos_Depreciaciones'!$AR:$AR,'Anexo Activos_Depreciaciones'!$P:$P,'Base de Capital'!$B56,'Anexo Activos_Depreciaciones'!$N:$N,'Base de Capital'!$Q$8)</f>
        <v>14409.340000000026</v>
      </c>
      <c r="R56" s="106">
        <f>+SUMIFS('Anexo Activos_Depreciaciones'!$BA:$BA,'Anexo Activos_Depreciaciones'!$P:$P,'Base de Capital'!$B56,'Anexo Activos_Depreciaciones'!$O:$O,'Base de Capital'!$R$8)</f>
        <v>5764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</row>
    <row r="57" spans="2:64" outlineLevel="1" x14ac:dyDescent="0.2">
      <c r="B57" s="28" t="str">
        <f t="shared" si="4"/>
        <v>HIDROMETEOROLOGIAESTACIONES HIDROLÓGICAS</v>
      </c>
      <c r="C57" s="28" t="s">
        <v>33</v>
      </c>
      <c r="D57" s="106">
        <f>+SUMIFS('Anexo Activos_Depreciaciones'!$S:$S,'Anexo Activos_Depreciaciones'!$P:$P,'Base de Capital'!$B57,'Anexo Activos_Depreciaciones'!$C:$C,'Base de Capital'!$D$8)</f>
        <v>1646639.9</v>
      </c>
      <c r="E57" s="106">
        <f>+SUMIFS('Anexo Activos_Depreciaciones'!$X:$X,'Anexo Activos_Depreciaciones'!$P:$P,'Base de Capital'!$B57,'Anexo Activos_Depreciaciones'!$D:$D,'Base de Capital'!$E$8)</f>
        <v>1632228.49</v>
      </c>
      <c r="F57" s="106">
        <f>+SUMIFS('Anexo Activos_Depreciaciones'!$AG:$AG,'Anexo Activos_Depreciaciones'!$P:$P,'Base de Capital'!$B57,'Anexo Activos_Depreciaciones'!$E:$E,'Base de Capital'!$F$8)</f>
        <v>1677314.17</v>
      </c>
      <c r="G57" s="106">
        <f>+SUMIFS('Anexo Activos_Depreciaciones'!$AP:$AP,'Anexo Activos_Depreciaciones'!$P:$P,'Base de Capital'!$B57,'Anexo Activos_Depreciaciones'!$F:$F,'Base de Capital'!$G$8)</f>
        <v>1677314.17</v>
      </c>
      <c r="H57" s="106">
        <f>+SUMIFS('Anexo Activos_Depreciaciones'!$AY:$AY,'Anexo Activos_Depreciaciones'!$P:$P,'Base de Capital'!$B57,'Anexo Activos_Depreciaciones'!$G:$G,'Base de Capital'!$H$8)</f>
        <v>1677314</v>
      </c>
      <c r="I57" s="106"/>
      <c r="J57" s="106">
        <f>+SUMIFS('Anexo Activos_Depreciaciones'!$Y:$Y,'Anexo Activos_Depreciaciones'!$P:$P,'Base de Capital'!$B57,'Anexo Activos_Depreciaciones'!$H:$H,'Base de Capital'!$J$8)</f>
        <v>1274930.6499999999</v>
      </c>
      <c r="K57" s="106">
        <f>+SUMIFS('Anexo Activos_Depreciaciones'!$AH:$AH,'Anexo Activos_Depreciaciones'!$P:$P,'Base de Capital'!$B57,'Anexo Activos_Depreciaciones'!$I:$I,'Base de Capital'!$K$8)</f>
        <v>1297718.5299999998</v>
      </c>
      <c r="L57" s="106">
        <f>+SUMIFS('Anexo Activos_Depreciaciones'!$AQ:$AQ,'Anexo Activos_Depreciaciones'!$P:$P,'Base de Capital'!$B57,'Anexo Activos_Depreciaciones'!$J:$J,'Base de Capital'!$L$8)</f>
        <v>1311572.2499999998</v>
      </c>
      <c r="M57" s="106">
        <f>+SUMIFS('Anexo Activos_Depreciaciones'!$AZ:$AZ,'Anexo Activos_Depreciaciones'!$P:$P,'Base de Capital'!$B57,'Anexo Activos_Depreciaciones'!$K:$K,'Base de Capital'!$M$8)</f>
        <v>1325426</v>
      </c>
      <c r="N57" s="106"/>
      <c r="O57" s="106">
        <f>+SUMIFS('Anexo Activos_Depreciaciones'!$Z:$Z,'Anexo Activos_Depreciaciones'!$P:$P,'Base de Capital'!$B57,'Anexo Activos_Depreciaciones'!$L:$L,'Base de Capital'!$O$8)</f>
        <v>357297.84000000008</v>
      </c>
      <c r="P57" s="106">
        <f>+SUMIFS('Anexo Activos_Depreciaciones'!$AI:$AI,'Anexo Activos_Depreciaciones'!$P:$P,'Base de Capital'!$B57,'Anexo Activos_Depreciaciones'!$M:$M,'Base de Capital'!$P$8)</f>
        <v>379595.64000000013</v>
      </c>
      <c r="Q57" s="106">
        <f>+SUMIFS('Anexo Activos_Depreciaciones'!$AR:$AR,'Anexo Activos_Depreciaciones'!$P:$P,'Base de Capital'!$B57,'Anexo Activos_Depreciaciones'!$N:$N,'Base de Capital'!$Q$8)</f>
        <v>365741.92000000016</v>
      </c>
      <c r="R57" s="106">
        <f>+SUMIFS('Anexo Activos_Depreciaciones'!$BA:$BA,'Anexo Activos_Depreciaciones'!$P:$P,'Base de Capital'!$B57,'Anexo Activos_Depreciaciones'!$O:$O,'Base de Capital'!$R$8)</f>
        <v>351888</v>
      </c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2:64" outlineLevel="1" x14ac:dyDescent="0.2">
      <c r="B58" s="28" t="str">
        <f t="shared" si="4"/>
        <v>HIDROMETEOROLOGIAESTACIONES METEOROLÓGICAS</v>
      </c>
      <c r="C58" s="28" t="s">
        <v>34</v>
      </c>
      <c r="D58" s="106">
        <f>+SUMIFS('Anexo Activos_Depreciaciones'!$S:$S,'Anexo Activos_Depreciaciones'!$P:$P,'Base de Capital'!$B58,'Anexo Activos_Depreciaciones'!$C:$C,'Base de Capital'!$D$8)</f>
        <v>1718170.6800000002</v>
      </c>
      <c r="E58" s="106">
        <f>+SUMIFS('Anexo Activos_Depreciaciones'!$X:$X,'Anexo Activos_Depreciaciones'!$P:$P,'Base de Capital'!$B58,'Anexo Activos_Depreciaciones'!$D:$D,'Base de Capital'!$E$8)</f>
        <v>2457624.2700000005</v>
      </c>
      <c r="F58" s="106">
        <f>+SUMIFS('Anexo Activos_Depreciaciones'!$AG:$AG,'Anexo Activos_Depreciaciones'!$P:$P,'Base de Capital'!$B58,'Anexo Activos_Depreciaciones'!$E:$E,'Base de Capital'!$F$8)</f>
        <v>2471723.6600000006</v>
      </c>
      <c r="G58" s="106">
        <f>+SUMIFS('Anexo Activos_Depreciaciones'!$AP:$AP,'Anexo Activos_Depreciaciones'!$P:$P,'Base de Capital'!$B58,'Anexo Activos_Depreciaciones'!$F:$F,'Base de Capital'!$G$8)</f>
        <v>2471723.6600000006</v>
      </c>
      <c r="H58" s="106">
        <f>+SUMIFS('Anexo Activos_Depreciaciones'!$AY:$AY,'Anexo Activos_Depreciaciones'!$P:$P,'Base de Capital'!$B58,'Anexo Activos_Depreciaciones'!$G:$G,'Base de Capital'!$H$8)</f>
        <v>2471724</v>
      </c>
      <c r="I58" s="106"/>
      <c r="J58" s="106">
        <f>+SUMIFS('Anexo Activos_Depreciaciones'!$Y:$Y,'Anexo Activos_Depreciaciones'!$P:$P,'Base de Capital'!$B58,'Anexo Activos_Depreciaciones'!$H:$H,'Base de Capital'!$J$8)</f>
        <v>518739.11</v>
      </c>
      <c r="K58" s="106">
        <f>+SUMIFS('Anexo Activos_Depreciaciones'!$AH:$AH,'Anexo Activos_Depreciaciones'!$P:$P,'Base de Capital'!$B58,'Anexo Activos_Depreciaciones'!$I:$I,'Base de Capital'!$K$8)</f>
        <v>586060.98</v>
      </c>
      <c r="L58" s="106">
        <f>+SUMIFS('Anexo Activos_Depreciaciones'!$AQ:$AQ,'Anexo Activos_Depreciaciones'!$P:$P,'Base de Capital'!$B58,'Anexo Activos_Depreciaciones'!$J:$J,'Base de Capital'!$L$8)</f>
        <v>653239.4</v>
      </c>
      <c r="M58" s="106">
        <f>+SUMIFS('Anexo Activos_Depreciaciones'!$AZ:$AZ,'Anexo Activos_Depreciaciones'!$P:$P,'Base de Capital'!$B58,'Anexo Activos_Depreciaciones'!$K:$K,'Base de Capital'!$M$8)</f>
        <v>720418</v>
      </c>
      <c r="N58" s="106"/>
      <c r="O58" s="106">
        <f>+SUMIFS('Anexo Activos_Depreciaciones'!$Z:$Z,'Anexo Activos_Depreciaciones'!$P:$P,'Base de Capital'!$B58,'Anexo Activos_Depreciaciones'!$L:$L,'Base de Capital'!$O$8)</f>
        <v>1938885.1600000006</v>
      </c>
      <c r="P58" s="106">
        <f>+SUMIFS('Anexo Activos_Depreciaciones'!$AI:$AI,'Anexo Activos_Depreciaciones'!$P:$P,'Base de Capital'!$B58,'Anexo Activos_Depreciaciones'!$M:$M,'Base de Capital'!$P$8)</f>
        <v>1885662.6800000006</v>
      </c>
      <c r="Q58" s="106">
        <f>+SUMIFS('Anexo Activos_Depreciaciones'!$AR:$AR,'Anexo Activos_Depreciaciones'!$P:$P,'Base de Capital'!$B58,'Anexo Activos_Depreciaciones'!$N:$N,'Base de Capital'!$Q$8)</f>
        <v>1818484.2600000007</v>
      </c>
      <c r="R58" s="106">
        <f>+SUMIFS('Anexo Activos_Depreciaciones'!$BA:$BA,'Anexo Activos_Depreciaciones'!$P:$P,'Base de Capital'!$B58,'Anexo Activos_Depreciaciones'!$O:$O,'Base de Capital'!$R$8)</f>
        <v>1751306</v>
      </c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</row>
    <row r="59" spans="2:64" outlineLevel="1" x14ac:dyDescent="0.2">
      <c r="B59" s="28" t="str">
        <f t="shared" si="4"/>
        <v>HIDROMETEOROLOGIAEQUIPO DE HIDROMETEOROLOGÍA</v>
      </c>
      <c r="C59" s="28" t="s">
        <v>35</v>
      </c>
      <c r="D59" s="106">
        <f>+SUMIFS('Anexo Activos_Depreciaciones'!$S:$S,'Anexo Activos_Depreciaciones'!$P:$P,'Base de Capital'!$B59,'Anexo Activos_Depreciaciones'!$C:$C,'Base de Capital'!$D$8)</f>
        <v>1715355.17</v>
      </c>
      <c r="E59" s="106">
        <f>+SUMIFS('Anexo Activos_Depreciaciones'!$X:$X,'Anexo Activos_Depreciaciones'!$P:$P,'Base de Capital'!$B59,'Anexo Activos_Depreciaciones'!$D:$D,'Base de Capital'!$E$8)</f>
        <v>1949244.2999999998</v>
      </c>
      <c r="F59" s="106">
        <f>+SUMIFS('Anexo Activos_Depreciaciones'!$AG:$AG,'Anexo Activos_Depreciaciones'!$P:$P,'Base de Capital'!$B59,'Anexo Activos_Depreciaciones'!$E:$E,'Base de Capital'!$F$8)</f>
        <v>2032295.4</v>
      </c>
      <c r="G59" s="106">
        <f>+SUMIFS('Anexo Activos_Depreciaciones'!$AP:$AP,'Anexo Activos_Depreciaciones'!$P:$P,'Base de Capital'!$B59,'Anexo Activos_Depreciaciones'!$F:$F,'Base de Capital'!$G$8)</f>
        <v>2172465.2999999998</v>
      </c>
      <c r="H59" s="106">
        <f>+SUMIFS('Anexo Activos_Depreciaciones'!$AY:$AY,'Anexo Activos_Depreciaciones'!$P:$P,'Base de Capital'!$B59,'Anexo Activos_Depreciaciones'!$G:$G,'Base de Capital'!$H$8)</f>
        <v>2172465</v>
      </c>
      <c r="I59" s="106"/>
      <c r="J59" s="106">
        <f>+SUMIFS('Anexo Activos_Depreciaciones'!$Y:$Y,'Anexo Activos_Depreciaciones'!$P:$P,'Base de Capital'!$B59,'Anexo Activos_Depreciaciones'!$H:$H,'Base de Capital'!$J$8)</f>
        <v>600834.73</v>
      </c>
      <c r="K59" s="106">
        <f>+SUMIFS('Anexo Activos_Depreciaciones'!$AH:$AH,'Anexo Activos_Depreciaciones'!$P:$P,'Base de Capital'!$B59,'Anexo Activos_Depreciaciones'!$I:$I,'Base de Capital'!$K$8)</f>
        <v>647929.11</v>
      </c>
      <c r="L59" s="106">
        <f>+SUMIFS('Anexo Activos_Depreciaciones'!$AQ:$AQ,'Anexo Activos_Depreciaciones'!$P:$P,'Base de Capital'!$B59,'Anexo Activos_Depreciaciones'!$J:$J,'Base de Capital'!$L$8)</f>
        <v>698541.12</v>
      </c>
      <c r="M59" s="106">
        <f>+SUMIFS('Anexo Activos_Depreciaciones'!$AZ:$AZ,'Anexo Activos_Depreciaciones'!$P:$P,'Base de Capital'!$B59,'Anexo Activos_Depreciaciones'!$K:$K,'Base de Capital'!$M$8)</f>
        <v>749487</v>
      </c>
      <c r="N59" s="106"/>
      <c r="O59" s="106">
        <f>+SUMIFS('Anexo Activos_Depreciaciones'!$Z:$Z,'Anexo Activos_Depreciaciones'!$P:$P,'Base de Capital'!$B59,'Anexo Activos_Depreciaciones'!$L:$L,'Base de Capital'!$O$8)</f>
        <v>1348409.5699999998</v>
      </c>
      <c r="P59" s="106">
        <f>+SUMIFS('Anexo Activos_Depreciaciones'!$AI:$AI,'Anexo Activos_Depreciaciones'!$P:$P,'Base de Capital'!$B59,'Anexo Activos_Depreciaciones'!$M:$M,'Base de Capital'!$P$8)</f>
        <v>1384366.29</v>
      </c>
      <c r="Q59" s="106">
        <f>+SUMIFS('Anexo Activos_Depreciaciones'!$AR:$AR,'Anexo Activos_Depreciaciones'!$P:$P,'Base de Capital'!$B59,'Anexo Activos_Depreciaciones'!$N:$N,'Base de Capital'!$Q$8)</f>
        <v>1473924.1799999997</v>
      </c>
      <c r="R59" s="106">
        <f>+SUMIFS('Anexo Activos_Depreciaciones'!$BA:$BA,'Anexo Activos_Depreciaciones'!$P:$P,'Base de Capital'!$B59,'Anexo Activos_Depreciaciones'!$O:$O,'Base de Capital'!$R$8)</f>
        <v>1422978</v>
      </c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2:64" s="55" customFormat="1" x14ac:dyDescent="0.2">
      <c r="B60" s="55" t="str">
        <f>+CONCATENATE($C$51,C60)</f>
        <v>HIDROMETEOROLOGIASUB TOTAL</v>
      </c>
      <c r="C60" s="55" t="s">
        <v>25</v>
      </c>
      <c r="D60" s="77">
        <f>+SUMIFS('Anexo Activos_Depreciaciones'!$S:$S,'Anexo Activos_Depreciaciones'!$P:$P,'Base de Capital'!$B60,'Anexo Activos_Depreciaciones'!$C:$C,'Base de Capital'!$D$8)</f>
        <v>6905187.4500000002</v>
      </c>
      <c r="E60" s="77">
        <f>+SUMIFS('Anexo Activos_Depreciaciones'!$X:$X,'Anexo Activos_Depreciaciones'!$P:$P,'Base de Capital'!$B60,'Anexo Activos_Depreciaciones'!$D:$D,'Base de Capital'!$E$8)</f>
        <v>7910591.3100000005</v>
      </c>
      <c r="F60" s="77">
        <f>+SUMIFS('Anexo Activos_Depreciaciones'!$AG:$AG,'Anexo Activos_Depreciaciones'!$P:$P,'Base de Capital'!$B60,'Anexo Activos_Depreciaciones'!$E:$E,'Base de Capital'!$F$8)</f>
        <v>7877696.3100000005</v>
      </c>
      <c r="G60" s="77">
        <f>+SUMIFS('Anexo Activos_Depreciaciones'!$AP:$AP,'Anexo Activos_Depreciaciones'!$P:$P,'Base de Capital'!$B60,'Anexo Activos_Depreciaciones'!$F:$F,'Base de Capital'!$G$8)</f>
        <v>8020405.3200000003</v>
      </c>
      <c r="H60" s="77">
        <f>+SUMIFS('Anexo Activos_Depreciaciones'!$AY:$AY,'Anexo Activos_Depreciaciones'!$P:$P,'Base de Capital'!$B60,'Anexo Activos_Depreciaciones'!$G:$G,'Base de Capital'!$H$8)</f>
        <v>8020406</v>
      </c>
      <c r="I60" s="77"/>
      <c r="J60" s="77">
        <f>+SUMIFS('Anexo Activos_Depreciaciones'!$Y:$Y,'Anexo Activos_Depreciaciones'!$P:$P,'Base de Capital'!$B60,'Anexo Activos_Depreciaciones'!$H:$H,'Base de Capital'!$J$8)</f>
        <v>4000437.7199999997</v>
      </c>
      <c r="K60" s="77">
        <f>+SUMIFS('Anexo Activos_Depreciaciones'!$AH:$AH,'Anexo Activos_Depreciaciones'!$P:$P,'Base de Capital'!$B60,'Anexo Activos_Depreciaciones'!$I:$I,'Base de Capital'!$K$8)</f>
        <v>4038897.6099999994</v>
      </c>
      <c r="L60" s="77">
        <f>+SUMIFS('Anexo Activos_Depreciaciones'!$AQ:$AQ,'Anexo Activos_Depreciaciones'!$P:$P,'Base de Capital'!$B60,'Anexo Activos_Depreciaciones'!$J:$J,'Base de Capital'!$L$8)</f>
        <v>4219486.7799999993</v>
      </c>
      <c r="M60" s="77">
        <f>+SUMIFS('Anexo Activos_Depreciaciones'!$AZ:$AZ,'Anexo Activos_Depreciaciones'!$P:$P,'Base de Capital'!$B60,'Anexo Activos_Depreciaciones'!$K:$K,'Base de Capital'!$M$8)</f>
        <v>4395041</v>
      </c>
      <c r="N60" s="77"/>
      <c r="O60" s="77">
        <f>+SUMIFS('Anexo Activos_Depreciaciones'!$Z:$Z,'Anexo Activos_Depreciaciones'!$P:$P,'Base de Capital'!$B60,'Anexo Activos_Depreciaciones'!$L:$L,'Base de Capital'!$O$8)</f>
        <v>3910153.5900000008</v>
      </c>
      <c r="P60" s="77">
        <f>+SUMIFS('Anexo Activos_Depreciaciones'!$AI:$AI,'Anexo Activos_Depreciaciones'!$P:$P,'Base de Capital'!$B60,'Anexo Activos_Depreciaciones'!$M:$M,'Base de Capital'!$P$8)</f>
        <v>3838798.7000000011</v>
      </c>
      <c r="Q60" s="77">
        <f>+SUMIFS('Anexo Activos_Depreciaciones'!$AR:$AR,'Anexo Activos_Depreciaciones'!$P:$P,'Base de Capital'!$B60,'Anexo Activos_Depreciaciones'!$N:$N,'Base de Capital'!$Q$8)</f>
        <v>3800918.5400000005</v>
      </c>
      <c r="R60" s="77">
        <f>+SUMIFS('Anexo Activos_Depreciaciones'!$BA:$BA,'Anexo Activos_Depreciaciones'!$P:$P,'Base de Capital'!$B60,'Anexo Activos_Depreciaciones'!$O:$O,'Base de Capital'!$R$8)</f>
        <v>3625364</v>
      </c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2:64" x14ac:dyDescent="0.2"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2:64" s="94" customFormat="1" x14ac:dyDescent="0.2">
      <c r="C62" s="95" t="s">
        <v>36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2:64" outlineLevel="1" x14ac:dyDescent="0.2">
      <c r="B63" s="28" t="str">
        <f>+CONCATENATE($C$62,C63)</f>
        <v>GERENCIAL APOYOTERRENOS</v>
      </c>
      <c r="C63" s="28" t="s">
        <v>10</v>
      </c>
      <c r="D63" s="106">
        <f>+SUMIFS('Anexo Activos_Depreciaciones'!$S:$S,'Anexo Activos_Depreciaciones'!$P:$P,'Base de Capital'!$B63,'Anexo Activos_Depreciaciones'!$C:$C,'Base de Capital'!$D$8)</f>
        <v>362474.58999999985</v>
      </c>
      <c r="E63" s="106">
        <f>+SUMIFS('Anexo Activos_Depreciaciones'!$X:$X,'Anexo Activos_Depreciaciones'!$P:$P,'Base de Capital'!$B63,'Anexo Activos_Depreciaciones'!$D:$D,'Base de Capital'!$E$8)</f>
        <v>362474.58999999985</v>
      </c>
      <c r="F63" s="106">
        <f>+SUMIFS('Anexo Activos_Depreciaciones'!$AG:$AG,'Anexo Activos_Depreciaciones'!$P:$P,'Base de Capital'!$B63,'Anexo Activos_Depreciaciones'!$E:$E,'Base de Capital'!$F$8)</f>
        <v>272474.58999999985</v>
      </c>
      <c r="G63" s="106">
        <f>+SUMIFS('Anexo Activos_Depreciaciones'!$AP:$AP,'Anexo Activos_Depreciaciones'!$P:$P,'Base de Capital'!$B63,'Anexo Activos_Depreciaciones'!$F:$F,'Base de Capital'!$G$8)</f>
        <v>272474.58999999985</v>
      </c>
      <c r="H63" s="106">
        <f>+SUMIFS('Anexo Activos_Depreciaciones'!$AY:$AY,'Anexo Activos_Depreciaciones'!$P:$P,'Base de Capital'!$B63,'Anexo Activos_Depreciaciones'!$G:$G,'Base de Capital'!$H$8)</f>
        <v>272475</v>
      </c>
      <c r="I63" s="106"/>
      <c r="J63" s="106">
        <f>+SUMIFS('Anexo Activos_Depreciaciones'!$Y:$Y,'Anexo Activos_Depreciaciones'!$P:$P,'Base de Capital'!$B63,'Anexo Activos_Depreciaciones'!$H:$H,'Base de Capital'!$J$8)</f>
        <v>0</v>
      </c>
      <c r="K63" s="106">
        <f>+SUMIFS('Anexo Activos_Depreciaciones'!$AH:$AH,'Anexo Activos_Depreciaciones'!$P:$P,'Base de Capital'!$B63,'Anexo Activos_Depreciaciones'!$I:$I,'Base de Capital'!$K$8)</f>
        <v>0</v>
      </c>
      <c r="L63" s="106">
        <f>+SUMIFS('Anexo Activos_Depreciaciones'!$AQ:$AQ,'Anexo Activos_Depreciaciones'!$P:$P,'Base de Capital'!$B63,'Anexo Activos_Depreciaciones'!$J:$J,'Base de Capital'!$L$8)</f>
        <v>0</v>
      </c>
      <c r="M63" s="106">
        <f>+SUMIFS('Anexo Activos_Depreciaciones'!$AZ:$AZ,'Anexo Activos_Depreciaciones'!$P:$P,'Base de Capital'!$B63,'Anexo Activos_Depreciaciones'!$K:$K,'Base de Capital'!$M$8)</f>
        <v>0</v>
      </c>
      <c r="N63" s="106"/>
      <c r="O63" s="106">
        <f>+SUMIFS('Anexo Activos_Depreciaciones'!$Z:$Z,'Anexo Activos_Depreciaciones'!$P:$P,'Base de Capital'!$B63,'Anexo Activos_Depreciaciones'!$L:$L,'Base de Capital'!$O$8)</f>
        <v>362474.58999999985</v>
      </c>
      <c r="P63" s="106">
        <f>+SUMIFS('Anexo Activos_Depreciaciones'!$AI:$AI,'Anexo Activos_Depreciaciones'!$P:$P,'Base de Capital'!$B63,'Anexo Activos_Depreciaciones'!$M:$M,'Base de Capital'!$P$8)</f>
        <v>272474.58999999985</v>
      </c>
      <c r="Q63" s="106">
        <f>+SUMIFS('Anexo Activos_Depreciaciones'!$AR:$AR,'Anexo Activos_Depreciaciones'!$P:$P,'Base de Capital'!$B63,'Anexo Activos_Depreciaciones'!$N:$N,'Base de Capital'!$Q$8)</f>
        <v>272474.58999999985</v>
      </c>
      <c r="R63" s="106">
        <f>+SUMIFS('Anexo Activos_Depreciaciones'!$BA:$BA,'Anexo Activos_Depreciaciones'!$P:$P,'Base de Capital'!$B63,'Anexo Activos_Depreciaciones'!$O:$O,'Base de Capital'!$R$8)</f>
        <v>272475</v>
      </c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2:64" outlineLevel="1" x14ac:dyDescent="0.2">
      <c r="B64" s="28" t="str">
        <f t="shared" ref="B64:B73" si="5">+CONCATENATE($C$62,C64)</f>
        <v>GERENCIAL APOYOEDIFICIOS Y MEJORAS</v>
      </c>
      <c r="C64" s="28" t="s">
        <v>11</v>
      </c>
      <c r="D64" s="106">
        <f>+SUMIFS('Anexo Activos_Depreciaciones'!$S:$S,'Anexo Activos_Depreciaciones'!$P:$P,'Base de Capital'!$B64,'Anexo Activos_Depreciaciones'!$C:$C,'Base de Capital'!$D$8)</f>
        <v>981996.1799999997</v>
      </c>
      <c r="E64" s="106">
        <f>+SUMIFS('Anexo Activos_Depreciaciones'!$X:$X,'Anexo Activos_Depreciaciones'!$P:$P,'Base de Capital'!$B64,'Anexo Activos_Depreciaciones'!$D:$D,'Base de Capital'!$E$8)</f>
        <v>981996.1799999997</v>
      </c>
      <c r="F64" s="106">
        <f>+SUMIFS('Anexo Activos_Depreciaciones'!$AG:$AG,'Anexo Activos_Depreciaciones'!$P:$P,'Base de Capital'!$B64,'Anexo Activos_Depreciaciones'!$E:$E,'Base de Capital'!$F$8)</f>
        <v>981996.1799999997</v>
      </c>
      <c r="G64" s="106">
        <f>+SUMIFS('Anexo Activos_Depreciaciones'!$AP:$AP,'Anexo Activos_Depreciaciones'!$P:$P,'Base de Capital'!$B64,'Anexo Activos_Depreciaciones'!$F:$F,'Base de Capital'!$G$8)</f>
        <v>981996.1799999997</v>
      </c>
      <c r="H64" s="106">
        <f>+SUMIFS('Anexo Activos_Depreciaciones'!$AY:$AY,'Anexo Activos_Depreciaciones'!$P:$P,'Base de Capital'!$B64,'Anexo Activos_Depreciaciones'!$G:$G,'Base de Capital'!$H$8)</f>
        <v>981996</v>
      </c>
      <c r="I64" s="106"/>
      <c r="J64" s="106">
        <f>+SUMIFS('Anexo Activos_Depreciaciones'!$Y:$Y,'Anexo Activos_Depreciaciones'!$P:$P,'Base de Capital'!$B64,'Anexo Activos_Depreciaciones'!$H:$H,'Base de Capital'!$J$8)</f>
        <v>244165.46000000008</v>
      </c>
      <c r="K64" s="106">
        <f>+SUMIFS('Anexo Activos_Depreciaciones'!$AH:$AH,'Anexo Activos_Depreciaciones'!$P:$P,'Base de Capital'!$B64,'Anexo Activos_Depreciaciones'!$I:$I,'Base de Capital'!$K$8)</f>
        <v>272222.35000000009</v>
      </c>
      <c r="L64" s="106">
        <f>+SUMIFS('Anexo Activos_Depreciaciones'!$AQ:$AQ,'Anexo Activos_Depreciaciones'!$P:$P,'Base de Capital'!$B64,'Anexo Activos_Depreciaciones'!$J:$J,'Base de Capital'!$L$8)</f>
        <v>300279.24000000011</v>
      </c>
      <c r="M64" s="106">
        <f>+SUMIFS('Anexo Activos_Depreciaciones'!$AZ:$AZ,'Anexo Activos_Depreciaciones'!$P:$P,'Base de Capital'!$B64,'Anexo Activos_Depreciaciones'!$K:$K,'Base de Capital'!$M$8)</f>
        <v>328336</v>
      </c>
      <c r="N64" s="106"/>
      <c r="O64" s="106">
        <f>+SUMIFS('Anexo Activos_Depreciaciones'!$Z:$Z,'Anexo Activos_Depreciaciones'!$P:$P,'Base de Capital'!$B64,'Anexo Activos_Depreciaciones'!$L:$L,'Base de Capital'!$O$8)</f>
        <v>737830.71999999962</v>
      </c>
      <c r="P64" s="106">
        <f>+SUMIFS('Anexo Activos_Depreciaciones'!$AI:$AI,'Anexo Activos_Depreciaciones'!$P:$P,'Base de Capital'!$B64,'Anexo Activos_Depreciaciones'!$M:$M,'Base de Capital'!$P$8)</f>
        <v>709773.82999999961</v>
      </c>
      <c r="Q64" s="106">
        <f>+SUMIFS('Anexo Activos_Depreciaciones'!$AR:$AR,'Anexo Activos_Depreciaciones'!$P:$P,'Base de Capital'!$B64,'Anexo Activos_Depreciaciones'!$N:$N,'Base de Capital'!$Q$8)</f>
        <v>681716.93999999959</v>
      </c>
      <c r="R64" s="106">
        <f>+SUMIFS('Anexo Activos_Depreciaciones'!$BA:$BA,'Anexo Activos_Depreciaciones'!$P:$P,'Base de Capital'!$B64,'Anexo Activos_Depreciaciones'!$O:$O,'Base de Capital'!$R$8)</f>
        <v>653660</v>
      </c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</row>
    <row r="65" spans="2:64" outlineLevel="1" x14ac:dyDescent="0.2">
      <c r="B65" s="28" t="str">
        <f t="shared" si="5"/>
        <v>GERENCIAL APOYOEQUIPO ELÉCTRICO MISCELÁNEO</v>
      </c>
      <c r="C65" s="28" t="s">
        <v>15</v>
      </c>
      <c r="D65" s="106">
        <f>+SUMIFS('Anexo Activos_Depreciaciones'!$S:$S,'Anexo Activos_Depreciaciones'!$P:$P,'Base de Capital'!$B65,'Anexo Activos_Depreciaciones'!$C:$C,'Base de Capital'!$D$8)</f>
        <v>540822.46000000008</v>
      </c>
      <c r="E65" s="106">
        <f>+SUMIFS('Anexo Activos_Depreciaciones'!$X:$X,'Anexo Activos_Depreciaciones'!$P:$P,'Base de Capital'!$B65,'Anexo Activos_Depreciaciones'!$D:$D,'Base de Capital'!$E$8)</f>
        <v>549511.79000000015</v>
      </c>
      <c r="F65" s="106">
        <f>+SUMIFS('Anexo Activos_Depreciaciones'!$AG:$AG,'Anexo Activos_Depreciaciones'!$P:$P,'Base de Capital'!$B65,'Anexo Activos_Depreciaciones'!$E:$E,'Base de Capital'!$F$8)</f>
        <v>553221.01000000024</v>
      </c>
      <c r="G65" s="106">
        <f>+SUMIFS('Anexo Activos_Depreciaciones'!$AP:$AP,'Anexo Activos_Depreciaciones'!$P:$P,'Base de Capital'!$B65,'Anexo Activos_Depreciaciones'!$F:$F,'Base de Capital'!$G$8)</f>
        <v>555326.10000000021</v>
      </c>
      <c r="H65" s="106">
        <f>+SUMIFS('Anexo Activos_Depreciaciones'!$AY:$AY,'Anexo Activos_Depreciaciones'!$P:$P,'Base de Capital'!$B65,'Anexo Activos_Depreciaciones'!$G:$G,'Base de Capital'!$H$8)</f>
        <v>554148</v>
      </c>
      <c r="I65" s="106"/>
      <c r="J65" s="106">
        <f>+SUMIFS('Anexo Activos_Depreciaciones'!$Y:$Y,'Anexo Activos_Depreciaciones'!$P:$P,'Base de Capital'!$B65,'Anexo Activos_Depreciaciones'!$H:$H,'Base de Capital'!$J$8)</f>
        <v>261273.33</v>
      </c>
      <c r="K65" s="106">
        <f>+SUMIFS('Anexo Activos_Depreciaciones'!$AH:$AH,'Anexo Activos_Depreciaciones'!$P:$P,'Base de Capital'!$B65,'Anexo Activos_Depreciaciones'!$I:$I,'Base de Capital'!$K$8)</f>
        <v>311207.02999999997</v>
      </c>
      <c r="L65" s="106">
        <f>+SUMIFS('Anexo Activos_Depreciaciones'!$AQ:$AQ,'Anexo Activos_Depreciaciones'!$P:$P,'Base de Capital'!$B65,'Anexo Activos_Depreciaciones'!$J:$J,'Base de Capital'!$L$8)</f>
        <v>360092.67999999993</v>
      </c>
      <c r="M65" s="106">
        <f>+SUMIFS('Anexo Activos_Depreciaciones'!$AZ:$AZ,'Anexo Activos_Depreciaciones'!$P:$P,'Base de Capital'!$B65,'Anexo Activos_Depreciaciones'!$K:$K,'Base de Capital'!$M$8)</f>
        <v>407932</v>
      </c>
      <c r="N65" s="106"/>
      <c r="O65" s="106">
        <f>+SUMIFS('Anexo Activos_Depreciaciones'!$Z:$Z,'Anexo Activos_Depreciaciones'!$P:$P,'Base de Capital'!$B65,'Anexo Activos_Depreciaciones'!$L:$L,'Base de Capital'!$O$8)</f>
        <v>288238.4600000002</v>
      </c>
      <c r="P65" s="106">
        <f>+SUMIFS('Anexo Activos_Depreciaciones'!$AI:$AI,'Anexo Activos_Depreciaciones'!$P:$P,'Base de Capital'!$B65,'Anexo Activos_Depreciaciones'!$M:$M,'Base de Capital'!$P$8)</f>
        <v>242013.98000000027</v>
      </c>
      <c r="Q65" s="106">
        <f>+SUMIFS('Anexo Activos_Depreciaciones'!$AR:$AR,'Anexo Activos_Depreciaciones'!$P:$P,'Base de Capital'!$B65,'Anexo Activos_Depreciaciones'!$N:$N,'Base de Capital'!$Q$8)</f>
        <v>195233.42000000027</v>
      </c>
      <c r="R65" s="106">
        <f>+SUMIFS('Anexo Activos_Depreciaciones'!$BA:$BA,'Anexo Activos_Depreciaciones'!$P:$P,'Base de Capital'!$B65,'Anexo Activos_Depreciaciones'!$O:$O,'Base de Capital'!$R$8)</f>
        <v>146216</v>
      </c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2:64" outlineLevel="1" x14ac:dyDescent="0.2">
      <c r="B66" s="28" t="str">
        <f t="shared" si="5"/>
        <v>GERENCIAL APOYOEQUIPO DE LABORATORIO</v>
      </c>
      <c r="C66" s="28" t="s">
        <v>37</v>
      </c>
      <c r="D66" s="106">
        <f>+SUMIFS('Anexo Activos_Depreciaciones'!$S:$S,'Anexo Activos_Depreciaciones'!$P:$P,'Base de Capital'!$B66,'Anexo Activos_Depreciaciones'!$C:$C,'Base de Capital'!$D$8)</f>
        <v>1286786.21</v>
      </c>
      <c r="E66" s="106">
        <f>+SUMIFS('Anexo Activos_Depreciaciones'!$X:$X,'Anexo Activos_Depreciaciones'!$P:$P,'Base de Capital'!$B66,'Anexo Activos_Depreciaciones'!$D:$D,'Base de Capital'!$E$8)</f>
        <v>1286786.21</v>
      </c>
      <c r="F66" s="106">
        <f>+SUMIFS('Anexo Activos_Depreciaciones'!$AG:$AG,'Anexo Activos_Depreciaciones'!$P:$P,'Base de Capital'!$B66,'Anexo Activos_Depreciaciones'!$E:$E,'Base de Capital'!$F$8)</f>
        <v>1286786.21</v>
      </c>
      <c r="G66" s="106">
        <f>+SUMIFS('Anexo Activos_Depreciaciones'!$AP:$AP,'Anexo Activos_Depreciaciones'!$P:$P,'Base de Capital'!$B66,'Anexo Activos_Depreciaciones'!$F:$F,'Base de Capital'!$G$8)</f>
        <v>1286786.21</v>
      </c>
      <c r="H66" s="106">
        <f>+SUMIFS('Anexo Activos_Depreciaciones'!$AY:$AY,'Anexo Activos_Depreciaciones'!$P:$P,'Base de Capital'!$B66,'Anexo Activos_Depreciaciones'!$G:$G,'Base de Capital'!$H$8)</f>
        <v>1286786</v>
      </c>
      <c r="I66" s="106"/>
      <c r="J66" s="106">
        <f>+SUMIFS('Anexo Activos_Depreciaciones'!$Y:$Y,'Anexo Activos_Depreciaciones'!$P:$P,'Base de Capital'!$B66,'Anexo Activos_Depreciaciones'!$H:$H,'Base de Capital'!$J$8)</f>
        <v>1282590.9800000002</v>
      </c>
      <c r="K66" s="106">
        <f>+SUMIFS('Anexo Activos_Depreciaciones'!$AH:$AH,'Anexo Activos_Depreciaciones'!$P:$P,'Base de Capital'!$B66,'Anexo Activos_Depreciaciones'!$I:$I,'Base de Capital'!$K$8)</f>
        <v>1284043.8800000001</v>
      </c>
      <c r="L66" s="106">
        <f>+SUMIFS('Anexo Activos_Depreciaciones'!$AQ:$AQ,'Anexo Activos_Depreciaciones'!$P:$P,'Base de Capital'!$B66,'Anexo Activos_Depreciaciones'!$J:$J,'Base de Capital'!$L$8)</f>
        <v>1284791.76</v>
      </c>
      <c r="M66" s="106">
        <f>+SUMIFS('Anexo Activos_Depreciaciones'!$AZ:$AZ,'Anexo Activos_Depreciaciones'!$P:$P,'Base de Capital'!$B66,'Anexo Activos_Depreciaciones'!$K:$K,'Base de Capital'!$M$8)</f>
        <v>1285540</v>
      </c>
      <c r="N66" s="106"/>
      <c r="O66" s="106">
        <f>+SUMIFS('Anexo Activos_Depreciaciones'!$Z:$Z,'Anexo Activos_Depreciaciones'!$P:$P,'Base de Capital'!$B66,'Anexo Activos_Depreciaciones'!$L:$L,'Base de Capital'!$O$8)</f>
        <v>4195.2299999997485</v>
      </c>
      <c r="P66" s="106">
        <f>+SUMIFS('Anexo Activos_Depreciaciones'!$AI:$AI,'Anexo Activos_Depreciaciones'!$P:$P,'Base de Capital'!$B66,'Anexo Activos_Depreciaciones'!$M:$M,'Base de Capital'!$P$8)</f>
        <v>2742.3299999998417</v>
      </c>
      <c r="Q66" s="106">
        <f>+SUMIFS('Anexo Activos_Depreciaciones'!$AR:$AR,'Anexo Activos_Depreciaciones'!$P:$P,'Base de Capital'!$B66,'Anexo Activos_Depreciaciones'!$N:$N,'Base de Capital'!$Q$8)</f>
        <v>1994.4499999999534</v>
      </c>
      <c r="R66" s="106">
        <f>+SUMIFS('Anexo Activos_Depreciaciones'!$BA:$BA,'Anexo Activos_Depreciaciones'!$P:$P,'Base de Capital'!$B66,'Anexo Activos_Depreciaciones'!$O:$O,'Base de Capital'!$R$8)</f>
        <v>1247</v>
      </c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2:64" outlineLevel="1" x14ac:dyDescent="0.2">
      <c r="B67" s="28" t="str">
        <f t="shared" si="5"/>
        <v>GERENCIAL APOYOEQUIPO MECANICO</v>
      </c>
      <c r="C67" s="28" t="s">
        <v>19</v>
      </c>
      <c r="D67" s="106">
        <f>+SUMIFS('Anexo Activos_Depreciaciones'!$S:$S,'Anexo Activos_Depreciaciones'!$P:$P,'Base de Capital'!$B67,'Anexo Activos_Depreciaciones'!$C:$C,'Base de Capital'!$D$8)</f>
        <v>35847.149999999994</v>
      </c>
      <c r="E67" s="106">
        <f>+SUMIFS('Anexo Activos_Depreciaciones'!$X:$X,'Anexo Activos_Depreciaciones'!$P:$P,'Base de Capital'!$B67,'Anexo Activos_Depreciaciones'!$D:$D,'Base de Capital'!$E$8)</f>
        <v>35847.149999999994</v>
      </c>
      <c r="F67" s="106">
        <f>+SUMIFS('Anexo Activos_Depreciaciones'!$AG:$AG,'Anexo Activos_Depreciaciones'!$P:$P,'Base de Capital'!$B67,'Anexo Activos_Depreciaciones'!$E:$E,'Base de Capital'!$F$8)</f>
        <v>35847.149999999994</v>
      </c>
      <c r="G67" s="106">
        <f>+SUMIFS('Anexo Activos_Depreciaciones'!$AP:$AP,'Anexo Activos_Depreciaciones'!$P:$P,'Base de Capital'!$B67,'Anexo Activos_Depreciaciones'!$F:$F,'Base de Capital'!$G$8)</f>
        <v>35847.149999999994</v>
      </c>
      <c r="H67" s="106">
        <f>+SUMIFS('Anexo Activos_Depreciaciones'!$AY:$AY,'Anexo Activos_Depreciaciones'!$P:$P,'Base de Capital'!$B67,'Anexo Activos_Depreciaciones'!$G:$G,'Base de Capital'!$H$8)</f>
        <v>316816</v>
      </c>
      <c r="I67" s="106"/>
      <c r="J67" s="106">
        <f>+SUMIFS('Anexo Activos_Depreciaciones'!$Y:$Y,'Anexo Activos_Depreciaciones'!$P:$P,'Base de Capital'!$B67,'Anexo Activos_Depreciaciones'!$H:$H,'Base de Capital'!$J$8)</f>
        <v>14292.07</v>
      </c>
      <c r="K67" s="106">
        <f>+SUMIFS('Anexo Activos_Depreciaciones'!$AH:$AH,'Anexo Activos_Depreciaciones'!$P:$P,'Base de Capital'!$B67,'Anexo Activos_Depreciaciones'!$I:$I,'Base de Capital'!$K$8)</f>
        <v>17876.66</v>
      </c>
      <c r="L67" s="106">
        <f>+SUMIFS('Anexo Activos_Depreciaciones'!$AQ:$AQ,'Anexo Activos_Depreciaciones'!$P:$P,'Base de Capital'!$B67,'Anexo Activos_Depreciaciones'!$J:$J,'Base de Capital'!$L$8)</f>
        <v>21414.16</v>
      </c>
      <c r="M67" s="106">
        <f>+SUMIFS('Anexo Activos_Depreciaciones'!$AZ:$AZ,'Anexo Activos_Depreciaciones'!$P:$P,'Base de Capital'!$B67,'Anexo Activos_Depreciaciones'!$K:$K,'Base de Capital'!$M$8)</f>
        <v>50471</v>
      </c>
      <c r="N67" s="106"/>
      <c r="O67" s="106">
        <f>+SUMIFS('Anexo Activos_Depreciaciones'!$Z:$Z,'Anexo Activos_Depreciaciones'!$P:$P,'Base de Capital'!$B67,'Anexo Activos_Depreciaciones'!$L:$L,'Base de Capital'!$O$8)</f>
        <v>21555.079999999994</v>
      </c>
      <c r="P67" s="106">
        <f>+SUMIFS('Anexo Activos_Depreciaciones'!$AI:$AI,'Anexo Activos_Depreciaciones'!$P:$P,'Base de Capital'!$B67,'Anexo Activos_Depreciaciones'!$M:$M,'Base de Capital'!$P$8)</f>
        <v>17970.489999999994</v>
      </c>
      <c r="Q67" s="106">
        <f>+SUMIFS('Anexo Activos_Depreciaciones'!$AR:$AR,'Anexo Activos_Depreciaciones'!$P:$P,'Base de Capital'!$B67,'Anexo Activos_Depreciaciones'!$N:$N,'Base de Capital'!$Q$8)</f>
        <v>14432.989999999994</v>
      </c>
      <c r="R67" s="106">
        <f>+SUMIFS('Anexo Activos_Depreciaciones'!$BA:$BA,'Anexo Activos_Depreciaciones'!$P:$P,'Base de Capital'!$B67,'Anexo Activos_Depreciaciones'!$O:$O,'Base de Capital'!$R$8)</f>
        <v>266345</v>
      </c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2:64" outlineLevel="1" x14ac:dyDescent="0.2">
      <c r="B68" s="28" t="str">
        <f t="shared" si="5"/>
        <v>GERENCIAL APOYOEQUIPO DE COMUNICACIÓN</v>
      </c>
      <c r="C68" s="28" t="s">
        <v>20</v>
      </c>
      <c r="D68" s="106">
        <f>+SUMIFS('Anexo Activos_Depreciaciones'!$S:$S,'Anexo Activos_Depreciaciones'!$P:$P,'Base de Capital'!$B68,'Anexo Activos_Depreciaciones'!$C:$C,'Base de Capital'!$D$8)</f>
        <v>13366831.17</v>
      </c>
      <c r="E68" s="106">
        <f>+SUMIFS('Anexo Activos_Depreciaciones'!$X:$X,'Anexo Activos_Depreciaciones'!$P:$P,'Base de Capital'!$B68,'Anexo Activos_Depreciaciones'!$D:$D,'Base de Capital'!$E$8)</f>
        <v>13375766.949999999</v>
      </c>
      <c r="F68" s="106">
        <f>+SUMIFS('Anexo Activos_Depreciaciones'!$AG:$AG,'Anexo Activos_Depreciaciones'!$P:$P,'Base de Capital'!$B68,'Anexo Activos_Depreciaciones'!$E:$E,'Base de Capital'!$F$8)</f>
        <v>13376427.139999999</v>
      </c>
      <c r="G68" s="106">
        <f>+SUMIFS('Anexo Activos_Depreciaciones'!$AP:$AP,'Anexo Activos_Depreciaciones'!$P:$P,'Base de Capital'!$B68,'Anexo Activos_Depreciaciones'!$F:$F,'Base de Capital'!$G$8)</f>
        <v>14248537.299999999</v>
      </c>
      <c r="H68" s="106">
        <f>+SUMIFS('Anexo Activos_Depreciaciones'!$AY:$AY,'Anexo Activos_Depreciaciones'!$P:$P,'Base de Capital'!$B68,'Anexo Activos_Depreciaciones'!$G:$G,'Base de Capital'!$H$8)</f>
        <v>16759306</v>
      </c>
      <c r="I68" s="106"/>
      <c r="J68" s="106">
        <f>+SUMIFS('Anexo Activos_Depreciaciones'!$Y:$Y,'Anexo Activos_Depreciaciones'!$P:$P,'Base de Capital'!$B68,'Anexo Activos_Depreciaciones'!$H:$H,'Base de Capital'!$J$8)</f>
        <v>10788148.950000001</v>
      </c>
      <c r="K68" s="106">
        <f>+SUMIFS('Anexo Activos_Depreciaciones'!$AH:$AH,'Anexo Activos_Depreciaciones'!$P:$P,'Base de Capital'!$B68,'Anexo Activos_Depreciaciones'!$I:$I,'Base de Capital'!$K$8)</f>
        <v>11233458.700000001</v>
      </c>
      <c r="L68" s="106">
        <f>+SUMIFS('Anexo Activos_Depreciaciones'!$AQ:$AQ,'Anexo Activos_Depreciaciones'!$P:$P,'Base de Capital'!$B68,'Anexo Activos_Depreciaciones'!$J:$J,'Base de Capital'!$L$8)</f>
        <v>11749659.24</v>
      </c>
      <c r="M68" s="106">
        <f>+SUMIFS('Anexo Activos_Depreciaciones'!$AZ:$AZ,'Anexo Activos_Depreciaciones'!$P:$P,'Base de Capital'!$B68,'Anexo Activos_Depreciaciones'!$K:$K,'Base de Capital'!$M$8)</f>
        <v>12498975</v>
      </c>
      <c r="N68" s="106"/>
      <c r="O68" s="106">
        <f>+SUMIFS('Anexo Activos_Depreciaciones'!$Z:$Z,'Anexo Activos_Depreciaciones'!$P:$P,'Base de Capital'!$B68,'Anexo Activos_Depreciaciones'!$L:$L,'Base de Capital'!$O$8)</f>
        <v>2587617.9999999981</v>
      </c>
      <c r="P68" s="106">
        <f>+SUMIFS('Anexo Activos_Depreciaciones'!$AI:$AI,'Anexo Activos_Depreciaciones'!$P:$P,'Base de Capital'!$B68,'Anexo Activos_Depreciaciones'!$M:$M,'Base de Capital'!$P$8)</f>
        <v>2142968.4399999976</v>
      </c>
      <c r="Q68" s="106">
        <f>+SUMIFS('Anexo Activos_Depreciaciones'!$AR:$AR,'Anexo Activos_Depreciaciones'!$P:$P,'Base de Capital'!$B68,'Anexo Activos_Depreciaciones'!$N:$N,'Base de Capital'!$Q$8)</f>
        <v>2498878.0599999987</v>
      </c>
      <c r="R68" s="106">
        <f>+SUMIFS('Anexo Activos_Depreciaciones'!$BA:$BA,'Anexo Activos_Depreciaciones'!$P:$P,'Base de Capital'!$B68,'Anexo Activos_Depreciaciones'!$O:$O,'Base de Capital'!$R$8)</f>
        <v>4260331</v>
      </c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</row>
    <row r="69" spans="2:64" outlineLevel="1" x14ac:dyDescent="0.2">
      <c r="B69" s="28" t="str">
        <f t="shared" si="5"/>
        <v>GERENCIAL APOYOEQUIPO DE INFORMATICA</v>
      </c>
      <c r="C69" s="28" t="s">
        <v>38</v>
      </c>
      <c r="D69" s="106">
        <f>+SUMIFS('Anexo Activos_Depreciaciones'!$S:$S,'Anexo Activos_Depreciaciones'!$P:$P,'Base de Capital'!$B69,'Anexo Activos_Depreciaciones'!$C:$C,'Base de Capital'!$D$8)</f>
        <v>10324658.810000001</v>
      </c>
      <c r="E69" s="106">
        <f>+SUMIFS('Anexo Activos_Depreciaciones'!$X:$X,'Anexo Activos_Depreciaciones'!$P:$P,'Base de Capital'!$B69,'Anexo Activos_Depreciaciones'!$D:$D,'Base de Capital'!$E$8)</f>
        <v>12277328.130000001</v>
      </c>
      <c r="F69" s="106">
        <f>+SUMIFS('Anexo Activos_Depreciaciones'!$AG:$AG,'Anexo Activos_Depreciaciones'!$P:$P,'Base de Capital'!$B69,'Anexo Activos_Depreciaciones'!$E:$E,'Base de Capital'!$F$8)</f>
        <v>14241792.350000001</v>
      </c>
      <c r="G69" s="106">
        <f>+SUMIFS('Anexo Activos_Depreciaciones'!$AP:$AP,'Anexo Activos_Depreciaciones'!$P:$P,'Base de Capital'!$B69,'Anexo Activos_Depreciaciones'!$F:$F,'Base de Capital'!$G$8)</f>
        <v>14843057.550000001</v>
      </c>
      <c r="H69" s="106">
        <f>+SUMIFS('Anexo Activos_Depreciaciones'!$AY:$AY,'Anexo Activos_Depreciaciones'!$P:$P,'Base de Capital'!$B69,'Anexo Activos_Depreciaciones'!$G:$G,'Base de Capital'!$H$8)</f>
        <v>15851735</v>
      </c>
      <c r="I69" s="106"/>
      <c r="J69" s="106">
        <f>+SUMIFS('Anexo Activos_Depreciaciones'!$Y:$Y,'Anexo Activos_Depreciaciones'!$P:$P,'Base de Capital'!$B69,'Anexo Activos_Depreciaciones'!$H:$H,'Base de Capital'!$J$8)</f>
        <v>9749588.0500000007</v>
      </c>
      <c r="K69" s="106">
        <f>+SUMIFS('Anexo Activos_Depreciaciones'!$AH:$AH,'Anexo Activos_Depreciaciones'!$P:$P,'Base de Capital'!$B69,'Anexo Activos_Depreciaciones'!$I:$I,'Base de Capital'!$K$8)</f>
        <v>11422781.340000002</v>
      </c>
      <c r="L69" s="106">
        <f>+SUMIFS('Anexo Activos_Depreciaciones'!$AQ:$AQ,'Anexo Activos_Depreciaciones'!$P:$P,'Base de Capital'!$B69,'Anexo Activos_Depreciaciones'!$J:$J,'Base de Capital'!$L$8)</f>
        <v>12374476.550000001</v>
      </c>
      <c r="M69" s="106">
        <f>+SUMIFS('Anexo Activos_Depreciaciones'!$AZ:$AZ,'Anexo Activos_Depreciaciones'!$P:$P,'Base de Capital'!$B69,'Anexo Activos_Depreciaciones'!$K:$K,'Base de Capital'!$M$8)</f>
        <v>13863779</v>
      </c>
      <c r="N69" s="106"/>
      <c r="O69" s="106">
        <f>+SUMIFS('Anexo Activos_Depreciaciones'!$Z:$Z,'Anexo Activos_Depreciaciones'!$P:$P,'Base de Capital'!$B69,'Anexo Activos_Depreciaciones'!$L:$L,'Base de Capital'!$O$8)</f>
        <v>2527740.08</v>
      </c>
      <c r="P69" s="106">
        <f>+SUMIFS('Anexo Activos_Depreciaciones'!$AI:$AI,'Anexo Activos_Depreciaciones'!$P:$P,'Base de Capital'!$B69,'Anexo Activos_Depreciaciones'!$M:$M,'Base de Capital'!$P$8)</f>
        <v>2819011.01</v>
      </c>
      <c r="Q69" s="106">
        <f>+SUMIFS('Anexo Activos_Depreciaciones'!$AR:$AR,'Anexo Activos_Depreciaciones'!$P:$P,'Base de Capital'!$B69,'Anexo Activos_Depreciaciones'!$N:$N,'Base de Capital'!$Q$8)</f>
        <v>2468581</v>
      </c>
      <c r="R69" s="106">
        <f>+SUMIFS('Anexo Activos_Depreciaciones'!$BA:$BA,'Anexo Activos_Depreciaciones'!$P:$P,'Base de Capital'!$B69,'Anexo Activos_Depreciaciones'!$O:$O,'Base de Capital'!$R$8)</f>
        <v>1987956</v>
      </c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</row>
    <row r="70" spans="2:64" outlineLevel="1" x14ac:dyDescent="0.2">
      <c r="B70" s="28" t="str">
        <f t="shared" si="5"/>
        <v>GERENCIAL APOYOEQUIPO Y MOBILIARIO DE OFICINA</v>
      </c>
      <c r="C70" s="28" t="s">
        <v>30</v>
      </c>
      <c r="D70" s="106">
        <f>+SUMIFS('Anexo Activos_Depreciaciones'!$S:$S,'Anexo Activos_Depreciaciones'!$P:$P,'Base de Capital'!$B70,'Anexo Activos_Depreciaciones'!$C:$C,'Base de Capital'!$D$8)</f>
        <v>2750548.4300000006</v>
      </c>
      <c r="E70" s="106">
        <f>+SUMIFS('Anexo Activos_Depreciaciones'!$X:$X,'Anexo Activos_Depreciaciones'!$P:$P,'Base de Capital'!$B70,'Anexo Activos_Depreciaciones'!$D:$D,'Base de Capital'!$E$8)</f>
        <v>2848106.5800000005</v>
      </c>
      <c r="F70" s="106">
        <f>+SUMIFS('Anexo Activos_Depreciaciones'!$AG:$AG,'Anexo Activos_Depreciaciones'!$P:$P,'Base de Capital'!$B70,'Anexo Activos_Depreciaciones'!$E:$E,'Base de Capital'!$F$8)</f>
        <v>2926194.3500000006</v>
      </c>
      <c r="G70" s="106">
        <f>+SUMIFS('Anexo Activos_Depreciaciones'!$AP:$AP,'Anexo Activos_Depreciaciones'!$P:$P,'Base de Capital'!$B70,'Anexo Activos_Depreciaciones'!$F:$F,'Base de Capital'!$G$8)</f>
        <v>2963048.5500000007</v>
      </c>
      <c r="H70" s="106">
        <f>+SUMIFS('Anexo Activos_Depreciaciones'!$AY:$AY,'Anexo Activos_Depreciaciones'!$P:$P,'Base de Capital'!$B70,'Anexo Activos_Depreciaciones'!$G:$G,'Base de Capital'!$H$8)</f>
        <v>2994646</v>
      </c>
      <c r="I70" s="106"/>
      <c r="J70" s="106">
        <f>+SUMIFS('Anexo Activos_Depreciaciones'!$Y:$Y,'Anexo Activos_Depreciaciones'!$P:$P,'Base de Capital'!$B70,'Anexo Activos_Depreciaciones'!$H:$H,'Base de Capital'!$J$8)</f>
        <v>2391038.3199999998</v>
      </c>
      <c r="K70" s="106">
        <f>+SUMIFS('Anexo Activos_Depreciaciones'!$AH:$AH,'Anexo Activos_Depreciaciones'!$P:$P,'Base de Capital'!$B70,'Anexo Activos_Depreciaciones'!$I:$I,'Base de Capital'!$K$8)</f>
        <v>2480792.88</v>
      </c>
      <c r="L70" s="106">
        <f>+SUMIFS('Anexo Activos_Depreciaciones'!$AQ:$AQ,'Anexo Activos_Depreciaciones'!$P:$P,'Base de Capital'!$B70,'Anexo Activos_Depreciaciones'!$J:$J,'Base de Capital'!$L$8)</f>
        <v>2571268.2999999998</v>
      </c>
      <c r="M70" s="106">
        <f>+SUMIFS('Anexo Activos_Depreciaciones'!$AZ:$AZ,'Anexo Activos_Depreciaciones'!$P:$P,'Base de Capital'!$B70,'Anexo Activos_Depreciaciones'!$K:$K,'Base de Capital'!$M$8)</f>
        <v>2657833</v>
      </c>
      <c r="N70" s="106"/>
      <c r="O70" s="106">
        <f>+SUMIFS('Anexo Activos_Depreciaciones'!$Z:$Z,'Anexo Activos_Depreciaciones'!$P:$P,'Base de Capital'!$B70,'Anexo Activos_Depreciaciones'!$L:$L,'Base de Capital'!$O$8)</f>
        <v>457068.26000000071</v>
      </c>
      <c r="P70" s="106">
        <f>+SUMIFS('Anexo Activos_Depreciaciones'!$AI:$AI,'Anexo Activos_Depreciaciones'!$P:$P,'Base de Capital'!$B70,'Anexo Activos_Depreciaciones'!$M:$M,'Base de Capital'!$P$8)</f>
        <v>445401.47000000067</v>
      </c>
      <c r="Q70" s="106">
        <f>+SUMIFS('Anexo Activos_Depreciaciones'!$AR:$AR,'Anexo Activos_Depreciaciones'!$P:$P,'Base de Capital'!$B70,'Anexo Activos_Depreciaciones'!$N:$N,'Base de Capital'!$Q$8)</f>
        <v>391780.25000000093</v>
      </c>
      <c r="R70" s="106">
        <f>+SUMIFS('Anexo Activos_Depreciaciones'!$BA:$BA,'Anexo Activos_Depreciaciones'!$P:$P,'Base de Capital'!$B70,'Anexo Activos_Depreciaciones'!$O:$O,'Base de Capital'!$R$8)</f>
        <v>336813</v>
      </c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</row>
    <row r="71" spans="2:64" outlineLevel="1" x14ac:dyDescent="0.2">
      <c r="B71" s="28" t="str">
        <f t="shared" si="5"/>
        <v>GERENCIAL APOYOEQUIPO DE TRANSPORTE</v>
      </c>
      <c r="C71" s="28" t="s">
        <v>31</v>
      </c>
      <c r="D71" s="106">
        <f>+SUMIFS('Anexo Activos_Depreciaciones'!$S:$S,'Anexo Activos_Depreciaciones'!$P:$P,'Base de Capital'!$B71,'Anexo Activos_Depreciaciones'!$C:$C,'Base de Capital'!$D$8)</f>
        <v>5494828.5899999989</v>
      </c>
      <c r="E71" s="106">
        <f>+SUMIFS('Anexo Activos_Depreciaciones'!$X:$X,'Anexo Activos_Depreciaciones'!$P:$P,'Base de Capital'!$B71,'Anexo Activos_Depreciaciones'!$D:$D,'Base de Capital'!$E$8)</f>
        <v>4118866.4899999984</v>
      </c>
      <c r="F71" s="106">
        <f>+SUMIFS('Anexo Activos_Depreciaciones'!$AG:$AG,'Anexo Activos_Depreciaciones'!$P:$P,'Base de Capital'!$B71,'Anexo Activos_Depreciaciones'!$E:$E,'Base de Capital'!$F$8)</f>
        <v>4301896.0799999991</v>
      </c>
      <c r="G71" s="106">
        <f>+SUMIFS('Anexo Activos_Depreciaciones'!$AP:$AP,'Anexo Activos_Depreciaciones'!$P:$P,'Base de Capital'!$B71,'Anexo Activos_Depreciaciones'!$F:$F,'Base de Capital'!$G$8)</f>
        <v>4237896.0799999991</v>
      </c>
      <c r="H71" s="106">
        <f>+SUMIFS('Anexo Activos_Depreciaciones'!$AY:$AY,'Anexo Activos_Depreciaciones'!$P:$P,'Base de Capital'!$B71,'Anexo Activos_Depreciaciones'!$G:$G,'Base de Capital'!$H$8)</f>
        <v>4797535</v>
      </c>
      <c r="I71" s="106"/>
      <c r="J71" s="106">
        <f>+SUMIFS('Anexo Activos_Depreciaciones'!$Y:$Y,'Anexo Activos_Depreciaciones'!$P:$P,'Base de Capital'!$B71,'Anexo Activos_Depreciaciones'!$H:$H,'Base de Capital'!$J$8)</f>
        <v>3346359.5699999994</v>
      </c>
      <c r="K71" s="106">
        <f>+SUMIFS('Anexo Activos_Depreciaciones'!$AH:$AH,'Anexo Activos_Depreciaciones'!$P:$P,'Base de Capital'!$B71,'Anexo Activos_Depreciaciones'!$I:$I,'Base de Capital'!$K$8)</f>
        <v>3336217.1599999992</v>
      </c>
      <c r="L71" s="106">
        <f>+SUMIFS('Anexo Activos_Depreciaciones'!$AQ:$AQ,'Anexo Activos_Depreciaciones'!$P:$P,'Base de Capital'!$B71,'Anexo Activos_Depreciaciones'!$J:$J,'Base de Capital'!$L$8)</f>
        <v>3643531.5499999993</v>
      </c>
      <c r="M71" s="106">
        <f>+SUMIFS('Anexo Activos_Depreciaciones'!$AZ:$AZ,'Anexo Activos_Depreciaciones'!$P:$P,'Base de Capital'!$B71,'Anexo Activos_Depreciaciones'!$K:$K,'Base de Capital'!$M$8)</f>
        <v>3861637</v>
      </c>
      <c r="N71" s="106"/>
      <c r="O71" s="106">
        <f>+SUMIFS('Anexo Activos_Depreciaciones'!$Z:$Z,'Anexo Activos_Depreciaciones'!$P:$P,'Base de Capital'!$B71,'Anexo Activos_Depreciaciones'!$L:$L,'Base de Capital'!$O$8)</f>
        <v>772506.91999999899</v>
      </c>
      <c r="P71" s="106">
        <f>+SUMIFS('Anexo Activos_Depreciaciones'!$AI:$AI,'Anexo Activos_Depreciaciones'!$P:$P,'Base de Capital'!$B71,'Anexo Activos_Depreciaciones'!$M:$M,'Base de Capital'!$P$8)</f>
        <v>965678.91999999993</v>
      </c>
      <c r="Q71" s="106">
        <f>+SUMIFS('Anexo Activos_Depreciaciones'!$AR:$AR,'Anexo Activos_Depreciaciones'!$P:$P,'Base de Capital'!$B71,'Anexo Activos_Depreciaciones'!$N:$N,'Base de Capital'!$Q$8)</f>
        <v>594364.5299999998</v>
      </c>
      <c r="R71" s="106">
        <f>+SUMIFS('Anexo Activos_Depreciaciones'!$BA:$BA,'Anexo Activos_Depreciaciones'!$P:$P,'Base de Capital'!$B71,'Anexo Activos_Depreciaciones'!$O:$O,'Base de Capital'!$R$8)</f>
        <v>935898</v>
      </c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2:64" outlineLevel="1" x14ac:dyDescent="0.2">
      <c r="B72" s="28" t="str">
        <f t="shared" si="5"/>
        <v>GERENCIAL APOYOHERRAMIENTAS ESPECIALIZADAS</v>
      </c>
      <c r="C72" s="28" t="s">
        <v>24</v>
      </c>
      <c r="D72" s="106">
        <f>+SUMIFS('Anexo Activos_Depreciaciones'!$S:$S,'Anexo Activos_Depreciaciones'!$P:$P,'Base de Capital'!$B72,'Anexo Activos_Depreciaciones'!$C:$C,'Base de Capital'!$D$8)</f>
        <v>1632704.22</v>
      </c>
      <c r="E72" s="106">
        <f>+SUMIFS('Anexo Activos_Depreciaciones'!$X:$X,'Anexo Activos_Depreciaciones'!$P:$P,'Base de Capital'!$B72,'Anexo Activos_Depreciaciones'!$D:$D,'Base de Capital'!$E$8)</f>
        <v>1631590.6900000002</v>
      </c>
      <c r="F72" s="106">
        <f>+SUMIFS('Anexo Activos_Depreciaciones'!$AG:$AG,'Anexo Activos_Depreciaciones'!$P:$P,'Base de Capital'!$B72,'Anexo Activos_Depreciaciones'!$E:$E,'Base de Capital'!$F$8)</f>
        <v>1632082.8900000001</v>
      </c>
      <c r="G72" s="106">
        <f>+SUMIFS('Anexo Activos_Depreciaciones'!$AP:$AP,'Anexo Activos_Depreciaciones'!$P:$P,'Base de Capital'!$B72,'Anexo Activos_Depreciaciones'!$F:$F,'Base de Capital'!$G$8)</f>
        <v>1632082.8900000001</v>
      </c>
      <c r="H72" s="106">
        <f>+SUMIFS('Anexo Activos_Depreciaciones'!$AY:$AY,'Anexo Activos_Depreciaciones'!$P:$P,'Base de Capital'!$B72,'Anexo Activos_Depreciaciones'!$G:$G,'Base de Capital'!$H$8)</f>
        <v>1828909</v>
      </c>
      <c r="I72" s="106"/>
      <c r="J72" s="106">
        <f>+SUMIFS('Anexo Activos_Depreciaciones'!$Y:$Y,'Anexo Activos_Depreciaciones'!$P:$P,'Base de Capital'!$B72,'Anexo Activos_Depreciaciones'!$H:$H,'Base de Capital'!$J$8)</f>
        <v>1610947.44</v>
      </c>
      <c r="K72" s="106">
        <f>+SUMIFS('Anexo Activos_Depreciaciones'!$AH:$AH,'Anexo Activos_Depreciaciones'!$P:$P,'Base de Capital'!$B72,'Anexo Activos_Depreciaciones'!$I:$I,'Base de Capital'!$K$8)</f>
        <v>1616631.72</v>
      </c>
      <c r="L72" s="106">
        <f>+SUMIFS('Anexo Activos_Depreciaciones'!$AQ:$AQ,'Anexo Activos_Depreciaciones'!$P:$P,'Base de Capital'!$B72,'Anexo Activos_Depreciaciones'!$J:$J,'Base de Capital'!$L$8)</f>
        <v>1622328.3200000001</v>
      </c>
      <c r="M72" s="106">
        <f>+SUMIFS('Anexo Activos_Depreciaciones'!$AZ:$AZ,'Anexo Activos_Depreciaciones'!$P:$P,'Base de Capital'!$B72,'Anexo Activos_Depreciaciones'!$K:$K,'Base de Capital'!$M$8)</f>
        <v>1634507</v>
      </c>
      <c r="N72" s="106"/>
      <c r="O72" s="106">
        <f>+SUMIFS('Anexo Activos_Depreciaciones'!$Z:$Z,'Anexo Activos_Depreciaciones'!$P:$P,'Base de Capital'!$B72,'Anexo Activos_Depreciaciones'!$L:$L,'Base de Capital'!$O$8)</f>
        <v>20643.250000000233</v>
      </c>
      <c r="P72" s="106">
        <f>+SUMIFS('Anexo Activos_Depreciaciones'!$AI:$AI,'Anexo Activos_Depreciaciones'!$P:$P,'Base de Capital'!$B72,'Anexo Activos_Depreciaciones'!$M:$M,'Base de Capital'!$P$8)</f>
        <v>15451.170000000158</v>
      </c>
      <c r="Q72" s="106">
        <f>+SUMIFS('Anexo Activos_Depreciaciones'!$AR:$AR,'Anexo Activos_Depreciaciones'!$P:$P,'Base de Capital'!$B72,'Anexo Activos_Depreciaciones'!$N:$N,'Base de Capital'!$Q$8)</f>
        <v>9754.5700000000652</v>
      </c>
      <c r="R72" s="106">
        <f>+SUMIFS('Anexo Activos_Depreciaciones'!$BA:$BA,'Anexo Activos_Depreciaciones'!$P:$P,'Base de Capital'!$B72,'Anexo Activos_Depreciaciones'!$O:$O,'Base de Capital'!$R$8)</f>
        <v>194402</v>
      </c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</row>
    <row r="73" spans="2:64" s="55" customFormat="1" x14ac:dyDescent="0.2">
      <c r="B73" s="55" t="str">
        <f t="shared" si="5"/>
        <v>GERENCIAL APOYOSUB TOTAL</v>
      </c>
      <c r="C73" s="55" t="s">
        <v>25</v>
      </c>
      <c r="D73" s="77">
        <f>+SUMIFS('Anexo Activos_Depreciaciones'!$S:$S,'Anexo Activos_Depreciaciones'!$P:$P,'Base de Capital'!$B73,'Anexo Activos_Depreciaciones'!$C:$C,'Base de Capital'!$D$8)</f>
        <v>36777497.809999995</v>
      </c>
      <c r="E73" s="77">
        <f>+SUMIFS('Anexo Activos_Depreciaciones'!$X:$X,'Anexo Activos_Depreciaciones'!$P:$P,'Base de Capital'!$B73,'Anexo Activos_Depreciaciones'!$D:$D,'Base de Capital'!$E$8)</f>
        <v>37468274.759999998</v>
      </c>
      <c r="F73" s="77">
        <f>+SUMIFS('Anexo Activos_Depreciaciones'!$AG:$AG,'Anexo Activos_Depreciaciones'!$P:$P,'Base de Capital'!$B73,'Anexo Activos_Depreciaciones'!$E:$E,'Base de Capital'!$F$8)</f>
        <v>39608717.949999996</v>
      </c>
      <c r="G73" s="77">
        <f>+SUMIFS('Anexo Activos_Depreciaciones'!$AP:$AP,'Anexo Activos_Depreciaciones'!$P:$P,'Base de Capital'!$B73,'Anexo Activos_Depreciaciones'!$F:$F,'Base de Capital'!$G$8)</f>
        <v>41057052.599999994</v>
      </c>
      <c r="H73" s="77">
        <f>+SUMIFS('Anexo Activos_Depreciaciones'!$AY:$AY,'Anexo Activos_Depreciaciones'!$P:$P,'Base de Capital'!$B73,'Anexo Activos_Depreciaciones'!$G:$G,'Base de Capital'!$H$8)</f>
        <v>45644352</v>
      </c>
      <c r="I73" s="77"/>
      <c r="J73" s="77">
        <f>+SUMIFS('Anexo Activos_Depreciaciones'!$Y:$Y,'Anexo Activos_Depreciaciones'!$P:$P,'Base de Capital'!$B73,'Anexo Activos_Depreciaciones'!$H:$H,'Base de Capital'!$J$8)</f>
        <v>29688404.170000006</v>
      </c>
      <c r="K73" s="77">
        <f>+SUMIFS('Anexo Activos_Depreciaciones'!$AH:$AH,'Anexo Activos_Depreciaciones'!$P:$P,'Base de Capital'!$B73,'Anexo Activos_Depreciaciones'!$I:$I,'Base de Capital'!$K$8)</f>
        <v>31975231.719999999</v>
      </c>
      <c r="L73" s="77">
        <f>+SUMIFS('Anexo Activos_Depreciaciones'!$AQ:$AQ,'Anexo Activos_Depreciaciones'!$P:$P,'Base de Capital'!$B73,'Anexo Activos_Depreciaciones'!$J:$J,'Base de Capital'!$L$8)</f>
        <v>33927841.800000004</v>
      </c>
      <c r="M73" s="77">
        <f>+SUMIFS('Anexo Activos_Depreciaciones'!$AZ:$AZ,'Anexo Activos_Depreciaciones'!$P:$P,'Base de Capital'!$B73,'Anexo Activos_Depreciaciones'!$K:$K,'Base de Capital'!$M$8)</f>
        <v>36589010</v>
      </c>
      <c r="N73" s="77"/>
      <c r="O73" s="77">
        <f>+SUMIFS('Anexo Activos_Depreciaciones'!$Z:$Z,'Anexo Activos_Depreciaciones'!$P:$P,'Base de Capital'!$B73,'Anexo Activos_Depreciaciones'!$L:$L,'Base de Capital'!$O$8)</f>
        <v>7779870.589999998</v>
      </c>
      <c r="P73" s="77">
        <f>+SUMIFS('Anexo Activos_Depreciaciones'!$AI:$AI,'Anexo Activos_Depreciaciones'!$P:$P,'Base de Capital'!$B73,'Anexo Activos_Depreciaciones'!$M:$M,'Base de Capital'!$P$8)</f>
        <v>7633486.2299999977</v>
      </c>
      <c r="Q73" s="77">
        <f>+SUMIFS('Anexo Activos_Depreciaciones'!$AR:$AR,'Anexo Activos_Depreciaciones'!$P:$P,'Base de Capital'!$B73,'Anexo Activos_Depreciaciones'!$N:$N,'Base de Capital'!$Q$8)</f>
        <v>7129210.7999999989</v>
      </c>
      <c r="R73" s="77">
        <f>+SUMIFS('Anexo Activos_Depreciaciones'!$BA:$BA,'Anexo Activos_Depreciaciones'!$P:$P,'Base de Capital'!$B73,'Anexo Activos_Depreciaciones'!$O:$O,'Base de Capital'!$R$8)</f>
        <v>9055343</v>
      </c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4" spans="2:64" x14ac:dyDescent="0.2"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</row>
    <row r="75" spans="2:64" s="94" customFormat="1" x14ac:dyDescent="0.2">
      <c r="C75" s="95" t="s">
        <v>39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</row>
    <row r="76" spans="2:64" x14ac:dyDescent="0.2">
      <c r="B76" s="28" t="str">
        <f>+CONCATENATE($C$75,C76)</f>
        <v>GERENCIAL APOYO NO PRODUCTIVOEDIFICIOS Y MEJORAS</v>
      </c>
      <c r="C76" s="28" t="s">
        <v>11</v>
      </c>
      <c r="D76" s="106">
        <f>+SUMIFS('Anexo Activos_Depreciaciones'!$S:$S,'Anexo Activos_Depreciaciones'!$P:$P,'Base de Capital'!$B76,'Anexo Activos_Depreciaciones'!$C:$C,'Base de Capital'!$D$8)</f>
        <v>6366084.5300000003</v>
      </c>
      <c r="E76" s="106">
        <f>+SUMIFS('Anexo Activos_Depreciaciones'!$X:$X,'Anexo Activos_Depreciaciones'!$P:$P,'Base de Capital'!$B76,'Anexo Activos_Depreciaciones'!$D:$D,'Base de Capital'!$E$8)</f>
        <v>6366084.5300000003</v>
      </c>
      <c r="F76" s="106">
        <f>+SUMIFS('Anexo Activos_Depreciaciones'!$AG:$AG,'Anexo Activos_Depreciaciones'!$P:$P,'Base de Capital'!$B76,'Anexo Activos_Depreciaciones'!$E:$E,'Base de Capital'!$F$8)</f>
        <v>6366084.5300000003</v>
      </c>
      <c r="G76" s="106">
        <f>+SUMIFS('Anexo Activos_Depreciaciones'!$AP:$AP,'Anexo Activos_Depreciaciones'!$P:$P,'Base de Capital'!$B76,'Anexo Activos_Depreciaciones'!$F:$F,'Base de Capital'!$G$8)</f>
        <v>6366084.5300000003</v>
      </c>
      <c r="H76" s="106">
        <f>+SUMIFS('Anexo Activos_Depreciaciones'!$AY:$AY,'Anexo Activos_Depreciaciones'!$P:$P,'Base de Capital'!$B76,'Anexo Activos_Depreciaciones'!$G:$G,'Base de Capital'!$H$8)</f>
        <v>6366084.5300000003</v>
      </c>
      <c r="I76" s="106"/>
      <c r="J76" s="106">
        <f>+SUMIFS('Anexo Activos_Depreciaciones'!$Y:$Y,'Anexo Activos_Depreciaciones'!$P:$P,'Base de Capital'!$B76,'Anexo Activos_Depreciaciones'!$H:$H,'Base de Capital'!$J$8)</f>
        <v>4999262.4099999992</v>
      </c>
      <c r="K76" s="106">
        <f>+SUMIFS('Anexo Activos_Depreciaciones'!$AH:$AH,'Anexo Activos_Depreciaciones'!$P:$P,'Base de Capital'!$B76,'Anexo Activos_Depreciaciones'!$I:$I,'Base de Capital'!$K$8)</f>
        <v>5181150.1199999992</v>
      </c>
      <c r="L76" s="106">
        <f>+SUMIFS('Anexo Activos_Depreciaciones'!$AQ:$AQ,'Anexo Activos_Depreciaciones'!$P:$P,'Base de Capital'!$B76,'Anexo Activos_Depreciaciones'!$J:$J,'Base de Capital'!$L$8)</f>
        <v>5363037.8299999991</v>
      </c>
      <c r="M76" s="106">
        <f>+SUMIFS('Anexo Activos_Depreciaciones'!$AZ:$AZ,'Anexo Activos_Depreciaciones'!$P:$P,'Base de Capital'!$B76,'Anexo Activos_Depreciaciones'!$K:$K,'Base de Capital'!$M$8)</f>
        <v>5544926</v>
      </c>
      <c r="N76" s="106"/>
      <c r="O76" s="106">
        <f>+SUMIFS('Anexo Activos_Depreciaciones'!$Z:$Z,'Anexo Activos_Depreciaciones'!$P:$P,'Base de Capital'!$B76,'Anexo Activos_Depreciaciones'!$L:$L,'Base de Capital'!$O$8)</f>
        <v>1366822.120000001</v>
      </c>
      <c r="P76" s="106">
        <f>+SUMIFS('Anexo Activos_Depreciaciones'!$AI:$AI,'Anexo Activos_Depreciaciones'!$P:$P,'Base de Capital'!$B76,'Anexo Activos_Depreciaciones'!$M:$M,'Base de Capital'!$P$8)</f>
        <v>1184934.4100000011</v>
      </c>
      <c r="Q76" s="106">
        <f>+SUMIFS('Anexo Activos_Depreciaciones'!$AR:$AR,'Anexo Activos_Depreciaciones'!$P:$P,'Base de Capital'!$B76,'Anexo Activos_Depreciaciones'!$N:$N,'Base de Capital'!$Q$8)</f>
        <v>1003046.7000000011</v>
      </c>
      <c r="R76" s="106">
        <f>+SUMIFS('Anexo Activos_Depreciaciones'!$BA:$BA,'Anexo Activos_Depreciaciones'!$P:$P,'Base de Capital'!$B76,'Anexo Activos_Depreciaciones'!$O:$O,'Base de Capital'!$R$8)</f>
        <v>821158.53000000026</v>
      </c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2:64" x14ac:dyDescent="0.2">
      <c r="B77" s="28" t="str">
        <f>+CONCATENATE($C$75,C77)</f>
        <v>GERENCIAL APOYO NO PRODUCTIVOSUB TOTAL</v>
      </c>
      <c r="C77" s="28" t="s">
        <v>25</v>
      </c>
      <c r="D77" s="106">
        <f>+SUMIFS('Anexo Activos_Depreciaciones'!$S:$S,'Anexo Activos_Depreciaciones'!$P:$P,'Base de Capital'!$B77,'Anexo Activos_Depreciaciones'!$C:$C,'Base de Capital'!$D$8)</f>
        <v>6366084.5300000003</v>
      </c>
      <c r="E77" s="106">
        <f>+SUMIFS('Anexo Activos_Depreciaciones'!$X:$X,'Anexo Activos_Depreciaciones'!$P:$P,'Base de Capital'!$B77,'Anexo Activos_Depreciaciones'!$D:$D,'Base de Capital'!$E$8)</f>
        <v>6366084.5300000003</v>
      </c>
      <c r="F77" s="106">
        <f>+SUMIFS('Anexo Activos_Depreciaciones'!$AG:$AG,'Anexo Activos_Depreciaciones'!$P:$P,'Base de Capital'!$B77,'Anexo Activos_Depreciaciones'!$E:$E,'Base de Capital'!$F$8)</f>
        <v>6366084.5300000003</v>
      </c>
      <c r="G77" s="106">
        <f>+SUMIFS('Anexo Activos_Depreciaciones'!$AP:$AP,'Anexo Activos_Depreciaciones'!$P:$P,'Base de Capital'!$B77,'Anexo Activos_Depreciaciones'!$F:$F,'Base de Capital'!$G$8)</f>
        <v>6366084.5300000003</v>
      </c>
      <c r="H77" s="106">
        <f>+SUMIFS('Anexo Activos_Depreciaciones'!$AY:$AY,'Anexo Activos_Depreciaciones'!$P:$P,'Base de Capital'!$B77,'Anexo Activos_Depreciaciones'!$G:$G,'Base de Capital'!$H$8)</f>
        <v>6366084.5300000003</v>
      </c>
      <c r="I77" s="106"/>
      <c r="J77" s="106">
        <f>+SUMIFS('Anexo Activos_Depreciaciones'!$Y:$Y,'Anexo Activos_Depreciaciones'!$P:$P,'Base de Capital'!$B77,'Anexo Activos_Depreciaciones'!$H:$H,'Base de Capital'!$J$8)</f>
        <v>4999262.4099999992</v>
      </c>
      <c r="K77" s="106">
        <f>+SUMIFS('Anexo Activos_Depreciaciones'!$AH:$AH,'Anexo Activos_Depreciaciones'!$P:$P,'Base de Capital'!$B77,'Anexo Activos_Depreciaciones'!$I:$I,'Base de Capital'!$K$8)</f>
        <v>5181150.1199999992</v>
      </c>
      <c r="L77" s="106">
        <f>+SUMIFS('Anexo Activos_Depreciaciones'!$AQ:$AQ,'Anexo Activos_Depreciaciones'!$P:$P,'Base de Capital'!$B77,'Anexo Activos_Depreciaciones'!$J:$J,'Base de Capital'!$L$8)</f>
        <v>5363037.8299999991</v>
      </c>
      <c r="M77" s="106">
        <f>+SUMIFS('Anexo Activos_Depreciaciones'!$AZ:$AZ,'Anexo Activos_Depreciaciones'!$P:$P,'Base de Capital'!$B77,'Anexo Activos_Depreciaciones'!$K:$K,'Base de Capital'!$M$8)</f>
        <v>5544926</v>
      </c>
      <c r="N77" s="106"/>
      <c r="O77" s="106">
        <f>+SUMIFS('Anexo Activos_Depreciaciones'!$Z:$Z,'Anexo Activos_Depreciaciones'!$P:$P,'Base de Capital'!$B77,'Anexo Activos_Depreciaciones'!$L:$L,'Base de Capital'!$O$8)</f>
        <v>1366822.120000001</v>
      </c>
      <c r="P77" s="106">
        <f>+SUMIFS('Anexo Activos_Depreciaciones'!$AI:$AI,'Anexo Activos_Depreciaciones'!$P:$P,'Base de Capital'!$B77,'Anexo Activos_Depreciaciones'!$M:$M,'Base de Capital'!$P$8)</f>
        <v>1184934.4100000011</v>
      </c>
      <c r="Q77" s="106">
        <f>+SUMIFS('Anexo Activos_Depreciaciones'!$AR:$AR,'Anexo Activos_Depreciaciones'!$P:$P,'Base de Capital'!$B77,'Anexo Activos_Depreciaciones'!$N:$N,'Base de Capital'!$Q$8)</f>
        <v>1003046.7000000011</v>
      </c>
      <c r="R77" s="106">
        <f>+SUMIFS('Anexo Activos_Depreciaciones'!$BA:$BA,'Anexo Activos_Depreciaciones'!$P:$P,'Base de Capital'!$B77,'Anexo Activos_Depreciaciones'!$O:$O,'Base de Capital'!$R$8)</f>
        <v>821158.53000000026</v>
      </c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2:64" x14ac:dyDescent="0.2"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</row>
    <row r="79" spans="2:64" s="56" customFormat="1" x14ac:dyDescent="0.2">
      <c r="B79" s="56" t="str">
        <f>+C79</f>
        <v>TOTAL</v>
      </c>
      <c r="C79" s="56" t="s">
        <v>40</v>
      </c>
      <c r="D79" s="79">
        <f>+SUMIFS('Anexo Activos_Depreciaciones'!$S:$S,'Anexo Activos_Depreciaciones'!$P:$P,'Base de Capital'!$B79,'Anexo Activos_Depreciaciones'!$C:$C,'Base de Capital'!$D$8)</f>
        <v>409110641.17403382</v>
      </c>
      <c r="E79" s="79">
        <f>+SUMIFS('Anexo Activos_Depreciaciones'!$X:$X,'Anexo Activos_Depreciaciones'!$P:$P,'Base de Capital'!$B79,'Anexo Activos_Depreciaciones'!$D:$D,'Base de Capital'!$E$8)</f>
        <v>419576117.35403389</v>
      </c>
      <c r="F79" s="79">
        <f>+SUMIFS('Anexo Activos_Depreciaciones'!$AG:$AG,'Anexo Activos_Depreciaciones'!$P:$P,'Base de Capital'!$B79,'Anexo Activos_Depreciaciones'!$E:$E,'Base de Capital'!$F$8)</f>
        <v>432162528.06403381</v>
      </c>
      <c r="G79" s="79">
        <f>+SUMIFS('Anexo Activos_Depreciaciones'!$AP:$AP,'Anexo Activos_Depreciaciones'!$P:$P,'Base de Capital'!$B79,'Anexo Activos_Depreciaciones'!$F:$F,'Base de Capital'!$G$8)</f>
        <v>433237343.16403377</v>
      </c>
      <c r="H79" s="79">
        <f>+SUMIFS('Anexo Activos_Depreciaciones'!$AY:$AY,'Anexo Activos_Depreciaciones'!$P:$P,'Base de Capital'!$B79,'Anexo Activos_Depreciaciones'!$G:$G,'Base de Capital'!$H$8)</f>
        <v>467282161.48903382</v>
      </c>
      <c r="I79" s="79"/>
      <c r="J79" s="79">
        <f>+SUMIFS('Anexo Activos_Depreciaciones'!$Y:$Y,'Anexo Activos_Depreciaciones'!$P:$P,'Base de Capital'!$B79,'Anexo Activos_Depreciaciones'!$H:$H,'Base de Capital'!$J$8)</f>
        <v>203929978.83400002</v>
      </c>
      <c r="K79" s="79">
        <f>+SUMIFS('Anexo Activos_Depreciaciones'!$AH:$AH,'Anexo Activos_Depreciaciones'!$P:$P,'Base de Capital'!$B79,'Anexo Activos_Depreciaciones'!$I:$I,'Base de Capital'!$K$8)</f>
        <v>217240457.80939999</v>
      </c>
      <c r="L79" s="79">
        <f>+SUMIFS('Anexo Activos_Depreciaciones'!$AQ:$AQ,'Anexo Activos_Depreciaciones'!$P:$P,'Base de Capital'!$B79,'Anexo Activos_Depreciaciones'!$J:$J,'Base de Capital'!$L$8)</f>
        <v>229645456.57440007</v>
      </c>
      <c r="M79" s="79">
        <f>+SUMIFS('Anexo Activos_Depreciaciones'!$AZ:$AZ,'Anexo Activos_Depreciaciones'!$P:$P,'Base de Capital'!$B79,'Anexo Activos_Depreciaciones'!$K:$K,'Base de Capital'!$M$8)</f>
        <v>242779838.41</v>
      </c>
      <c r="N79" s="79"/>
      <c r="O79" s="79">
        <f>+SUMIFS('Anexo Activos_Depreciaciones'!$Z:$Z,'Anexo Activos_Depreciaciones'!$P:$P,'Base de Capital'!$B79,'Anexo Activos_Depreciaciones'!$L:$L,'Base de Capital'!$O$8)</f>
        <v>215646138.5200339</v>
      </c>
      <c r="P79" s="79">
        <f>+SUMIFS('Anexo Activos_Depreciaciones'!$AI:$AI,'Anexo Activos_Depreciaciones'!$P:$P,'Base de Capital'!$B79,'Anexo Activos_Depreciaciones'!$M:$M,'Base de Capital'!$P$8)</f>
        <v>214922070.25463387</v>
      </c>
      <c r="Q79" s="79">
        <f>+SUMIFS('Anexo Activos_Depreciaciones'!$AR:$AR,'Anexo Activos_Depreciaciones'!$P:$P,'Base de Capital'!$B79,'Anexo Activos_Depreciaciones'!$N:$N,'Base de Capital'!$Q$8)</f>
        <v>203591886.58963385</v>
      </c>
      <c r="R79" s="79">
        <f>+SUMIFS('Anexo Activos_Depreciaciones'!$BA:$BA,'Anexo Activos_Depreciaciones'!$P:$P,'Base de Capital'!$B79,'Anexo Activos_Depreciaciones'!$O:$O,'Base de Capital'!$R$8)</f>
        <v>224502323.07903388</v>
      </c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</row>
    <row r="80" spans="2:64" x14ac:dyDescent="0.2"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</row>
    <row r="81" spans="2:64" x14ac:dyDescent="0.2">
      <c r="B81" s="28" t="str">
        <f t="shared" ref="B81:B83" si="6">+C81</f>
        <v xml:space="preserve">Bienes Donados - Informática - Hidromet </v>
      </c>
      <c r="C81" s="28" t="s">
        <v>41</v>
      </c>
      <c r="D81" s="106">
        <f>+SUMIFS('Anexo Activos_Depreciaciones'!$S:$S,'Anexo Activos_Depreciaciones'!$P:$P,'Base de Capital'!$B81,'Anexo Activos_Depreciaciones'!$C:$C,'Base de Capital'!$D$8)</f>
        <v>7770.96</v>
      </c>
      <c r="E81" s="106">
        <f>+SUMIFS('Anexo Activos_Depreciaciones'!$X:$X,'Anexo Activos_Depreciaciones'!$P:$P,'Base de Capital'!$B81,'Anexo Activos_Depreciaciones'!$D:$D,'Base de Capital'!$E$8)</f>
        <v>7770.96</v>
      </c>
      <c r="F81" s="106">
        <f>+SUMIFS('Anexo Activos_Depreciaciones'!$AG:$AG,'Anexo Activos_Depreciaciones'!$P:$P,'Base de Capital'!$B81,'Anexo Activos_Depreciaciones'!$E:$E,'Base de Capital'!$F$8)</f>
        <v>7770.96</v>
      </c>
      <c r="G81" s="106">
        <f>+SUMIFS('Anexo Activos_Depreciaciones'!$AP:$AP,'Anexo Activos_Depreciaciones'!$P:$P,'Base de Capital'!$B81,'Anexo Activos_Depreciaciones'!$F:$F,'Base de Capital'!$G$8)</f>
        <v>7770.96</v>
      </c>
      <c r="H81" s="106">
        <f>+SUMIFS('Anexo Activos_Depreciaciones'!$AY:$AY,'Anexo Activos_Depreciaciones'!$P:$P,'Base de Capital'!$B81,'Anexo Activos_Depreciaciones'!$G:$G,'Base de Capital'!$H$8)</f>
        <v>7770.96</v>
      </c>
      <c r="I81" s="106"/>
      <c r="J81" s="106">
        <f>+SUMIFS('Anexo Activos_Depreciaciones'!$Y:$Y,'Anexo Activos_Depreciaciones'!$P:$P,'Base de Capital'!$B81,'Anexo Activos_Depreciaciones'!$H:$H,'Base de Capital'!$J$8)</f>
        <v>1350.6200000000001</v>
      </c>
      <c r="K81" s="106">
        <f>+SUMIFS('Anexo Activos_Depreciaciones'!$AH:$AH,'Anexo Activos_Depreciaciones'!$P:$P,'Base de Capital'!$B81,'Anexo Activos_Depreciaciones'!$I:$I,'Base de Capital'!$K$8)</f>
        <v>1572.64</v>
      </c>
      <c r="L81" s="106">
        <f>+SUMIFS('Anexo Activos_Depreciaciones'!$AQ:$AQ,'Anexo Activos_Depreciaciones'!$P:$P,'Base de Capital'!$B81,'Anexo Activos_Depreciaciones'!$J:$J,'Base de Capital'!$L$8)</f>
        <v>1794.66</v>
      </c>
      <c r="M81" s="106">
        <f>+SUMIFS('Anexo Activos_Depreciaciones'!$AZ:$AZ,'Anexo Activos_Depreciaciones'!$P:$P,'Base de Capital'!$B81,'Anexo Activos_Depreciaciones'!$K:$K,'Base de Capital'!$M$8)</f>
        <v>2017</v>
      </c>
      <c r="N81" s="106"/>
      <c r="O81" s="106">
        <f>+SUMIFS('Anexo Activos_Depreciaciones'!$Z:$Z,'Anexo Activos_Depreciaciones'!$P:$P,'Base de Capital'!$B81,'Anexo Activos_Depreciaciones'!$L:$L,'Base de Capital'!$O$8)</f>
        <v>6420.34</v>
      </c>
      <c r="P81" s="106">
        <f>+SUMIFS('Anexo Activos_Depreciaciones'!$AI:$AI,'Anexo Activos_Depreciaciones'!$P:$P,'Base de Capital'!$B81,'Anexo Activos_Depreciaciones'!$M:$M,'Base de Capital'!$P$8)</f>
        <v>6198.32</v>
      </c>
      <c r="Q81" s="106">
        <f>+SUMIFS('Anexo Activos_Depreciaciones'!$AR:$AR,'Anexo Activos_Depreciaciones'!$P:$P,'Base de Capital'!$B81,'Anexo Activos_Depreciaciones'!$N:$N,'Base de Capital'!$Q$8)</f>
        <v>5976.3</v>
      </c>
      <c r="R81" s="106">
        <f>+SUMIFS('Anexo Activos_Depreciaciones'!$BA:$BA,'Anexo Activos_Depreciaciones'!$P:$P,'Base de Capital'!$B81,'Anexo Activos_Depreciaciones'!$O:$O,'Base de Capital'!$R$8)</f>
        <v>5753.96</v>
      </c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2:64" x14ac:dyDescent="0.2">
      <c r="B82" s="28" t="str">
        <f t="shared" si="6"/>
        <v>EQUIPO TORRES - ACP / STP</v>
      </c>
      <c r="C82" s="28" t="s">
        <v>42</v>
      </c>
      <c r="D82" s="106">
        <f>+SUMIFS('Anexo Activos_Depreciaciones'!$S:$S,'Anexo Activos_Depreciaciones'!$P:$P,'Base de Capital'!$B82,'Anexo Activos_Depreciaciones'!$C:$C,'Base de Capital'!$D$8)</f>
        <v>594894.77</v>
      </c>
      <c r="E82" s="106">
        <f>+SUMIFS('Anexo Activos_Depreciaciones'!$X:$X,'Anexo Activos_Depreciaciones'!$P:$P,'Base de Capital'!$B82,'Anexo Activos_Depreciaciones'!$D:$D,'Base de Capital'!$E$8)</f>
        <v>594894.77</v>
      </c>
      <c r="F82" s="106">
        <f>+SUMIFS('Anexo Activos_Depreciaciones'!$AG:$AG,'Anexo Activos_Depreciaciones'!$P:$P,'Base de Capital'!$B82,'Anexo Activos_Depreciaciones'!$E:$E,'Base de Capital'!$F$8)</f>
        <v>594894.77</v>
      </c>
      <c r="G82" s="106">
        <f>+SUMIFS('Anexo Activos_Depreciaciones'!$AP:$AP,'Anexo Activos_Depreciaciones'!$P:$P,'Base de Capital'!$B82,'Anexo Activos_Depreciaciones'!$F:$F,'Base de Capital'!$G$8)</f>
        <v>594894.77</v>
      </c>
      <c r="H82" s="106">
        <f>+SUMIFS('Anexo Activos_Depreciaciones'!$AY:$AY,'Anexo Activos_Depreciaciones'!$P:$P,'Base de Capital'!$B82,'Anexo Activos_Depreciaciones'!$G:$G,'Base de Capital'!$H$8)</f>
        <v>1918331.77</v>
      </c>
      <c r="I82" s="106"/>
      <c r="J82" s="106">
        <f>+SUMIFS('Anexo Activos_Depreciaciones'!$Y:$Y,'Anexo Activos_Depreciaciones'!$P:$P,'Base de Capital'!$B82,'Anexo Activos_Depreciaciones'!$H:$H,'Base de Capital'!$J$8)</f>
        <v>58249.899999999987</v>
      </c>
      <c r="K82" s="106">
        <f>+SUMIFS('Anexo Activos_Depreciaciones'!$AH:$AH,'Anexo Activos_Depreciaciones'!$P:$P,'Base de Capital'!$B82,'Anexo Activos_Depreciaciones'!$I:$I,'Base de Capital'!$K$8)</f>
        <v>73122.199999999983</v>
      </c>
      <c r="L82" s="106">
        <f>+SUMIFS('Anexo Activos_Depreciaciones'!$AQ:$AQ,'Anexo Activos_Depreciaciones'!$P:$P,'Base de Capital'!$B82,'Anexo Activos_Depreciaciones'!$J:$J,'Base de Capital'!$L$8)</f>
        <v>87994.499999999985</v>
      </c>
      <c r="M82" s="106">
        <f>+SUMIFS('Anexo Activos_Depreciaciones'!$AZ:$AZ,'Anexo Activos_Depreciaciones'!$P:$P,'Base de Capital'!$B82,'Anexo Activos_Depreciaciones'!$K:$K,'Base de Capital'!$M$8)</f>
        <v>129486</v>
      </c>
      <c r="N82" s="106"/>
      <c r="O82" s="106">
        <f>+SUMIFS('Anexo Activos_Depreciaciones'!$Z:$Z,'Anexo Activos_Depreciaciones'!$P:$P,'Base de Capital'!$B82,'Anexo Activos_Depreciaciones'!$L:$L,'Base de Capital'!$O$8)</f>
        <v>536644.87</v>
      </c>
      <c r="P82" s="106">
        <f>+SUMIFS('Anexo Activos_Depreciaciones'!$AI:$AI,'Anexo Activos_Depreciaciones'!$P:$P,'Base de Capital'!$B82,'Anexo Activos_Depreciaciones'!$M:$M,'Base de Capital'!$P$8)</f>
        <v>521772.57000000007</v>
      </c>
      <c r="Q82" s="106">
        <f>+SUMIFS('Anexo Activos_Depreciaciones'!$AR:$AR,'Anexo Activos_Depreciaciones'!$P:$P,'Base de Capital'!$B82,'Anexo Activos_Depreciaciones'!$N:$N,'Base de Capital'!$Q$8)</f>
        <v>506900.27</v>
      </c>
      <c r="R82" s="106">
        <f>+SUMIFS('Anexo Activos_Depreciaciones'!$BA:$BA,'Anexo Activos_Depreciaciones'!$P:$P,'Base de Capital'!$B82,'Anexo Activos_Depreciaciones'!$O:$O,'Base de Capital'!$R$8)</f>
        <v>1788845.77</v>
      </c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</row>
    <row r="83" spans="2:64" x14ac:dyDescent="0.2">
      <c r="B83" s="28" t="str">
        <f t="shared" si="6"/>
        <v>EQUIPO CONDUCTORES Y OTROS - ACP / STP</v>
      </c>
      <c r="C83" s="28" t="s">
        <v>43</v>
      </c>
      <c r="D83" s="106">
        <f>+SUMIFS('Anexo Activos_Depreciaciones'!$S:$S,'Anexo Activos_Depreciaciones'!$P:$P,'Base de Capital'!$B83,'Anexo Activos_Depreciaciones'!$C:$C,'Base de Capital'!$D$8)</f>
        <v>504105.23</v>
      </c>
      <c r="E83" s="106">
        <f>+SUMIFS('Anexo Activos_Depreciaciones'!$X:$X,'Anexo Activos_Depreciaciones'!$P:$P,'Base de Capital'!$B83,'Anexo Activos_Depreciaciones'!$D:$D,'Base de Capital'!$E$8)</f>
        <v>504105.23</v>
      </c>
      <c r="F83" s="106">
        <f>+SUMIFS('Anexo Activos_Depreciaciones'!$AG:$AG,'Anexo Activos_Depreciaciones'!$P:$P,'Base de Capital'!$B83,'Anexo Activos_Depreciaciones'!$E:$E,'Base de Capital'!$F$8)</f>
        <v>504105.23</v>
      </c>
      <c r="G83" s="106">
        <f>+SUMIFS('Anexo Activos_Depreciaciones'!$AP:$AP,'Anexo Activos_Depreciaciones'!$P:$P,'Base de Capital'!$B83,'Anexo Activos_Depreciaciones'!$F:$F,'Base de Capital'!$G$8)</f>
        <v>504105.23</v>
      </c>
      <c r="H83" s="106">
        <f>+SUMIFS('Anexo Activos_Depreciaciones'!$AY:$AY,'Anexo Activos_Depreciaciones'!$P:$P,'Base de Capital'!$B83,'Anexo Activos_Depreciaciones'!$G:$G,'Base de Capital'!$H$8)</f>
        <v>504105.23</v>
      </c>
      <c r="I83" s="106"/>
      <c r="J83" s="106">
        <f>+SUMIFS('Anexo Activos_Depreciaciones'!$Y:$Y,'Anexo Activos_Depreciaciones'!$P:$P,'Base de Capital'!$B83,'Anexo Activos_Depreciaciones'!$H:$H,'Base de Capital'!$J$8)</f>
        <v>56411.75</v>
      </c>
      <c r="K83" s="106">
        <f>+SUMIFS('Anexo Activos_Depreciaciones'!$AH:$AH,'Anexo Activos_Depreciaciones'!$P:$P,'Base de Capital'!$B83,'Anexo Activos_Depreciaciones'!$I:$I,'Base de Capital'!$K$8)</f>
        <v>70814.75</v>
      </c>
      <c r="L83" s="106">
        <f>+SUMIFS('Anexo Activos_Depreciaciones'!$AQ:$AQ,'Anexo Activos_Depreciaciones'!$P:$P,'Base de Capital'!$B83,'Anexo Activos_Depreciaciones'!$J:$J,'Base de Capital'!$L$8)</f>
        <v>85217.75</v>
      </c>
      <c r="M83" s="106">
        <f>+SUMIFS('Anexo Activos_Depreciaciones'!$AZ:$AZ,'Anexo Activos_Depreciaciones'!$P:$P,'Base de Capital'!$B83,'Anexo Activos_Depreciaciones'!$K:$K,'Base de Capital'!$M$8)</f>
        <v>99621</v>
      </c>
      <c r="N83" s="106"/>
      <c r="O83" s="106">
        <f>+SUMIFS('Anexo Activos_Depreciaciones'!$Z:$Z,'Anexo Activos_Depreciaciones'!$P:$P,'Base de Capital'!$B83,'Anexo Activos_Depreciaciones'!$L:$L,'Base de Capital'!$O$8)</f>
        <v>447693.48</v>
      </c>
      <c r="P83" s="106">
        <f>+SUMIFS('Anexo Activos_Depreciaciones'!$AI:$AI,'Anexo Activos_Depreciaciones'!$P:$P,'Base de Capital'!$B83,'Anexo Activos_Depreciaciones'!$M:$M,'Base de Capital'!$P$8)</f>
        <v>433290.48</v>
      </c>
      <c r="Q83" s="106">
        <f>+SUMIFS('Anexo Activos_Depreciaciones'!$AR:$AR,'Anexo Activos_Depreciaciones'!$P:$P,'Base de Capital'!$B83,'Anexo Activos_Depreciaciones'!$N:$N,'Base de Capital'!$Q$8)</f>
        <v>418887.48</v>
      </c>
      <c r="R83" s="106">
        <f>+SUMIFS('Anexo Activos_Depreciaciones'!$BA:$BA,'Anexo Activos_Depreciaciones'!$P:$P,'Base de Capital'!$B83,'Anexo Activos_Depreciaciones'!$O:$O,'Base de Capital'!$R$8)</f>
        <v>404484.23</v>
      </c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2:64" x14ac:dyDescent="0.2"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</row>
    <row r="85" spans="2:64" x14ac:dyDescent="0.2"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6" spans="2:64" s="56" customFormat="1" x14ac:dyDescent="0.2">
      <c r="B86" s="56" t="str">
        <f t="shared" ref="B86" si="7">+C86</f>
        <v>Gran Total</v>
      </c>
      <c r="C86" s="56" t="s">
        <v>44</v>
      </c>
      <c r="D86" s="79">
        <f>+SUMIFS('Anexo Activos_Depreciaciones'!$S:$S,'Anexo Activos_Depreciaciones'!$P:$P,'Base de Capital'!$B86,'Anexo Activos_Depreciaciones'!$C:$C,'Base de Capital'!$D$8)</f>
        <v>410217412.1340338</v>
      </c>
      <c r="E86" s="79">
        <f>+SUMIFS('Anexo Activos_Depreciaciones'!$X:$X,'Anexo Activos_Depreciaciones'!$P:$P,'Base de Capital'!$B86,'Anexo Activos_Depreciaciones'!$D:$D,'Base de Capital'!$E$8)</f>
        <v>420682888.31403387</v>
      </c>
      <c r="F86" s="79">
        <f>+SUMIFS('Anexo Activos_Depreciaciones'!$AG:$AG,'Anexo Activos_Depreciaciones'!$P:$P,'Base de Capital'!$B86,'Anexo Activos_Depreciaciones'!$E:$E,'Base de Capital'!$F$8)</f>
        <v>433269299.02403378</v>
      </c>
      <c r="G86" s="79">
        <f>+SUMIFS('Anexo Activos_Depreciaciones'!$AP:$AP,'Anexo Activos_Depreciaciones'!$P:$P,'Base de Capital'!$B86,'Anexo Activos_Depreciaciones'!$F:$F,'Base de Capital'!$G$8)</f>
        <v>434344114.12403375</v>
      </c>
      <c r="H86" s="79">
        <f>+SUMIFS('Anexo Activos_Depreciaciones'!$AY:$AY,'Anexo Activos_Depreciaciones'!$P:$P,'Base de Capital'!$B86,'Anexo Activos_Depreciaciones'!$G:$G,'Base de Capital'!$H$8)</f>
        <v>469712369.4490338</v>
      </c>
      <c r="I86" s="79"/>
      <c r="J86" s="79">
        <f>+SUMIFS('Anexo Activos_Depreciaciones'!$Y:$Y,'Anexo Activos_Depreciaciones'!$P:$P,'Base de Capital'!$B86,'Anexo Activos_Depreciaciones'!$H:$H,'Base de Capital'!$J$8)</f>
        <v>204045991.10400003</v>
      </c>
      <c r="K86" s="79">
        <f>+SUMIFS('Anexo Activos_Depreciaciones'!$AH:$AH,'Anexo Activos_Depreciaciones'!$P:$P,'Base de Capital'!$B86,'Anexo Activos_Depreciaciones'!$I:$I,'Base de Capital'!$K$8)</f>
        <v>217385967.3994</v>
      </c>
      <c r="L86" s="79">
        <f>+SUMIFS('Anexo Activos_Depreciaciones'!$AQ:$AQ,'Anexo Activos_Depreciaciones'!$P:$P,'Base de Capital'!$B86,'Anexo Activos_Depreciaciones'!$J:$J,'Base de Capital'!$L$8)</f>
        <v>229820463.48440006</v>
      </c>
      <c r="M86" s="79">
        <f>+SUMIFS('Anexo Activos_Depreciaciones'!$AZ:$AZ,'Anexo Activos_Depreciaciones'!$P:$P,'Base de Capital'!$B86,'Anexo Activos_Depreciaciones'!$K:$K,'Base de Capital'!$M$8)</f>
        <v>243010962.41</v>
      </c>
      <c r="N86" s="79"/>
      <c r="O86" s="79">
        <f>+SUMIFS('Anexo Activos_Depreciaciones'!$Z:$Z,'Anexo Activos_Depreciaciones'!$P:$P,'Base de Capital'!$B86,'Anexo Activos_Depreciaciones'!$L:$L,'Base de Capital'!$O$8)</f>
        <v>216636897.21003389</v>
      </c>
      <c r="P86" s="79">
        <f>+SUMIFS('Anexo Activos_Depreciaciones'!$AI:$AI,'Anexo Activos_Depreciaciones'!$P:$P,'Base de Capital'!$B86,'Anexo Activos_Depreciaciones'!$M:$M,'Base de Capital'!$P$8)</f>
        <v>215883331.62463388</v>
      </c>
      <c r="Q86" s="79">
        <f>+SUMIFS('Anexo Activos_Depreciaciones'!$AR:$AR,'Anexo Activos_Depreciaciones'!$P:$P,'Base de Capital'!$B86,'Anexo Activos_Depreciaciones'!$N:$N,'Base de Capital'!$Q$8)</f>
        <v>204523650.63963386</v>
      </c>
      <c r="R86" s="79">
        <f>+SUMIFS('Anexo Activos_Depreciaciones'!$BA:$BA,'Anexo Activos_Depreciaciones'!$P:$P,'Base de Capital'!$B86,'Anexo Activos_Depreciaciones'!$O:$O,'Base de Capital'!$R$8)</f>
        <v>226701407.03903389</v>
      </c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</row>
    <row r="88" spans="2:64" x14ac:dyDescent="0.2">
      <c r="C88" s="28" t="s">
        <v>1148</v>
      </c>
    </row>
  </sheetData>
  <sheetProtection algorithmName="SHA-512" hashValue="SF/IPM/MT/44LebYLVqZJYb+EiHamr1J3fifatAuDhcb5Nhpoebo+OP4H8zPaaMRvBvT3nYMNNDnAH1zy2EB8Q==" saltValue="xShFFbT1juOWT7eoG2upKg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 tint="-0.249977111117893"/>
  </sheetPr>
  <dimension ref="A1:AN182"/>
  <sheetViews>
    <sheetView showGridLines="0" zoomScale="70" zoomScaleNormal="70" workbookViewId="0">
      <pane xSplit="2" ySplit="7" topLeftCell="C8" activePane="bottomRight" state="frozen"/>
      <selection activeCell="Y34" sqref="Y34"/>
      <selection pane="topRight" activeCell="Y34" sqref="Y34"/>
      <selection pane="bottomLeft" activeCell="Y34" sqref="Y34"/>
      <selection pane="bottomRight" activeCell="C13" sqref="C13"/>
    </sheetView>
  </sheetViews>
  <sheetFormatPr baseColWidth="10" defaultRowHeight="14.25" outlineLevelRow="2" outlineLevelCol="1" x14ac:dyDescent="0.2"/>
  <cols>
    <col min="1" max="1" width="5" style="156" bestFit="1" customWidth="1"/>
    <col min="2" max="2" width="85.85546875" style="154" customWidth="1"/>
    <col min="3" max="4" width="12" style="154" customWidth="1" outlineLevel="1"/>
    <col min="5" max="6" width="12" style="154" customWidth="1"/>
    <col min="7" max="14" width="10.7109375" style="154" customWidth="1"/>
    <col min="15" max="15" width="13" style="154" bestFit="1" customWidth="1"/>
    <col min="16" max="16" width="4.7109375" style="154" hidden="1" customWidth="1"/>
    <col min="17" max="17" width="25.140625" style="154" hidden="1" customWidth="1"/>
    <col min="18" max="18" width="18.7109375" style="154" hidden="1" customWidth="1"/>
    <col min="19" max="19" width="20.28515625" style="154" customWidth="1"/>
    <col min="20" max="16384" width="11.42578125" style="154"/>
  </cols>
  <sheetData>
    <row r="1" spans="1:40" ht="18" x14ac:dyDescent="0.25">
      <c r="A1" s="1032" t="s">
        <v>542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65"/>
      <c r="Q1" s="166"/>
      <c r="R1" s="166"/>
    </row>
    <row r="2" spans="1:40" ht="18" x14ac:dyDescent="0.25">
      <c r="A2" s="1032" t="s">
        <v>541</v>
      </c>
      <c r="B2" s="1032"/>
      <c r="C2" s="1032"/>
      <c r="D2" s="1032"/>
      <c r="E2" s="1032"/>
      <c r="F2" s="1032"/>
      <c r="G2" s="1032"/>
      <c r="H2" s="1032"/>
      <c r="I2" s="1032"/>
      <c r="J2" s="1032"/>
      <c r="K2" s="1032"/>
      <c r="L2" s="1032"/>
      <c r="M2" s="1032"/>
      <c r="N2" s="1032"/>
      <c r="O2" s="1032"/>
      <c r="P2" s="165"/>
      <c r="Q2" s="166"/>
      <c r="R2" s="166"/>
    </row>
    <row r="3" spans="1:40" ht="18" x14ac:dyDescent="0.25">
      <c r="A3" s="1032" t="s">
        <v>540</v>
      </c>
      <c r="B3" s="1032"/>
      <c r="C3" s="1032"/>
      <c r="D3" s="1032"/>
      <c r="E3" s="1032"/>
      <c r="F3" s="1032"/>
      <c r="G3" s="1032"/>
      <c r="H3" s="1032"/>
      <c r="I3" s="1032"/>
      <c r="J3" s="1032"/>
      <c r="K3" s="1032"/>
      <c r="L3" s="1032"/>
      <c r="M3" s="1032"/>
      <c r="N3" s="1032"/>
      <c r="O3" s="1032"/>
      <c r="P3" s="165"/>
      <c r="Q3" s="166"/>
      <c r="R3" s="166"/>
    </row>
    <row r="4" spans="1:40" ht="18" x14ac:dyDescent="0.25">
      <c r="A4" s="1032" t="s">
        <v>539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65"/>
      <c r="Q4" s="166"/>
      <c r="R4" s="166"/>
      <c r="S4" s="1031" t="s">
        <v>621</v>
      </c>
    </row>
    <row r="5" spans="1:40" ht="15" customHeight="1" x14ac:dyDescent="0.25">
      <c r="A5" s="167"/>
      <c r="B5" s="166"/>
      <c r="C5" s="164"/>
      <c r="D5" s="164"/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3"/>
      <c r="Q5" s="166"/>
      <c r="R5" s="166"/>
      <c r="S5" s="1031" t="s">
        <v>535</v>
      </c>
      <c r="U5" s="357" t="s">
        <v>791</v>
      </c>
      <c r="V5" s="357"/>
      <c r="W5" s="357"/>
      <c r="X5" s="357"/>
      <c r="Y5" s="357"/>
      <c r="Z5" s="357"/>
      <c r="AA5" s="357"/>
      <c r="AB5" s="357"/>
      <c r="AC5" s="357"/>
      <c r="AD5" s="357"/>
      <c r="AE5" s="359" t="s">
        <v>792</v>
      </c>
      <c r="AF5" s="359"/>
      <c r="AG5" s="359"/>
      <c r="AH5" s="359"/>
      <c r="AI5" s="359"/>
      <c r="AJ5" s="359"/>
      <c r="AK5" s="359"/>
      <c r="AL5" s="359"/>
      <c r="AM5" s="359"/>
      <c r="AN5" s="359"/>
    </row>
    <row r="6" spans="1:40" s="183" customFormat="1" ht="15" customHeight="1" x14ac:dyDescent="0.25">
      <c r="A6" s="180" t="s">
        <v>431</v>
      </c>
      <c r="B6" s="241"/>
      <c r="C6" s="239" t="s">
        <v>538</v>
      </c>
      <c r="D6" s="239"/>
      <c r="E6" s="239">
        <f>+D7+1</f>
        <v>2017</v>
      </c>
      <c r="F6" s="239">
        <f t="shared" ref="F6:N7" si="0">+E6+1</f>
        <v>2018</v>
      </c>
      <c r="G6" s="239">
        <f t="shared" si="0"/>
        <v>2019</v>
      </c>
      <c r="H6" s="239">
        <f t="shared" si="0"/>
        <v>2020</v>
      </c>
      <c r="I6" s="239">
        <f t="shared" si="0"/>
        <v>2021</v>
      </c>
      <c r="J6" s="239">
        <f t="shared" si="0"/>
        <v>2022</v>
      </c>
      <c r="K6" s="239">
        <f t="shared" si="0"/>
        <v>2023</v>
      </c>
      <c r="L6" s="239">
        <f t="shared" si="0"/>
        <v>2024</v>
      </c>
      <c r="M6" s="239">
        <f t="shared" si="0"/>
        <v>2025</v>
      </c>
      <c r="N6" s="239">
        <f t="shared" si="0"/>
        <v>2026</v>
      </c>
      <c r="Q6" s="1030" t="s">
        <v>537</v>
      </c>
      <c r="R6" s="1030" t="s">
        <v>536</v>
      </c>
      <c r="U6" s="239">
        <v>2017</v>
      </c>
      <c r="V6" s="239">
        <f>U6+1</f>
        <v>2018</v>
      </c>
      <c r="W6" s="239">
        <f t="shared" ref="W6:AD6" si="1">V6+1</f>
        <v>2019</v>
      </c>
      <c r="X6" s="239">
        <f t="shared" si="1"/>
        <v>2020</v>
      </c>
      <c r="Y6" s="239">
        <f t="shared" si="1"/>
        <v>2021</v>
      </c>
      <c r="Z6" s="239">
        <f t="shared" si="1"/>
        <v>2022</v>
      </c>
      <c r="AA6" s="239">
        <f t="shared" si="1"/>
        <v>2023</v>
      </c>
      <c r="AB6" s="239">
        <f t="shared" si="1"/>
        <v>2024</v>
      </c>
      <c r="AC6" s="239">
        <f t="shared" si="1"/>
        <v>2025</v>
      </c>
      <c r="AD6" s="239">
        <f t="shared" si="1"/>
        <v>2026</v>
      </c>
      <c r="AE6" s="239">
        <f>U6</f>
        <v>2017</v>
      </c>
      <c r="AF6" s="239">
        <f t="shared" ref="AF6:AN6" si="2">V6</f>
        <v>2018</v>
      </c>
      <c r="AG6" s="239">
        <f t="shared" si="2"/>
        <v>2019</v>
      </c>
      <c r="AH6" s="239">
        <f t="shared" si="2"/>
        <v>2020</v>
      </c>
      <c r="AI6" s="239">
        <f t="shared" si="2"/>
        <v>2021</v>
      </c>
      <c r="AJ6" s="239">
        <f t="shared" si="2"/>
        <v>2022</v>
      </c>
      <c r="AK6" s="239">
        <f t="shared" si="2"/>
        <v>2023</v>
      </c>
      <c r="AL6" s="239">
        <f t="shared" si="2"/>
        <v>2024</v>
      </c>
      <c r="AM6" s="239">
        <f t="shared" si="2"/>
        <v>2025</v>
      </c>
      <c r="AN6" s="239">
        <f t="shared" si="2"/>
        <v>2026</v>
      </c>
    </row>
    <row r="7" spans="1:40" ht="15" x14ac:dyDescent="0.25">
      <c r="A7" s="160" t="s">
        <v>431</v>
      </c>
      <c r="B7" s="240"/>
      <c r="C7" s="168">
        <v>2015</v>
      </c>
      <c r="D7" s="168">
        <f t="shared" ref="D7" si="3">+C7+1</f>
        <v>2016</v>
      </c>
      <c r="E7" s="168">
        <f t="shared" ref="E7" si="4">+D7+1</f>
        <v>2017</v>
      </c>
      <c r="F7" s="168">
        <f t="shared" si="0"/>
        <v>2018</v>
      </c>
      <c r="G7" s="168">
        <f t="shared" si="0"/>
        <v>2019</v>
      </c>
      <c r="H7" s="168">
        <f t="shared" si="0"/>
        <v>2020</v>
      </c>
      <c r="I7" s="168">
        <f t="shared" si="0"/>
        <v>2021</v>
      </c>
      <c r="J7" s="168">
        <f t="shared" si="0"/>
        <v>2022</v>
      </c>
      <c r="K7" s="168">
        <f t="shared" si="0"/>
        <v>2023</v>
      </c>
      <c r="L7" s="168">
        <f t="shared" si="0"/>
        <v>2024</v>
      </c>
      <c r="M7" s="168">
        <f t="shared" si="0"/>
        <v>2025</v>
      </c>
      <c r="N7" s="168">
        <f t="shared" si="0"/>
        <v>2026</v>
      </c>
      <c r="O7" s="168" t="s">
        <v>40</v>
      </c>
      <c r="P7" s="162"/>
      <c r="Q7" s="1030"/>
      <c r="R7" s="1030" t="s">
        <v>536</v>
      </c>
    </row>
    <row r="8" spans="1:40" s="183" customFormat="1" ht="15" x14ac:dyDescent="0.25">
      <c r="A8" s="179">
        <v>1</v>
      </c>
      <c r="B8" s="186"/>
      <c r="C8" s="184">
        <f t="shared" ref="C8:N8" si="5">+C10+C54+C86+C101+C143+C160+C169</f>
        <v>30567</v>
      </c>
      <c r="D8" s="184">
        <f t="shared" si="5"/>
        <v>27908</v>
      </c>
      <c r="E8" s="184">
        <f t="shared" si="5"/>
        <v>21632</v>
      </c>
      <c r="F8" s="184">
        <f t="shared" si="5"/>
        <v>147607</v>
      </c>
      <c r="G8" s="184">
        <f t="shared" si="5"/>
        <v>289882</v>
      </c>
      <c r="H8" s="184">
        <f t="shared" si="5"/>
        <v>243617</v>
      </c>
      <c r="I8" s="184">
        <f t="shared" si="5"/>
        <v>158648</v>
      </c>
      <c r="J8" s="184">
        <f t="shared" si="5"/>
        <v>152956</v>
      </c>
      <c r="K8" s="184">
        <f t="shared" si="5"/>
        <v>145811</v>
      </c>
      <c r="L8" s="184">
        <f t="shared" si="5"/>
        <v>79227</v>
      </c>
      <c r="M8" s="184">
        <f t="shared" si="5"/>
        <v>96025</v>
      </c>
      <c r="N8" s="184">
        <f t="shared" si="5"/>
        <v>66181</v>
      </c>
      <c r="O8" s="181">
        <f>SUM(C8:M8)</f>
        <v>1393880</v>
      </c>
      <c r="P8" s="181"/>
      <c r="Q8" s="180" t="s">
        <v>431</v>
      </c>
      <c r="R8" s="180"/>
      <c r="S8" s="180"/>
      <c r="T8" s="182"/>
    </row>
    <row r="9" spans="1:40" ht="15" x14ac:dyDescent="0.25">
      <c r="A9" s="156">
        <f t="shared" ref="A9:A41" si="6">+A8+1</f>
        <v>2</v>
      </c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/>
      <c r="P9" s="161"/>
      <c r="Q9" s="160"/>
      <c r="R9" s="160"/>
      <c r="S9" s="160"/>
      <c r="T9" s="155"/>
    </row>
    <row r="10" spans="1:40" s="183" customFormat="1" ht="15" collapsed="1" x14ac:dyDescent="0.25">
      <c r="A10" s="179">
        <f t="shared" si="6"/>
        <v>3</v>
      </c>
      <c r="B10" s="180" t="s">
        <v>534</v>
      </c>
      <c r="C10" s="181">
        <f>SUBTOTAL(9,C11:C53)</f>
        <v>25433</v>
      </c>
      <c r="D10" s="181">
        <f t="shared" ref="D10:N10" si="7">SUBTOTAL(9,D11:D53)</f>
        <v>14605</v>
      </c>
      <c r="E10" s="181">
        <f t="shared" si="7"/>
        <v>1842</v>
      </c>
      <c r="F10" s="181">
        <f t="shared" si="7"/>
        <v>91709</v>
      </c>
      <c r="G10" s="181">
        <f t="shared" si="7"/>
        <v>193381</v>
      </c>
      <c r="H10" s="181">
        <f t="shared" si="7"/>
        <v>74963</v>
      </c>
      <c r="I10" s="181">
        <f t="shared" si="7"/>
        <v>764</v>
      </c>
      <c r="J10" s="181">
        <f t="shared" si="7"/>
        <v>0</v>
      </c>
      <c r="K10" s="181">
        <f t="shared" si="7"/>
        <v>0</v>
      </c>
      <c r="L10" s="181">
        <f t="shared" si="7"/>
        <v>0</v>
      </c>
      <c r="M10" s="181">
        <f t="shared" si="7"/>
        <v>0</v>
      </c>
      <c r="N10" s="181">
        <f t="shared" si="7"/>
        <v>0</v>
      </c>
      <c r="O10" s="181">
        <f t="shared" ref="O10:O38" si="8">SUM(C10:M10)</f>
        <v>402697</v>
      </c>
      <c r="P10" s="181"/>
      <c r="Q10" s="180"/>
      <c r="R10" s="180"/>
      <c r="S10" s="180"/>
      <c r="T10" s="182"/>
    </row>
    <row r="11" spans="1:40" ht="15" x14ac:dyDescent="0.25">
      <c r="A11" s="156">
        <f t="shared" si="6"/>
        <v>4</v>
      </c>
      <c r="B11" s="172" t="s">
        <v>533</v>
      </c>
      <c r="C11" s="158">
        <f>SUBTOTAL(9,C12:C17)</f>
        <v>0</v>
      </c>
      <c r="D11" s="158">
        <f t="shared" ref="D11:N11" si="9">SUBTOTAL(9,D12:D17)</f>
        <v>0</v>
      </c>
      <c r="E11" s="158">
        <f t="shared" si="9"/>
        <v>0</v>
      </c>
      <c r="F11" s="158">
        <f t="shared" si="9"/>
        <v>0</v>
      </c>
      <c r="G11" s="158">
        <f t="shared" si="9"/>
        <v>0</v>
      </c>
      <c r="H11" s="158">
        <f t="shared" si="9"/>
        <v>0</v>
      </c>
      <c r="I11" s="158">
        <f t="shared" si="9"/>
        <v>0</v>
      </c>
      <c r="J11" s="158">
        <f t="shared" si="9"/>
        <v>0</v>
      </c>
      <c r="K11" s="158">
        <f t="shared" si="9"/>
        <v>0</v>
      </c>
      <c r="L11" s="158">
        <f t="shared" si="9"/>
        <v>0</v>
      </c>
      <c r="M11" s="158">
        <f t="shared" si="9"/>
        <v>0</v>
      </c>
      <c r="N11" s="158">
        <f t="shared" si="9"/>
        <v>0</v>
      </c>
      <c r="O11" s="158">
        <f t="shared" si="8"/>
        <v>0</v>
      </c>
      <c r="P11" s="158"/>
      <c r="Q11" s="157" t="s">
        <v>431</v>
      </c>
      <c r="R11" s="160"/>
      <c r="S11" s="160"/>
      <c r="T11" s="155"/>
      <c r="U11" s="405">
        <v>42855</v>
      </c>
      <c r="V11" s="405">
        <v>43220</v>
      </c>
      <c r="W11" s="358"/>
      <c r="X11" s="358"/>
      <c r="Y11" s="358"/>
      <c r="Z11" s="358"/>
      <c r="AA11" s="358"/>
      <c r="AB11" s="358"/>
      <c r="AC11" s="358"/>
      <c r="AD11" s="358"/>
      <c r="AE11" s="361">
        <f>IF(ISBLANK(U11),,(DATE(AE$6,12,31)-U11)/365)</f>
        <v>0.67123287671232879</v>
      </c>
      <c r="AF11" s="361">
        <f t="shared" ref="AF11:AF75" si="10">IF(ISBLANK(V11),,(DATE(AF$6,12,31)-V11)/365)</f>
        <v>0.67123287671232879</v>
      </c>
      <c r="AG11" s="361">
        <f t="shared" ref="AG11:AG75" si="11">IF(ISBLANK(W11),,(DATE(AG$6,12,31)-W11)/365)</f>
        <v>0</v>
      </c>
      <c r="AH11" s="361">
        <f t="shared" ref="AH11:AH75" si="12">IF(ISBLANK(X11),,(DATE(AH$6,12,31)-X11)/365)</f>
        <v>0</v>
      </c>
      <c r="AI11" s="361">
        <f t="shared" ref="AI11:AI75" si="13">IF(ISBLANK(Y11),,(DATE(AI$6,12,31)-Y11)/365)</f>
        <v>0</v>
      </c>
      <c r="AJ11" s="361">
        <f t="shared" ref="AJ11:AJ75" si="14">IF(ISBLANK(Z11),,(DATE(AJ$6,12,31)-Z11)/365)</f>
        <v>0</v>
      </c>
      <c r="AK11" s="361">
        <f t="shared" ref="AK11:AK75" si="15">IF(ISBLANK(AA11),,(DATE(AK$6,12,31)-AA11)/365)</f>
        <v>0</v>
      </c>
      <c r="AL11" s="361">
        <f t="shared" ref="AL11:AL75" si="16">IF(ISBLANK(AB11),,(DATE(AL$6,12,31)-AB11)/365)</f>
        <v>0</v>
      </c>
      <c r="AM11" s="361">
        <f t="shared" ref="AM11:AM75" si="17">IF(ISBLANK(AC11),,(DATE(AM$6,12,31)-AC11)/365)</f>
        <v>0</v>
      </c>
      <c r="AN11" s="361">
        <f t="shared" ref="AN11:AN75" si="18">IF(ISBLANK(AD11),,(DATE(AN$6,12,31)-AD11)/365)</f>
        <v>0</v>
      </c>
    </row>
    <row r="12" spans="1:40" s="749" customFormat="1" ht="15" x14ac:dyDescent="0.25">
      <c r="A12" s="741"/>
      <c r="B12" s="742" t="s">
        <v>1030</v>
      </c>
      <c r="C12" s="751"/>
      <c r="D12" s="751"/>
      <c r="E12" s="750"/>
      <c r="F12" s="751"/>
      <c r="G12" s="751"/>
      <c r="H12" s="751"/>
      <c r="I12" s="751"/>
      <c r="J12" s="751"/>
      <c r="K12" s="751"/>
      <c r="L12" s="751"/>
      <c r="M12" s="751"/>
      <c r="N12" s="751"/>
      <c r="O12" s="746">
        <f t="shared" si="8"/>
        <v>0</v>
      </c>
      <c r="P12" s="743"/>
      <c r="Q12" s="744"/>
      <c r="R12" s="745"/>
      <c r="S12" s="745"/>
      <c r="T12" s="746"/>
      <c r="U12" s="747"/>
      <c r="V12" s="747"/>
      <c r="W12" s="747"/>
      <c r="X12" s="747"/>
      <c r="Y12" s="747"/>
      <c r="Z12" s="747"/>
      <c r="AA12" s="747"/>
      <c r="AB12" s="747"/>
      <c r="AC12" s="747"/>
      <c r="AD12" s="747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</row>
    <row r="13" spans="1:40" outlineLevel="1" x14ac:dyDescent="0.2">
      <c r="A13" s="156">
        <f>+A11+1</f>
        <v>5</v>
      </c>
      <c r="B13" s="173" t="s">
        <v>558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155">
        <f t="shared" si="8"/>
        <v>0</v>
      </c>
      <c r="P13" s="155"/>
      <c r="Q13" s="174">
        <v>42216</v>
      </c>
      <c r="R13" s="156" t="s">
        <v>474</v>
      </c>
      <c r="S13" s="174" t="s">
        <v>532</v>
      </c>
      <c r="T13" s="155"/>
      <c r="U13" s="405">
        <v>42855</v>
      </c>
      <c r="V13" s="405">
        <v>43220</v>
      </c>
      <c r="W13" s="409"/>
      <c r="X13" s="409"/>
      <c r="Y13" s="409"/>
      <c r="Z13" s="409"/>
      <c r="AA13" s="409"/>
      <c r="AB13" s="409"/>
      <c r="AC13" s="409"/>
      <c r="AD13" s="409"/>
      <c r="AE13" s="361">
        <f>IF(ISBLANK(U13),,(DATE(AE$6,12,31)-U13)/365)</f>
        <v>0.67123287671232879</v>
      </c>
      <c r="AF13" s="361">
        <f t="shared" si="10"/>
        <v>0.67123287671232879</v>
      </c>
      <c r="AG13" s="361">
        <f t="shared" si="11"/>
        <v>0</v>
      </c>
      <c r="AH13" s="361">
        <f t="shared" si="12"/>
        <v>0</v>
      </c>
      <c r="AI13" s="361">
        <f t="shared" si="13"/>
        <v>0</v>
      </c>
      <c r="AJ13" s="361">
        <f t="shared" si="14"/>
        <v>0</v>
      </c>
      <c r="AK13" s="361">
        <f t="shared" si="15"/>
        <v>0</v>
      </c>
      <c r="AL13" s="361">
        <f t="shared" si="16"/>
        <v>0</v>
      </c>
      <c r="AM13" s="361">
        <f t="shared" si="17"/>
        <v>0</v>
      </c>
      <c r="AN13" s="361">
        <f t="shared" si="18"/>
        <v>0</v>
      </c>
    </row>
    <row r="14" spans="1:40" outlineLevel="1" x14ac:dyDescent="0.2">
      <c r="A14" s="156">
        <f t="shared" si="6"/>
        <v>6</v>
      </c>
      <c r="B14" s="173" t="s">
        <v>559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155">
        <f t="shared" si="8"/>
        <v>0</v>
      </c>
      <c r="P14" s="155"/>
      <c r="Q14" s="174">
        <v>42216</v>
      </c>
      <c r="R14" s="156" t="s">
        <v>474</v>
      </c>
      <c r="S14" s="174">
        <v>42643</v>
      </c>
      <c r="T14" s="155"/>
      <c r="U14" s="405">
        <v>42855</v>
      </c>
      <c r="V14" s="405">
        <v>43220</v>
      </c>
      <c r="W14" s="409"/>
      <c r="X14" s="409"/>
      <c r="Y14" s="409"/>
      <c r="Z14" s="409"/>
      <c r="AA14" s="409"/>
      <c r="AB14" s="409"/>
      <c r="AC14" s="409"/>
      <c r="AD14" s="409"/>
      <c r="AE14" s="361">
        <f t="shared" ref="AE14:AE76" si="19">IF(ISBLANK(U14),,(DATE(AE$6,12,31)-U14)/365)</f>
        <v>0.67123287671232879</v>
      </c>
      <c r="AF14" s="361">
        <f t="shared" si="10"/>
        <v>0.67123287671232879</v>
      </c>
      <c r="AG14" s="361">
        <f t="shared" si="11"/>
        <v>0</v>
      </c>
      <c r="AH14" s="361">
        <f t="shared" si="12"/>
        <v>0</v>
      </c>
      <c r="AI14" s="361">
        <f t="shared" si="13"/>
        <v>0</v>
      </c>
      <c r="AJ14" s="361">
        <f t="shared" si="14"/>
        <v>0</v>
      </c>
      <c r="AK14" s="361">
        <f t="shared" si="15"/>
        <v>0</v>
      </c>
      <c r="AL14" s="361">
        <f t="shared" si="16"/>
        <v>0</v>
      </c>
      <c r="AM14" s="361">
        <f t="shared" si="17"/>
        <v>0</v>
      </c>
      <c r="AN14" s="361">
        <f t="shared" si="18"/>
        <v>0</v>
      </c>
    </row>
    <row r="15" spans="1:40" outlineLevel="1" x14ac:dyDescent="0.2">
      <c r="A15" s="156">
        <f t="shared" si="6"/>
        <v>7</v>
      </c>
      <c r="B15" s="173" t="s">
        <v>560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155">
        <f t="shared" si="8"/>
        <v>0</v>
      </c>
      <c r="P15" s="155"/>
      <c r="Q15" s="174">
        <v>42216</v>
      </c>
      <c r="R15" s="156" t="s">
        <v>474</v>
      </c>
      <c r="S15" s="174">
        <v>42643</v>
      </c>
      <c r="T15" s="155"/>
      <c r="U15" s="405">
        <v>42855</v>
      </c>
      <c r="V15" s="405">
        <v>43220</v>
      </c>
      <c r="W15" s="409"/>
      <c r="X15" s="409"/>
      <c r="Y15" s="409"/>
      <c r="Z15" s="409"/>
      <c r="AA15" s="409"/>
      <c r="AB15" s="409"/>
      <c r="AC15" s="409"/>
      <c r="AD15" s="409"/>
      <c r="AE15" s="361">
        <f t="shared" si="19"/>
        <v>0.67123287671232879</v>
      </c>
      <c r="AF15" s="361">
        <f t="shared" si="10"/>
        <v>0.67123287671232879</v>
      </c>
      <c r="AG15" s="361">
        <f t="shared" si="11"/>
        <v>0</v>
      </c>
      <c r="AH15" s="361">
        <f t="shared" si="12"/>
        <v>0</v>
      </c>
      <c r="AI15" s="361">
        <f t="shared" si="13"/>
        <v>0</v>
      </c>
      <c r="AJ15" s="361">
        <f t="shared" si="14"/>
        <v>0</v>
      </c>
      <c r="AK15" s="361">
        <f t="shared" si="15"/>
        <v>0</v>
      </c>
      <c r="AL15" s="361">
        <f t="shared" si="16"/>
        <v>0</v>
      </c>
      <c r="AM15" s="361">
        <f t="shared" si="17"/>
        <v>0</v>
      </c>
      <c r="AN15" s="361">
        <f t="shared" si="18"/>
        <v>0</v>
      </c>
    </row>
    <row r="16" spans="1:40" ht="15" outlineLevel="1" x14ac:dyDescent="0.25">
      <c r="A16" s="156">
        <f t="shared" si="6"/>
        <v>8</v>
      </c>
      <c r="B16" s="173" t="s">
        <v>561</v>
      </c>
      <c r="C16" s="376"/>
      <c r="D16" s="376"/>
      <c r="E16" s="376"/>
      <c r="F16" s="376"/>
      <c r="G16" s="376"/>
      <c r="H16" s="376"/>
      <c r="I16" s="378"/>
      <c r="J16" s="378"/>
      <c r="K16" s="378"/>
      <c r="L16" s="378"/>
      <c r="M16" s="378"/>
      <c r="N16" s="378"/>
      <c r="O16" s="155">
        <f t="shared" si="8"/>
        <v>0</v>
      </c>
      <c r="P16" s="155"/>
      <c r="Q16" s="157" t="s">
        <v>431</v>
      </c>
      <c r="R16" s="156"/>
      <c r="S16" s="174">
        <v>42855</v>
      </c>
      <c r="T16" s="155"/>
      <c r="U16" s="405">
        <v>42855</v>
      </c>
      <c r="V16" s="405">
        <v>43220</v>
      </c>
      <c r="W16" s="409"/>
      <c r="X16" s="409"/>
      <c r="Y16" s="409"/>
      <c r="Z16" s="409"/>
      <c r="AA16" s="409"/>
      <c r="AB16" s="409"/>
      <c r="AC16" s="409"/>
      <c r="AD16" s="409"/>
      <c r="AE16" s="361">
        <f t="shared" si="19"/>
        <v>0.67123287671232879</v>
      </c>
      <c r="AF16" s="361">
        <f t="shared" si="10"/>
        <v>0.67123287671232879</v>
      </c>
      <c r="AG16" s="361">
        <f t="shared" si="11"/>
        <v>0</v>
      </c>
      <c r="AH16" s="361">
        <f t="shared" si="12"/>
        <v>0</v>
      </c>
      <c r="AI16" s="361">
        <f t="shared" si="13"/>
        <v>0</v>
      </c>
      <c r="AJ16" s="361">
        <f t="shared" si="14"/>
        <v>0</v>
      </c>
      <c r="AK16" s="361">
        <f t="shared" si="15"/>
        <v>0</v>
      </c>
      <c r="AL16" s="361">
        <f t="shared" si="16"/>
        <v>0</v>
      </c>
      <c r="AM16" s="361">
        <f t="shared" si="17"/>
        <v>0</v>
      </c>
      <c r="AN16" s="361">
        <f t="shared" si="18"/>
        <v>0</v>
      </c>
    </row>
    <row r="17" spans="1:40" outlineLevel="1" x14ac:dyDescent="0.2">
      <c r="A17" s="156">
        <f t="shared" si="6"/>
        <v>9</v>
      </c>
      <c r="B17" s="173" t="s">
        <v>562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155">
        <f t="shared" si="8"/>
        <v>0</v>
      </c>
      <c r="P17" s="155"/>
      <c r="Q17" s="174">
        <v>42674</v>
      </c>
      <c r="R17" s="156" t="s">
        <v>474</v>
      </c>
      <c r="S17" s="174">
        <v>42855</v>
      </c>
      <c r="T17" s="155"/>
      <c r="U17" s="405">
        <v>42855</v>
      </c>
      <c r="V17" s="405">
        <v>43220</v>
      </c>
      <c r="W17" s="409"/>
      <c r="X17" s="409"/>
      <c r="Y17" s="409"/>
      <c r="Z17" s="409"/>
      <c r="AA17" s="409"/>
      <c r="AB17" s="409"/>
      <c r="AC17" s="409"/>
      <c r="AD17" s="409"/>
      <c r="AE17" s="361">
        <f t="shared" si="19"/>
        <v>0.67123287671232879</v>
      </c>
      <c r="AF17" s="361">
        <f t="shared" si="10"/>
        <v>0.67123287671232879</v>
      </c>
      <c r="AG17" s="361">
        <f t="shared" si="11"/>
        <v>0</v>
      </c>
      <c r="AH17" s="361">
        <f t="shared" si="12"/>
        <v>0</v>
      </c>
      <c r="AI17" s="361">
        <f t="shared" si="13"/>
        <v>0</v>
      </c>
      <c r="AJ17" s="361">
        <f t="shared" si="14"/>
        <v>0</v>
      </c>
      <c r="AK17" s="361">
        <f t="shared" si="15"/>
        <v>0</v>
      </c>
      <c r="AL17" s="361">
        <f t="shared" si="16"/>
        <v>0</v>
      </c>
      <c r="AM17" s="361">
        <f t="shared" si="17"/>
        <v>0</v>
      </c>
      <c r="AN17" s="361">
        <f t="shared" si="18"/>
        <v>0</v>
      </c>
    </row>
    <row r="18" spans="1:40" ht="15" x14ac:dyDescent="0.25">
      <c r="A18" s="156">
        <f t="shared" si="6"/>
        <v>10</v>
      </c>
      <c r="B18" s="172" t="s">
        <v>531</v>
      </c>
      <c r="C18" s="158">
        <f t="shared" ref="C18:E18" si="20">SUBTOTAL(9,C19:C21)</f>
        <v>11037</v>
      </c>
      <c r="D18" s="158">
        <f t="shared" si="20"/>
        <v>5306</v>
      </c>
      <c r="E18" s="158">
        <f t="shared" si="20"/>
        <v>0</v>
      </c>
      <c r="F18" s="158">
        <f>SUBTOTAL(9,F19:F21)</f>
        <v>3958</v>
      </c>
      <c r="G18" s="155">
        <f t="shared" ref="G18:N18" si="21">SUBTOTAL(9,G19:G21)</f>
        <v>0</v>
      </c>
      <c r="H18" s="155">
        <f t="shared" si="21"/>
        <v>0</v>
      </c>
      <c r="I18" s="155">
        <f t="shared" si="21"/>
        <v>0</v>
      </c>
      <c r="J18" s="155">
        <f t="shared" si="21"/>
        <v>0</v>
      </c>
      <c r="K18" s="155">
        <f t="shared" si="21"/>
        <v>0</v>
      </c>
      <c r="L18" s="155">
        <f t="shared" si="21"/>
        <v>0</v>
      </c>
      <c r="M18" s="155">
        <f t="shared" si="21"/>
        <v>0</v>
      </c>
      <c r="N18" s="155">
        <f t="shared" si="21"/>
        <v>0</v>
      </c>
      <c r="O18" s="158">
        <f t="shared" si="8"/>
        <v>20301</v>
      </c>
      <c r="P18" s="155"/>
      <c r="Q18" s="174">
        <v>42674</v>
      </c>
      <c r="R18" s="156" t="s">
        <v>474</v>
      </c>
      <c r="S18" s="160"/>
      <c r="T18" s="155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361">
        <f t="shared" si="19"/>
        <v>0</v>
      </c>
      <c r="AF18" s="361">
        <f t="shared" si="10"/>
        <v>0</v>
      </c>
      <c r="AG18" s="361">
        <f t="shared" si="11"/>
        <v>0</v>
      </c>
      <c r="AH18" s="361">
        <f t="shared" si="12"/>
        <v>0</v>
      </c>
      <c r="AI18" s="361">
        <f t="shared" si="13"/>
        <v>0</v>
      </c>
      <c r="AJ18" s="361">
        <f t="shared" si="14"/>
        <v>0</v>
      </c>
      <c r="AK18" s="361">
        <f t="shared" si="15"/>
        <v>0</v>
      </c>
      <c r="AL18" s="361">
        <f t="shared" si="16"/>
        <v>0</v>
      </c>
      <c r="AM18" s="361">
        <f t="shared" si="17"/>
        <v>0</v>
      </c>
      <c r="AN18" s="361">
        <f t="shared" si="18"/>
        <v>0</v>
      </c>
    </row>
    <row r="19" spans="1:40" outlineLevel="1" x14ac:dyDescent="0.2">
      <c r="A19" s="156">
        <f t="shared" si="6"/>
        <v>11</v>
      </c>
      <c r="B19" s="173" t="s">
        <v>563</v>
      </c>
      <c r="C19" s="376">
        <v>6212</v>
      </c>
      <c r="D19" s="376">
        <v>5306</v>
      </c>
      <c r="E19" s="376"/>
      <c r="F19" s="376">
        <v>3958</v>
      </c>
      <c r="G19" s="376"/>
      <c r="H19" s="376"/>
      <c r="I19" s="376"/>
      <c r="J19" s="376"/>
      <c r="K19" s="376"/>
      <c r="L19" s="376"/>
      <c r="M19" s="376"/>
      <c r="N19" s="376"/>
      <c r="O19" s="155">
        <f t="shared" si="8"/>
        <v>15476</v>
      </c>
      <c r="P19" s="155"/>
      <c r="Q19" s="174">
        <v>42674</v>
      </c>
      <c r="R19" s="156" t="s">
        <v>474</v>
      </c>
      <c r="S19" s="174">
        <v>42735</v>
      </c>
      <c r="T19" s="155"/>
      <c r="U19" s="409"/>
      <c r="V19" s="405">
        <v>43220</v>
      </c>
      <c r="W19" s="409"/>
      <c r="X19" s="409"/>
      <c r="Y19" s="409"/>
      <c r="Z19" s="409"/>
      <c r="AA19" s="409"/>
      <c r="AB19" s="409"/>
      <c r="AC19" s="409"/>
      <c r="AD19" s="409"/>
      <c r="AE19" s="361">
        <f t="shared" si="19"/>
        <v>0</v>
      </c>
      <c r="AF19" s="361">
        <f t="shared" si="10"/>
        <v>0.67123287671232879</v>
      </c>
      <c r="AG19" s="361">
        <f t="shared" si="11"/>
        <v>0</v>
      </c>
      <c r="AH19" s="361">
        <f t="shared" si="12"/>
        <v>0</v>
      </c>
      <c r="AI19" s="361">
        <f t="shared" si="13"/>
        <v>0</v>
      </c>
      <c r="AJ19" s="361">
        <f t="shared" si="14"/>
        <v>0</v>
      </c>
      <c r="AK19" s="361">
        <f t="shared" si="15"/>
        <v>0</v>
      </c>
      <c r="AL19" s="361">
        <f t="shared" si="16"/>
        <v>0</v>
      </c>
      <c r="AM19" s="361">
        <f t="shared" si="17"/>
        <v>0</v>
      </c>
      <c r="AN19" s="361">
        <f t="shared" si="18"/>
        <v>0</v>
      </c>
    </row>
    <row r="20" spans="1:40" ht="15" outlineLevel="1" x14ac:dyDescent="0.25">
      <c r="A20" s="156">
        <f t="shared" si="6"/>
        <v>12</v>
      </c>
      <c r="B20" s="173" t="s">
        <v>564</v>
      </c>
      <c r="C20" s="376">
        <v>2923</v>
      </c>
      <c r="D20" s="376"/>
      <c r="E20" s="376"/>
      <c r="F20" s="376"/>
      <c r="G20" s="376"/>
      <c r="H20" s="376"/>
      <c r="I20" s="378"/>
      <c r="J20" s="378"/>
      <c r="K20" s="378"/>
      <c r="L20" s="378"/>
      <c r="M20" s="378"/>
      <c r="N20" s="378"/>
      <c r="O20" s="155">
        <f t="shared" si="8"/>
        <v>2923</v>
      </c>
      <c r="P20" s="155"/>
      <c r="Q20" s="174">
        <v>42094</v>
      </c>
      <c r="R20" s="156" t="s">
        <v>474</v>
      </c>
      <c r="S20" s="174">
        <v>42735</v>
      </c>
      <c r="T20" s="155"/>
      <c r="U20" s="409"/>
      <c r="V20" s="405">
        <v>43220</v>
      </c>
      <c r="W20" s="409"/>
      <c r="X20" s="409"/>
      <c r="Y20" s="409"/>
      <c r="Z20" s="409"/>
      <c r="AA20" s="409"/>
      <c r="AB20" s="409"/>
      <c r="AC20" s="409"/>
      <c r="AD20" s="409"/>
      <c r="AE20" s="361">
        <f t="shared" si="19"/>
        <v>0</v>
      </c>
      <c r="AF20" s="361">
        <f t="shared" si="10"/>
        <v>0.67123287671232879</v>
      </c>
      <c r="AG20" s="361">
        <f t="shared" si="11"/>
        <v>0</v>
      </c>
      <c r="AH20" s="361">
        <f t="shared" si="12"/>
        <v>0</v>
      </c>
      <c r="AI20" s="361">
        <f t="shared" si="13"/>
        <v>0</v>
      </c>
      <c r="AJ20" s="361">
        <f t="shared" si="14"/>
        <v>0</v>
      </c>
      <c r="AK20" s="361">
        <f t="shared" si="15"/>
        <v>0</v>
      </c>
      <c r="AL20" s="361">
        <f t="shared" si="16"/>
        <v>0</v>
      </c>
      <c r="AM20" s="361">
        <f t="shared" si="17"/>
        <v>0</v>
      </c>
      <c r="AN20" s="361">
        <f t="shared" si="18"/>
        <v>0</v>
      </c>
    </row>
    <row r="21" spans="1:40" ht="15" outlineLevel="1" x14ac:dyDescent="0.25">
      <c r="A21" s="156">
        <f t="shared" si="6"/>
        <v>13</v>
      </c>
      <c r="B21" s="173" t="s">
        <v>565</v>
      </c>
      <c r="C21" s="376">
        <v>1902</v>
      </c>
      <c r="D21" s="376"/>
      <c r="E21" s="376"/>
      <c r="F21" s="376"/>
      <c r="G21" s="376"/>
      <c r="H21" s="376"/>
      <c r="I21" s="378"/>
      <c r="J21" s="378"/>
      <c r="K21" s="378"/>
      <c r="L21" s="378"/>
      <c r="M21" s="378"/>
      <c r="N21" s="378"/>
      <c r="O21" s="155">
        <f t="shared" si="8"/>
        <v>1902</v>
      </c>
      <c r="P21" s="155"/>
      <c r="Q21" s="174">
        <v>42551</v>
      </c>
      <c r="R21" s="156" t="s">
        <v>474</v>
      </c>
      <c r="S21" s="174">
        <v>42735</v>
      </c>
      <c r="T21" s="155"/>
      <c r="U21" s="409"/>
      <c r="V21" s="405">
        <v>43220</v>
      </c>
      <c r="W21" s="409"/>
      <c r="X21" s="409"/>
      <c r="Y21" s="409"/>
      <c r="Z21" s="409"/>
      <c r="AA21" s="409"/>
      <c r="AB21" s="409"/>
      <c r="AC21" s="409"/>
      <c r="AD21" s="409"/>
      <c r="AE21" s="361">
        <f t="shared" si="19"/>
        <v>0</v>
      </c>
      <c r="AF21" s="361">
        <f t="shared" si="10"/>
        <v>0.67123287671232879</v>
      </c>
      <c r="AG21" s="361">
        <f t="shared" si="11"/>
        <v>0</v>
      </c>
      <c r="AH21" s="361">
        <f t="shared" si="12"/>
        <v>0</v>
      </c>
      <c r="AI21" s="361">
        <f t="shared" si="13"/>
        <v>0</v>
      </c>
      <c r="AJ21" s="361">
        <f t="shared" si="14"/>
        <v>0</v>
      </c>
      <c r="AK21" s="361">
        <f t="shared" si="15"/>
        <v>0</v>
      </c>
      <c r="AL21" s="361">
        <f t="shared" si="16"/>
        <v>0</v>
      </c>
      <c r="AM21" s="361">
        <f t="shared" si="17"/>
        <v>0</v>
      </c>
      <c r="AN21" s="361">
        <f t="shared" si="18"/>
        <v>0</v>
      </c>
    </row>
    <row r="22" spans="1:40" s="159" customFormat="1" ht="15" x14ac:dyDescent="0.25">
      <c r="A22" s="156">
        <f t="shared" si="6"/>
        <v>14</v>
      </c>
      <c r="B22" s="172" t="s">
        <v>566</v>
      </c>
      <c r="C22" s="158">
        <f t="shared" ref="C22" si="22">SUBTOTAL(9,C23:C25)</f>
        <v>10</v>
      </c>
      <c r="D22" s="158">
        <f t="shared" ref="D22" si="23">SUBTOTAL(9,D23:D25)</f>
        <v>3622</v>
      </c>
      <c r="E22" s="158">
        <f t="shared" ref="E22" si="24">SUBTOTAL(9,E23:E25)</f>
        <v>1823</v>
      </c>
      <c r="F22" s="158">
        <f t="shared" ref="F22" si="25">SUBTOTAL(9,F23:F25)</f>
        <v>17556</v>
      </c>
      <c r="G22" s="158">
        <f t="shared" ref="G22" si="26">SUBTOTAL(9,G23:G25)</f>
        <v>9265</v>
      </c>
      <c r="H22" s="158">
        <f t="shared" ref="H22" si="27">SUBTOTAL(9,H23:H25)</f>
        <v>0</v>
      </c>
      <c r="I22" s="158">
        <f t="shared" ref="I22" si="28">SUBTOTAL(9,I23:I25)</f>
        <v>0</v>
      </c>
      <c r="J22" s="158">
        <f t="shared" ref="J22" si="29">SUBTOTAL(9,J23:J25)</f>
        <v>0</v>
      </c>
      <c r="K22" s="158">
        <f t="shared" ref="K22" si="30">SUBTOTAL(9,K23:K25)</f>
        <v>0</v>
      </c>
      <c r="L22" s="158">
        <f t="shared" ref="L22" si="31">SUBTOTAL(9,L23:L25)</f>
        <v>0</v>
      </c>
      <c r="M22" s="158">
        <f t="shared" ref="M22" si="32">SUBTOTAL(9,M23:M25)</f>
        <v>0</v>
      </c>
      <c r="N22" s="158">
        <f t="shared" ref="N22" si="33">SUBTOTAL(9,N23:N25)</f>
        <v>0</v>
      </c>
      <c r="O22" s="158">
        <f t="shared" si="8"/>
        <v>32276</v>
      </c>
      <c r="P22" s="155"/>
      <c r="Q22" s="174" t="s">
        <v>431</v>
      </c>
      <c r="R22" s="156"/>
      <c r="S22" s="157" t="s">
        <v>431</v>
      </c>
      <c r="T22" s="155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362">
        <f t="shared" si="19"/>
        <v>0</v>
      </c>
      <c r="AF22" s="362">
        <f t="shared" si="10"/>
        <v>0</v>
      </c>
      <c r="AG22" s="362">
        <f t="shared" si="11"/>
        <v>0</v>
      </c>
      <c r="AH22" s="362">
        <f t="shared" si="12"/>
        <v>0</v>
      </c>
      <c r="AI22" s="362">
        <f t="shared" si="13"/>
        <v>0</v>
      </c>
      <c r="AJ22" s="362">
        <f t="shared" si="14"/>
        <v>0</v>
      </c>
      <c r="AK22" s="362">
        <f t="shared" si="15"/>
        <v>0</v>
      </c>
      <c r="AL22" s="362">
        <f t="shared" si="16"/>
        <v>0</v>
      </c>
      <c r="AM22" s="362">
        <f t="shared" si="17"/>
        <v>0</v>
      </c>
      <c r="AN22" s="362">
        <f t="shared" si="18"/>
        <v>0</v>
      </c>
    </row>
    <row r="23" spans="1:40" outlineLevel="1" x14ac:dyDescent="0.2">
      <c r="A23" s="156">
        <f t="shared" si="6"/>
        <v>15</v>
      </c>
      <c r="B23" s="173" t="s">
        <v>567</v>
      </c>
      <c r="C23" s="376"/>
      <c r="D23" s="376"/>
      <c r="E23" s="376"/>
      <c r="F23" s="376">
        <v>17556</v>
      </c>
      <c r="G23" s="376">
        <v>9265</v>
      </c>
      <c r="H23" s="376"/>
      <c r="I23" s="376"/>
      <c r="J23" s="376"/>
      <c r="K23" s="376"/>
      <c r="L23" s="376"/>
      <c r="M23" s="376"/>
      <c r="N23" s="376"/>
      <c r="O23" s="155">
        <f t="shared" si="8"/>
        <v>26821</v>
      </c>
      <c r="P23" s="155"/>
      <c r="Q23" s="174">
        <v>42643</v>
      </c>
      <c r="R23" s="156"/>
      <c r="S23" s="174">
        <v>43220</v>
      </c>
      <c r="T23" s="155"/>
      <c r="U23" s="409"/>
      <c r="V23" s="405">
        <v>43220</v>
      </c>
      <c r="W23" s="405">
        <v>43585</v>
      </c>
      <c r="X23" s="409"/>
      <c r="Y23" s="409"/>
      <c r="Z23" s="409"/>
      <c r="AA23" s="409"/>
      <c r="AB23" s="409"/>
      <c r="AC23" s="409"/>
      <c r="AD23" s="409"/>
      <c r="AE23" s="361">
        <f t="shared" si="19"/>
        <v>0</v>
      </c>
      <c r="AF23" s="361">
        <f t="shared" si="10"/>
        <v>0.67123287671232879</v>
      </c>
      <c r="AG23" s="361">
        <f t="shared" si="11"/>
        <v>0.67123287671232879</v>
      </c>
      <c r="AH23" s="361">
        <f t="shared" si="12"/>
        <v>0</v>
      </c>
      <c r="AI23" s="361">
        <f t="shared" si="13"/>
        <v>0</v>
      </c>
      <c r="AJ23" s="361">
        <f t="shared" si="14"/>
        <v>0</v>
      </c>
      <c r="AK23" s="361">
        <f t="shared" si="15"/>
        <v>0</v>
      </c>
      <c r="AL23" s="361">
        <f t="shared" si="16"/>
        <v>0</v>
      </c>
      <c r="AM23" s="361">
        <f t="shared" si="17"/>
        <v>0</v>
      </c>
      <c r="AN23" s="361">
        <f t="shared" si="18"/>
        <v>0</v>
      </c>
    </row>
    <row r="24" spans="1:40" outlineLevel="1" x14ac:dyDescent="0.2">
      <c r="A24" s="156">
        <f t="shared" si="6"/>
        <v>16</v>
      </c>
      <c r="B24" s="173" t="s">
        <v>568</v>
      </c>
      <c r="C24" s="376">
        <v>10</v>
      </c>
      <c r="D24" s="376">
        <v>2296</v>
      </c>
      <c r="E24" s="376">
        <v>1192</v>
      </c>
      <c r="F24" s="376">
        <v>0</v>
      </c>
      <c r="G24" s="376"/>
      <c r="H24" s="376"/>
      <c r="I24" s="376"/>
      <c r="J24" s="376"/>
      <c r="K24" s="376"/>
      <c r="L24" s="376"/>
      <c r="M24" s="376"/>
      <c r="N24" s="376"/>
      <c r="O24" s="155">
        <f t="shared" si="8"/>
        <v>3498</v>
      </c>
      <c r="P24" s="155"/>
      <c r="Q24" s="174">
        <v>42643</v>
      </c>
      <c r="R24" s="156"/>
      <c r="S24" s="174">
        <v>43220</v>
      </c>
      <c r="T24" s="155"/>
      <c r="U24" s="405">
        <v>42855</v>
      </c>
      <c r="V24" s="409"/>
      <c r="W24" s="409"/>
      <c r="X24" s="409"/>
      <c r="Y24" s="409"/>
      <c r="Z24" s="409"/>
      <c r="AA24" s="409"/>
      <c r="AB24" s="409"/>
      <c r="AC24" s="409"/>
      <c r="AD24" s="409"/>
      <c r="AE24" s="361">
        <f t="shared" si="19"/>
        <v>0.67123287671232879</v>
      </c>
      <c r="AF24" s="361">
        <f t="shared" si="10"/>
        <v>0</v>
      </c>
      <c r="AG24" s="361">
        <f t="shared" si="11"/>
        <v>0</v>
      </c>
      <c r="AH24" s="361">
        <f t="shared" si="12"/>
        <v>0</v>
      </c>
      <c r="AI24" s="361">
        <f t="shared" si="13"/>
        <v>0</v>
      </c>
      <c r="AJ24" s="361">
        <f t="shared" si="14"/>
        <v>0</v>
      </c>
      <c r="AK24" s="361">
        <f t="shared" si="15"/>
        <v>0</v>
      </c>
      <c r="AL24" s="361">
        <f t="shared" si="16"/>
        <v>0</v>
      </c>
      <c r="AM24" s="361">
        <f t="shared" si="17"/>
        <v>0</v>
      </c>
      <c r="AN24" s="361">
        <f t="shared" si="18"/>
        <v>0</v>
      </c>
    </row>
    <row r="25" spans="1:40" outlineLevel="1" x14ac:dyDescent="0.2">
      <c r="A25" s="156">
        <f t="shared" si="6"/>
        <v>17</v>
      </c>
      <c r="B25" s="173" t="s">
        <v>569</v>
      </c>
      <c r="C25" s="376"/>
      <c r="D25" s="376">
        <v>1326</v>
      </c>
      <c r="E25" s="376">
        <v>631</v>
      </c>
      <c r="F25" s="376">
        <v>0</v>
      </c>
      <c r="G25" s="376"/>
      <c r="H25" s="376"/>
      <c r="I25" s="376"/>
      <c r="J25" s="376"/>
      <c r="K25" s="376"/>
      <c r="L25" s="376"/>
      <c r="M25" s="376"/>
      <c r="N25" s="376"/>
      <c r="O25" s="155">
        <f t="shared" si="8"/>
        <v>1957</v>
      </c>
      <c r="P25" s="155"/>
      <c r="Q25" s="174">
        <v>42643</v>
      </c>
      <c r="R25" s="156"/>
      <c r="S25" s="174">
        <v>43220</v>
      </c>
      <c r="T25" s="155"/>
      <c r="U25" s="405">
        <v>42855</v>
      </c>
      <c r="V25" s="409"/>
      <c r="W25" s="409"/>
      <c r="X25" s="409"/>
      <c r="Y25" s="409"/>
      <c r="Z25" s="409"/>
      <c r="AA25" s="409"/>
      <c r="AB25" s="409"/>
      <c r="AC25" s="409"/>
      <c r="AD25" s="409"/>
      <c r="AE25" s="361">
        <f t="shared" si="19"/>
        <v>0.67123287671232879</v>
      </c>
      <c r="AF25" s="361">
        <f t="shared" si="10"/>
        <v>0</v>
      </c>
      <c r="AG25" s="361">
        <f t="shared" si="11"/>
        <v>0</v>
      </c>
      <c r="AH25" s="361">
        <f t="shared" si="12"/>
        <v>0</v>
      </c>
      <c r="AI25" s="361">
        <f t="shared" si="13"/>
        <v>0</v>
      </c>
      <c r="AJ25" s="361">
        <f t="shared" si="14"/>
        <v>0</v>
      </c>
      <c r="AK25" s="361">
        <f t="shared" si="15"/>
        <v>0</v>
      </c>
      <c r="AL25" s="361">
        <f t="shared" si="16"/>
        <v>0</v>
      </c>
      <c r="AM25" s="361">
        <f t="shared" si="17"/>
        <v>0</v>
      </c>
      <c r="AN25" s="361">
        <f t="shared" si="18"/>
        <v>0</v>
      </c>
    </row>
    <row r="26" spans="1:40" ht="15" x14ac:dyDescent="0.25">
      <c r="A26" s="156">
        <f t="shared" si="6"/>
        <v>18</v>
      </c>
      <c r="B26" s="172" t="s">
        <v>530</v>
      </c>
      <c r="C26" s="378">
        <v>4409</v>
      </c>
      <c r="D26" s="378">
        <v>5222</v>
      </c>
      <c r="E26" s="378"/>
      <c r="F26" s="378">
        <v>166</v>
      </c>
      <c r="G26" s="378"/>
      <c r="H26" s="378"/>
      <c r="I26" s="378"/>
      <c r="J26" s="378"/>
      <c r="K26" s="378"/>
      <c r="L26" s="376"/>
      <c r="M26" s="376"/>
      <c r="N26" s="376"/>
      <c r="O26" s="155">
        <f t="shared" si="8"/>
        <v>9797</v>
      </c>
      <c r="P26" s="155"/>
      <c r="Q26" s="174">
        <v>42643</v>
      </c>
      <c r="R26" s="156"/>
      <c r="S26" s="174">
        <v>42674</v>
      </c>
      <c r="T26" s="155"/>
      <c r="U26" s="409"/>
      <c r="V26" s="405">
        <v>43220</v>
      </c>
      <c r="W26" s="409"/>
      <c r="X26" s="409"/>
      <c r="Y26" s="409"/>
      <c r="Z26" s="409"/>
      <c r="AA26" s="409"/>
      <c r="AB26" s="409"/>
      <c r="AC26" s="409"/>
      <c r="AD26" s="409"/>
      <c r="AE26" s="361">
        <f t="shared" si="19"/>
        <v>0</v>
      </c>
      <c r="AF26" s="361">
        <f t="shared" si="10"/>
        <v>0.67123287671232879</v>
      </c>
      <c r="AG26" s="361">
        <f t="shared" si="11"/>
        <v>0</v>
      </c>
      <c r="AH26" s="361">
        <f t="shared" si="12"/>
        <v>0</v>
      </c>
      <c r="AI26" s="361">
        <f t="shared" si="13"/>
        <v>0</v>
      </c>
      <c r="AJ26" s="361">
        <f t="shared" si="14"/>
        <v>0</v>
      </c>
      <c r="AK26" s="361">
        <f t="shared" si="15"/>
        <v>0</v>
      </c>
      <c r="AL26" s="361">
        <f t="shared" si="16"/>
        <v>0</v>
      </c>
      <c r="AM26" s="361">
        <f t="shared" si="17"/>
        <v>0</v>
      </c>
      <c r="AN26" s="361">
        <f t="shared" si="18"/>
        <v>0</v>
      </c>
    </row>
    <row r="27" spans="1:40" ht="15" outlineLevel="1" x14ac:dyDescent="0.25">
      <c r="A27" s="156">
        <f t="shared" si="6"/>
        <v>19</v>
      </c>
      <c r="B27" s="172" t="s">
        <v>570</v>
      </c>
      <c r="C27" s="378">
        <v>9977</v>
      </c>
      <c r="D27" s="378">
        <v>455</v>
      </c>
      <c r="E27" s="378"/>
      <c r="F27" s="378">
        <v>0</v>
      </c>
      <c r="G27" s="378"/>
      <c r="H27" s="378"/>
      <c r="I27" s="378"/>
      <c r="J27" s="378"/>
      <c r="K27" s="378"/>
      <c r="L27" s="376"/>
      <c r="M27" s="376"/>
      <c r="N27" s="376"/>
      <c r="O27" s="158">
        <f t="shared" si="8"/>
        <v>10432</v>
      </c>
      <c r="P27" s="155"/>
      <c r="Q27" s="174">
        <v>42643</v>
      </c>
      <c r="R27" s="156"/>
      <c r="S27" s="174">
        <v>42735</v>
      </c>
      <c r="T27" s="155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361">
        <f t="shared" si="19"/>
        <v>0</v>
      </c>
      <c r="AF27" s="361">
        <f t="shared" si="10"/>
        <v>0</v>
      </c>
      <c r="AG27" s="361">
        <f t="shared" si="11"/>
        <v>0</v>
      </c>
      <c r="AH27" s="361">
        <f t="shared" si="12"/>
        <v>0</v>
      </c>
      <c r="AI27" s="361">
        <f t="shared" si="13"/>
        <v>0</v>
      </c>
      <c r="AJ27" s="361">
        <f t="shared" si="14"/>
        <v>0</v>
      </c>
      <c r="AK27" s="361">
        <f t="shared" si="15"/>
        <v>0</v>
      </c>
      <c r="AL27" s="361">
        <f t="shared" si="16"/>
        <v>0</v>
      </c>
      <c r="AM27" s="361">
        <f t="shared" si="17"/>
        <v>0</v>
      </c>
      <c r="AN27" s="361">
        <f t="shared" si="18"/>
        <v>0</v>
      </c>
    </row>
    <row r="28" spans="1:40" ht="15" outlineLevel="1" x14ac:dyDescent="0.25">
      <c r="A28" s="156">
        <f t="shared" si="6"/>
        <v>20</v>
      </c>
      <c r="B28" s="172" t="s">
        <v>529</v>
      </c>
      <c r="C28" s="378"/>
      <c r="D28" s="378"/>
      <c r="E28" s="378"/>
      <c r="F28" s="378">
        <v>0</v>
      </c>
      <c r="G28" s="378">
        <v>4966</v>
      </c>
      <c r="H28" s="379">
        <v>1910</v>
      </c>
      <c r="I28" s="378">
        <v>764</v>
      </c>
      <c r="J28" s="378"/>
      <c r="K28" s="378"/>
      <c r="L28" s="376"/>
      <c r="M28" s="378"/>
      <c r="N28" s="378"/>
      <c r="O28" s="158">
        <f t="shared" si="8"/>
        <v>7640</v>
      </c>
      <c r="P28" s="155"/>
      <c r="Q28" s="174"/>
      <c r="R28" s="157" t="s">
        <v>431</v>
      </c>
      <c r="S28" s="174">
        <v>43404</v>
      </c>
      <c r="T28" s="155"/>
      <c r="U28" s="409"/>
      <c r="V28" s="409"/>
      <c r="W28" s="405">
        <v>43585</v>
      </c>
      <c r="X28" s="405">
        <v>44104</v>
      </c>
      <c r="Y28" s="405">
        <v>44469</v>
      </c>
      <c r="Z28" s="409"/>
      <c r="AA28" s="409"/>
      <c r="AB28" s="409"/>
      <c r="AC28" s="409"/>
      <c r="AD28" s="409"/>
      <c r="AE28" s="361">
        <f t="shared" si="19"/>
        <v>0</v>
      </c>
      <c r="AF28" s="361">
        <f t="shared" si="10"/>
        <v>0</v>
      </c>
      <c r="AG28" s="361">
        <f t="shared" si="11"/>
        <v>0.67123287671232879</v>
      </c>
      <c r="AH28" s="361">
        <f t="shared" si="12"/>
        <v>0.25205479452054796</v>
      </c>
      <c r="AI28" s="361">
        <f t="shared" si="13"/>
        <v>0.25205479452054796</v>
      </c>
      <c r="AJ28" s="361">
        <f t="shared" si="14"/>
        <v>0</v>
      </c>
      <c r="AK28" s="361">
        <f t="shared" si="15"/>
        <v>0</v>
      </c>
      <c r="AL28" s="361">
        <f t="shared" si="16"/>
        <v>0</v>
      </c>
      <c r="AM28" s="361">
        <f t="shared" si="17"/>
        <v>0</v>
      </c>
      <c r="AN28" s="361">
        <f t="shared" si="18"/>
        <v>0</v>
      </c>
    </row>
    <row r="29" spans="1:40" s="159" customFormat="1" ht="15" outlineLevel="1" x14ac:dyDescent="0.25">
      <c r="A29" s="156">
        <f t="shared" si="6"/>
        <v>21</v>
      </c>
      <c r="B29" s="172" t="s">
        <v>528</v>
      </c>
      <c r="C29" s="378"/>
      <c r="D29" s="378"/>
      <c r="E29" s="378"/>
      <c r="F29" s="378">
        <v>15313</v>
      </c>
      <c r="G29" s="378">
        <v>5119</v>
      </c>
      <c r="H29" s="378">
        <v>2270</v>
      </c>
      <c r="I29" s="378"/>
      <c r="J29" s="378"/>
      <c r="K29" s="378"/>
      <c r="L29" s="378"/>
      <c r="M29" s="378"/>
      <c r="N29" s="378"/>
      <c r="O29" s="158">
        <f t="shared" si="8"/>
        <v>22702</v>
      </c>
      <c r="P29" s="155"/>
      <c r="Q29" s="174">
        <v>42612</v>
      </c>
      <c r="R29" s="156" t="s">
        <v>474</v>
      </c>
      <c r="S29" s="174">
        <v>43312</v>
      </c>
      <c r="T29" s="155"/>
      <c r="U29" s="410"/>
      <c r="V29" s="405">
        <v>43220</v>
      </c>
      <c r="W29" s="405">
        <v>43585</v>
      </c>
      <c r="X29" s="405">
        <v>44104</v>
      </c>
      <c r="Y29" s="410"/>
      <c r="Z29" s="410"/>
      <c r="AA29" s="410"/>
      <c r="AB29" s="410"/>
      <c r="AC29" s="410"/>
      <c r="AD29" s="410"/>
      <c r="AE29" s="362">
        <f t="shared" si="19"/>
        <v>0</v>
      </c>
      <c r="AF29" s="362">
        <f t="shared" si="10"/>
        <v>0.67123287671232879</v>
      </c>
      <c r="AG29" s="362">
        <f t="shared" si="11"/>
        <v>0.67123287671232879</v>
      </c>
      <c r="AH29" s="362">
        <f t="shared" si="12"/>
        <v>0.25205479452054796</v>
      </c>
      <c r="AI29" s="362">
        <f t="shared" si="13"/>
        <v>0</v>
      </c>
      <c r="AJ29" s="362">
        <f t="shared" si="14"/>
        <v>0</v>
      </c>
      <c r="AK29" s="362">
        <f t="shared" si="15"/>
        <v>0</v>
      </c>
      <c r="AL29" s="362">
        <f t="shared" si="16"/>
        <v>0</v>
      </c>
      <c r="AM29" s="362">
        <f t="shared" si="17"/>
        <v>0</v>
      </c>
      <c r="AN29" s="362">
        <f t="shared" si="18"/>
        <v>0</v>
      </c>
    </row>
    <row r="30" spans="1:40" s="159" customFormat="1" ht="15" outlineLevel="1" x14ac:dyDescent="0.25">
      <c r="A30" s="156">
        <f t="shared" si="6"/>
        <v>22</v>
      </c>
      <c r="B30" s="172" t="s">
        <v>527</v>
      </c>
      <c r="C30" s="378"/>
      <c r="D30" s="378"/>
      <c r="E30" s="378"/>
      <c r="F30" s="378">
        <v>13013</v>
      </c>
      <c r="G30" s="378">
        <v>6474</v>
      </c>
      <c r="H30" s="378">
        <v>2165</v>
      </c>
      <c r="I30" s="378"/>
      <c r="J30" s="378"/>
      <c r="K30" s="378"/>
      <c r="L30" s="378"/>
      <c r="M30" s="378"/>
      <c r="N30" s="378"/>
      <c r="O30" s="158">
        <f t="shared" si="8"/>
        <v>21652</v>
      </c>
      <c r="P30" s="155"/>
      <c r="Q30" s="174">
        <v>42794</v>
      </c>
      <c r="R30" s="156" t="s">
        <v>474</v>
      </c>
      <c r="S30" s="174">
        <v>43312</v>
      </c>
      <c r="T30" s="155"/>
      <c r="U30" s="410"/>
      <c r="V30" s="405">
        <v>43220</v>
      </c>
      <c r="W30" s="405">
        <v>43585</v>
      </c>
      <c r="X30" s="405">
        <v>44104</v>
      </c>
      <c r="Y30" s="410"/>
      <c r="Z30" s="410"/>
      <c r="AA30" s="410"/>
      <c r="AB30" s="410"/>
      <c r="AC30" s="410"/>
      <c r="AD30" s="410"/>
      <c r="AE30" s="362">
        <f t="shared" si="19"/>
        <v>0</v>
      </c>
      <c r="AF30" s="362">
        <f t="shared" si="10"/>
        <v>0.67123287671232879</v>
      </c>
      <c r="AG30" s="362">
        <f t="shared" si="11"/>
        <v>0.67123287671232879</v>
      </c>
      <c r="AH30" s="362">
        <f t="shared" si="12"/>
        <v>0.25205479452054796</v>
      </c>
      <c r="AI30" s="362">
        <f t="shared" si="13"/>
        <v>0</v>
      </c>
      <c r="AJ30" s="362">
        <f t="shared" si="14"/>
        <v>0</v>
      </c>
      <c r="AK30" s="362">
        <f t="shared" si="15"/>
        <v>0</v>
      </c>
      <c r="AL30" s="362">
        <f t="shared" si="16"/>
        <v>0</v>
      </c>
      <c r="AM30" s="362">
        <f t="shared" si="17"/>
        <v>0</v>
      </c>
      <c r="AN30" s="362">
        <f t="shared" si="18"/>
        <v>0</v>
      </c>
    </row>
    <row r="31" spans="1:40" s="159" customFormat="1" ht="15" outlineLevel="1" x14ac:dyDescent="0.25">
      <c r="A31" s="156">
        <f t="shared" si="6"/>
        <v>23</v>
      </c>
      <c r="B31" s="172" t="s">
        <v>526</v>
      </c>
      <c r="C31" s="378"/>
      <c r="D31" s="378"/>
      <c r="E31" s="378"/>
      <c r="F31" s="378">
        <v>6848</v>
      </c>
      <c r="G31" s="378"/>
      <c r="H31" s="378"/>
      <c r="I31" s="378"/>
      <c r="J31" s="378"/>
      <c r="K31" s="378"/>
      <c r="L31" s="378"/>
      <c r="M31" s="378"/>
      <c r="N31" s="378"/>
      <c r="O31" s="158">
        <f t="shared" si="8"/>
        <v>6848</v>
      </c>
      <c r="P31" s="155"/>
      <c r="Q31" s="174">
        <v>42916</v>
      </c>
      <c r="R31" s="156" t="s">
        <v>474</v>
      </c>
      <c r="S31" s="174">
        <v>42855</v>
      </c>
      <c r="T31" s="155"/>
      <c r="U31" s="410"/>
      <c r="V31" s="405">
        <v>43220</v>
      </c>
      <c r="W31" s="410"/>
      <c r="X31" s="410"/>
      <c r="Y31" s="410"/>
      <c r="Z31" s="410"/>
      <c r="AA31" s="410"/>
      <c r="AB31" s="410"/>
      <c r="AC31" s="410"/>
      <c r="AD31" s="410"/>
      <c r="AE31" s="362">
        <f t="shared" si="19"/>
        <v>0</v>
      </c>
      <c r="AF31" s="362">
        <f t="shared" si="10"/>
        <v>0.67123287671232879</v>
      </c>
      <c r="AG31" s="362">
        <f t="shared" si="11"/>
        <v>0</v>
      </c>
      <c r="AH31" s="362">
        <f t="shared" si="12"/>
        <v>0</v>
      </c>
      <c r="AI31" s="362">
        <f t="shared" si="13"/>
        <v>0</v>
      </c>
      <c r="AJ31" s="362">
        <f t="shared" si="14"/>
        <v>0</v>
      </c>
      <c r="AK31" s="362">
        <f t="shared" si="15"/>
        <v>0</v>
      </c>
      <c r="AL31" s="362">
        <f t="shared" si="16"/>
        <v>0</v>
      </c>
      <c r="AM31" s="362">
        <f t="shared" si="17"/>
        <v>0</v>
      </c>
      <c r="AN31" s="362">
        <f t="shared" si="18"/>
        <v>0</v>
      </c>
    </row>
    <row r="32" spans="1:40" s="159" customFormat="1" ht="15" outlineLevel="1" x14ac:dyDescent="0.25">
      <c r="A32" s="156">
        <f t="shared" si="6"/>
        <v>24</v>
      </c>
      <c r="B32" s="172" t="s">
        <v>525</v>
      </c>
      <c r="C32" s="378"/>
      <c r="D32" s="378"/>
      <c r="E32" s="378"/>
      <c r="F32" s="378">
        <v>11932</v>
      </c>
      <c r="G32" s="378"/>
      <c r="H32" s="378"/>
      <c r="I32" s="378"/>
      <c r="J32" s="378"/>
      <c r="K32" s="378"/>
      <c r="L32" s="378"/>
      <c r="M32" s="378"/>
      <c r="N32" s="378"/>
      <c r="O32" s="158">
        <f t="shared" si="8"/>
        <v>11932</v>
      </c>
      <c r="P32" s="155"/>
      <c r="Q32" s="174">
        <v>42612</v>
      </c>
      <c r="R32" s="156" t="s">
        <v>474</v>
      </c>
      <c r="S32" s="174">
        <v>42855</v>
      </c>
      <c r="T32" s="155"/>
      <c r="U32" s="410"/>
      <c r="V32" s="405">
        <v>43220</v>
      </c>
      <c r="W32" s="410"/>
      <c r="X32" s="410"/>
      <c r="Y32" s="410"/>
      <c r="Z32" s="410"/>
      <c r="AA32" s="410"/>
      <c r="AB32" s="410"/>
      <c r="AC32" s="410"/>
      <c r="AD32" s="410"/>
      <c r="AE32" s="362">
        <f t="shared" si="19"/>
        <v>0</v>
      </c>
      <c r="AF32" s="362">
        <f t="shared" si="10"/>
        <v>0.67123287671232879</v>
      </c>
      <c r="AG32" s="362">
        <f t="shared" si="11"/>
        <v>0</v>
      </c>
      <c r="AH32" s="362">
        <f t="shared" si="12"/>
        <v>0</v>
      </c>
      <c r="AI32" s="362">
        <f t="shared" si="13"/>
        <v>0</v>
      </c>
      <c r="AJ32" s="362">
        <f t="shared" si="14"/>
        <v>0</v>
      </c>
      <c r="AK32" s="362">
        <f t="shared" si="15"/>
        <v>0</v>
      </c>
      <c r="AL32" s="362">
        <f t="shared" si="16"/>
        <v>0</v>
      </c>
      <c r="AM32" s="362">
        <f t="shared" si="17"/>
        <v>0</v>
      </c>
      <c r="AN32" s="362">
        <f t="shared" si="18"/>
        <v>0</v>
      </c>
    </row>
    <row r="33" spans="1:40" s="159" customFormat="1" ht="15" outlineLevel="1" x14ac:dyDescent="0.25">
      <c r="A33" s="156">
        <f t="shared" si="6"/>
        <v>25</v>
      </c>
      <c r="B33" s="172" t="s">
        <v>524</v>
      </c>
      <c r="C33" s="378"/>
      <c r="D33" s="378"/>
      <c r="E33" s="378"/>
      <c r="F33" s="378">
        <v>369</v>
      </c>
      <c r="G33" s="378">
        <v>9510</v>
      </c>
      <c r="H33" s="378">
        <v>3293</v>
      </c>
      <c r="I33" s="378"/>
      <c r="J33" s="378"/>
      <c r="K33" s="378"/>
      <c r="L33" s="378"/>
      <c r="M33" s="378"/>
      <c r="N33" s="378"/>
      <c r="O33" s="158">
        <f t="shared" si="8"/>
        <v>13172</v>
      </c>
      <c r="P33" s="155"/>
      <c r="Q33" s="174">
        <v>42794</v>
      </c>
      <c r="R33" s="156" t="s">
        <v>474</v>
      </c>
      <c r="S33" s="174">
        <v>43342</v>
      </c>
      <c r="T33" s="155"/>
      <c r="U33" s="410"/>
      <c r="V33" s="405">
        <v>43220</v>
      </c>
      <c r="W33" s="405">
        <v>43585</v>
      </c>
      <c r="X33" s="405">
        <v>44104</v>
      </c>
      <c r="Y33" s="410"/>
      <c r="Z33" s="410"/>
      <c r="AA33" s="410"/>
      <c r="AB33" s="410"/>
      <c r="AC33" s="410"/>
      <c r="AD33" s="410"/>
      <c r="AE33" s="362">
        <f t="shared" si="19"/>
        <v>0</v>
      </c>
      <c r="AF33" s="362">
        <f t="shared" si="10"/>
        <v>0.67123287671232879</v>
      </c>
      <c r="AG33" s="362">
        <f t="shared" si="11"/>
        <v>0.67123287671232879</v>
      </c>
      <c r="AH33" s="362">
        <f t="shared" si="12"/>
        <v>0.25205479452054796</v>
      </c>
      <c r="AI33" s="362">
        <f t="shared" si="13"/>
        <v>0</v>
      </c>
      <c r="AJ33" s="362">
        <f t="shared" si="14"/>
        <v>0</v>
      </c>
      <c r="AK33" s="362">
        <f t="shared" si="15"/>
        <v>0</v>
      </c>
      <c r="AL33" s="362">
        <f t="shared" si="16"/>
        <v>0</v>
      </c>
      <c r="AM33" s="362">
        <f t="shared" si="17"/>
        <v>0</v>
      </c>
      <c r="AN33" s="362">
        <f t="shared" si="18"/>
        <v>0</v>
      </c>
    </row>
    <row r="34" spans="1:40" s="159" customFormat="1" ht="15" outlineLevel="1" x14ac:dyDescent="0.25">
      <c r="A34" s="156">
        <f t="shared" si="6"/>
        <v>26</v>
      </c>
      <c r="B34" s="172" t="s">
        <v>523</v>
      </c>
      <c r="C34" s="378"/>
      <c r="D34" s="378"/>
      <c r="E34" s="378"/>
      <c r="F34" s="378">
        <v>502</v>
      </c>
      <c r="G34" s="378">
        <v>7700</v>
      </c>
      <c r="H34" s="378">
        <v>3122</v>
      </c>
      <c r="I34" s="378"/>
      <c r="J34" s="378"/>
      <c r="K34" s="378"/>
      <c r="L34" s="378"/>
      <c r="M34" s="378"/>
      <c r="N34" s="378"/>
      <c r="O34" s="158">
        <f t="shared" si="8"/>
        <v>11324</v>
      </c>
      <c r="P34" s="155"/>
      <c r="Q34" s="174">
        <v>42794</v>
      </c>
      <c r="R34" s="156" t="s">
        <v>474</v>
      </c>
      <c r="S34" s="174">
        <v>43342</v>
      </c>
      <c r="T34" s="155"/>
      <c r="U34" s="410"/>
      <c r="V34" s="405">
        <v>43220</v>
      </c>
      <c r="W34" s="405">
        <v>43585</v>
      </c>
      <c r="X34" s="405">
        <v>44104</v>
      </c>
      <c r="Y34" s="410"/>
      <c r="Z34" s="410"/>
      <c r="AA34" s="410"/>
      <c r="AB34" s="410"/>
      <c r="AC34" s="410"/>
      <c r="AD34" s="410"/>
      <c r="AE34" s="362">
        <f t="shared" si="19"/>
        <v>0</v>
      </c>
      <c r="AF34" s="362">
        <f t="shared" si="10"/>
        <v>0.67123287671232879</v>
      </c>
      <c r="AG34" s="362">
        <f t="shared" si="11"/>
        <v>0.67123287671232879</v>
      </c>
      <c r="AH34" s="362">
        <f t="shared" si="12"/>
        <v>0.25205479452054796</v>
      </c>
      <c r="AI34" s="362">
        <f t="shared" si="13"/>
        <v>0</v>
      </c>
      <c r="AJ34" s="362">
        <f t="shared" si="14"/>
        <v>0</v>
      </c>
      <c r="AK34" s="362">
        <f t="shared" si="15"/>
        <v>0</v>
      </c>
      <c r="AL34" s="362">
        <f t="shared" si="16"/>
        <v>0</v>
      </c>
      <c r="AM34" s="362">
        <f t="shared" si="17"/>
        <v>0</v>
      </c>
      <c r="AN34" s="362">
        <f t="shared" si="18"/>
        <v>0</v>
      </c>
    </row>
    <row r="35" spans="1:40" s="159" customFormat="1" ht="15" outlineLevel="1" x14ac:dyDescent="0.25">
      <c r="A35" s="156">
        <f t="shared" si="6"/>
        <v>27</v>
      </c>
      <c r="B35" s="172" t="s">
        <v>522</v>
      </c>
      <c r="C35" s="378"/>
      <c r="D35" s="378"/>
      <c r="E35" s="378"/>
      <c r="F35" s="378">
        <v>173</v>
      </c>
      <c r="G35" s="378">
        <v>2416</v>
      </c>
      <c r="H35" s="378">
        <v>862</v>
      </c>
      <c r="I35" s="378"/>
      <c r="J35" s="378"/>
      <c r="K35" s="378"/>
      <c r="L35" s="378"/>
      <c r="M35" s="378"/>
      <c r="N35" s="378"/>
      <c r="O35" s="158">
        <f t="shared" si="8"/>
        <v>3451</v>
      </c>
      <c r="P35" s="155"/>
      <c r="Q35" s="174">
        <v>42794</v>
      </c>
      <c r="R35" s="156" t="s">
        <v>474</v>
      </c>
      <c r="S35" s="174">
        <v>43342</v>
      </c>
      <c r="T35" s="155"/>
      <c r="U35" s="410"/>
      <c r="V35" s="405">
        <v>43220</v>
      </c>
      <c r="W35" s="405">
        <v>43585</v>
      </c>
      <c r="X35" s="405">
        <v>44104</v>
      </c>
      <c r="Y35" s="410"/>
      <c r="Z35" s="410"/>
      <c r="AA35" s="410"/>
      <c r="AB35" s="410"/>
      <c r="AC35" s="410"/>
      <c r="AD35" s="410"/>
      <c r="AE35" s="362">
        <f t="shared" si="19"/>
        <v>0</v>
      </c>
      <c r="AF35" s="362">
        <f t="shared" si="10"/>
        <v>0.67123287671232879</v>
      </c>
      <c r="AG35" s="362">
        <f t="shared" si="11"/>
        <v>0.67123287671232879</v>
      </c>
      <c r="AH35" s="362">
        <f t="shared" si="12"/>
        <v>0.25205479452054796</v>
      </c>
      <c r="AI35" s="362">
        <f t="shared" si="13"/>
        <v>0</v>
      </c>
      <c r="AJ35" s="362">
        <f t="shared" si="14"/>
        <v>0</v>
      </c>
      <c r="AK35" s="362">
        <f t="shared" si="15"/>
        <v>0</v>
      </c>
      <c r="AL35" s="362">
        <f t="shared" si="16"/>
        <v>0</v>
      </c>
      <c r="AM35" s="362">
        <f t="shared" si="17"/>
        <v>0</v>
      </c>
      <c r="AN35" s="362">
        <f t="shared" si="18"/>
        <v>0</v>
      </c>
    </row>
    <row r="36" spans="1:40" s="159" customFormat="1" ht="15" outlineLevel="1" x14ac:dyDescent="0.25">
      <c r="A36" s="156">
        <f t="shared" si="6"/>
        <v>28</v>
      </c>
      <c r="B36" s="172" t="s">
        <v>521</v>
      </c>
      <c r="C36" s="378"/>
      <c r="D36" s="378"/>
      <c r="E36" s="378"/>
      <c r="F36" s="378">
        <v>251</v>
      </c>
      <c r="G36" s="378">
        <v>13296</v>
      </c>
      <c r="H36" s="378">
        <v>3387</v>
      </c>
      <c r="I36" s="378"/>
      <c r="J36" s="378"/>
      <c r="K36" s="378"/>
      <c r="L36" s="378"/>
      <c r="M36" s="378"/>
      <c r="N36" s="378"/>
      <c r="O36" s="158">
        <f t="shared" si="8"/>
        <v>16934</v>
      </c>
      <c r="P36" s="155"/>
      <c r="Q36" s="174">
        <v>42794</v>
      </c>
      <c r="R36" s="156" t="s">
        <v>474</v>
      </c>
      <c r="S36" s="174">
        <v>43373</v>
      </c>
      <c r="T36" s="155"/>
      <c r="U36" s="410"/>
      <c r="V36" s="405">
        <v>43220</v>
      </c>
      <c r="W36" s="405">
        <v>43585</v>
      </c>
      <c r="X36" s="405">
        <v>44104</v>
      </c>
      <c r="Y36" s="410"/>
      <c r="Z36" s="410"/>
      <c r="AA36" s="410"/>
      <c r="AB36" s="410"/>
      <c r="AC36" s="410"/>
      <c r="AD36" s="410"/>
      <c r="AE36" s="362">
        <f t="shared" si="19"/>
        <v>0</v>
      </c>
      <c r="AF36" s="362">
        <f t="shared" si="10"/>
        <v>0.67123287671232879</v>
      </c>
      <c r="AG36" s="362">
        <f t="shared" si="11"/>
        <v>0.67123287671232879</v>
      </c>
      <c r="AH36" s="362">
        <f t="shared" si="12"/>
        <v>0.25205479452054796</v>
      </c>
      <c r="AI36" s="362">
        <f t="shared" si="13"/>
        <v>0</v>
      </c>
      <c r="AJ36" s="362">
        <f t="shared" si="14"/>
        <v>0</v>
      </c>
      <c r="AK36" s="362">
        <f t="shared" si="15"/>
        <v>0</v>
      </c>
      <c r="AL36" s="362">
        <f t="shared" si="16"/>
        <v>0</v>
      </c>
      <c r="AM36" s="362">
        <f t="shared" si="17"/>
        <v>0</v>
      </c>
      <c r="AN36" s="362">
        <f t="shared" si="18"/>
        <v>0</v>
      </c>
    </row>
    <row r="37" spans="1:40" ht="15" outlineLevel="1" x14ac:dyDescent="0.25">
      <c r="A37" s="156">
        <f t="shared" si="6"/>
        <v>29</v>
      </c>
      <c r="B37" s="172" t="s">
        <v>520</v>
      </c>
      <c r="C37" s="378"/>
      <c r="D37" s="378"/>
      <c r="E37" s="378"/>
      <c r="F37" s="378">
        <v>347</v>
      </c>
      <c r="G37" s="378">
        <v>8709</v>
      </c>
      <c r="H37" s="378">
        <v>2264</v>
      </c>
      <c r="I37" s="378"/>
      <c r="J37" s="378"/>
      <c r="K37" s="378"/>
      <c r="L37" s="376"/>
      <c r="M37" s="376"/>
      <c r="N37" s="376"/>
      <c r="O37" s="158">
        <f t="shared" si="8"/>
        <v>11320</v>
      </c>
      <c r="P37" s="155"/>
      <c r="Q37" s="174">
        <v>42369</v>
      </c>
      <c r="R37" s="157" t="s">
        <v>474</v>
      </c>
      <c r="S37" s="174">
        <v>43373</v>
      </c>
      <c r="T37" s="155"/>
      <c r="U37" s="409"/>
      <c r="V37" s="405">
        <v>43220</v>
      </c>
      <c r="W37" s="405">
        <v>43585</v>
      </c>
      <c r="X37" s="405">
        <v>44104</v>
      </c>
      <c r="Y37" s="409"/>
      <c r="Z37" s="409"/>
      <c r="AA37" s="409"/>
      <c r="AB37" s="409"/>
      <c r="AC37" s="409"/>
      <c r="AD37" s="409"/>
      <c r="AE37" s="361">
        <f t="shared" si="19"/>
        <v>0</v>
      </c>
      <c r="AF37" s="361">
        <f t="shared" si="10"/>
        <v>0.67123287671232879</v>
      </c>
      <c r="AG37" s="361">
        <f t="shared" si="11"/>
        <v>0.67123287671232879</v>
      </c>
      <c r="AH37" s="361">
        <f t="shared" si="12"/>
        <v>0.25205479452054796</v>
      </c>
      <c r="AI37" s="361">
        <f t="shared" si="13"/>
        <v>0</v>
      </c>
      <c r="AJ37" s="361">
        <f t="shared" si="14"/>
        <v>0</v>
      </c>
      <c r="AK37" s="361">
        <f t="shared" si="15"/>
        <v>0</v>
      </c>
      <c r="AL37" s="361">
        <f t="shared" si="16"/>
        <v>0</v>
      </c>
      <c r="AM37" s="361">
        <f t="shared" si="17"/>
        <v>0</v>
      </c>
      <c r="AN37" s="361">
        <f t="shared" si="18"/>
        <v>0</v>
      </c>
    </row>
    <row r="38" spans="1:40" ht="15" outlineLevel="1" x14ac:dyDescent="0.25">
      <c r="A38" s="156">
        <f t="shared" si="6"/>
        <v>30</v>
      </c>
      <c r="B38" s="172" t="s">
        <v>571</v>
      </c>
      <c r="C38" s="378"/>
      <c r="D38" s="378"/>
      <c r="E38" s="378"/>
      <c r="F38" s="378">
        <v>800</v>
      </c>
      <c r="G38" s="378">
        <v>10</v>
      </c>
      <c r="H38" s="378"/>
      <c r="I38" s="378"/>
      <c r="J38" s="378"/>
      <c r="K38" s="378"/>
      <c r="L38" s="378"/>
      <c r="M38" s="378"/>
      <c r="N38" s="378"/>
      <c r="O38" s="158">
        <f t="shared" si="8"/>
        <v>810</v>
      </c>
      <c r="P38" s="155"/>
      <c r="Q38" s="174">
        <v>42825</v>
      </c>
      <c r="R38" s="157" t="s">
        <v>474</v>
      </c>
      <c r="S38" s="174">
        <v>43190</v>
      </c>
      <c r="T38" s="155"/>
      <c r="U38" s="409"/>
      <c r="V38" s="405">
        <v>43220</v>
      </c>
      <c r="W38" s="405">
        <v>43585</v>
      </c>
      <c r="X38" s="409"/>
      <c r="Y38" s="409"/>
      <c r="Z38" s="409"/>
      <c r="AA38" s="409"/>
      <c r="AB38" s="409"/>
      <c r="AC38" s="409"/>
      <c r="AD38" s="409"/>
      <c r="AE38" s="361">
        <f t="shared" si="19"/>
        <v>0</v>
      </c>
      <c r="AF38" s="361">
        <f t="shared" si="10"/>
        <v>0.67123287671232879</v>
      </c>
      <c r="AG38" s="361">
        <f t="shared" si="11"/>
        <v>0.67123287671232879</v>
      </c>
      <c r="AH38" s="361">
        <f t="shared" si="12"/>
        <v>0</v>
      </c>
      <c r="AI38" s="361">
        <f t="shared" si="13"/>
        <v>0</v>
      </c>
      <c r="AJ38" s="361">
        <f t="shared" si="14"/>
        <v>0</v>
      </c>
      <c r="AK38" s="361">
        <f t="shared" si="15"/>
        <v>0</v>
      </c>
      <c r="AL38" s="361">
        <f t="shared" si="16"/>
        <v>0</v>
      </c>
      <c r="AM38" s="361">
        <f t="shared" si="17"/>
        <v>0</v>
      </c>
      <c r="AN38" s="361">
        <f t="shared" si="18"/>
        <v>0</v>
      </c>
    </row>
    <row r="39" spans="1:40" ht="15" outlineLevel="1" x14ac:dyDescent="0.25">
      <c r="A39" s="156">
        <f t="shared" si="6"/>
        <v>31</v>
      </c>
      <c r="B39" s="172" t="s">
        <v>572</v>
      </c>
      <c r="C39" s="378"/>
      <c r="D39" s="378"/>
      <c r="E39" s="378"/>
      <c r="F39" s="378">
        <v>2080</v>
      </c>
      <c r="G39" s="378">
        <v>23926</v>
      </c>
      <c r="H39" s="378">
        <v>7770</v>
      </c>
      <c r="I39" s="378"/>
      <c r="J39" s="378"/>
      <c r="K39" s="378"/>
      <c r="L39" s="376"/>
      <c r="M39" s="376"/>
      <c r="N39" s="376"/>
      <c r="O39" s="158">
        <f>SUM(C39:N39)</f>
        <v>33776</v>
      </c>
      <c r="P39" s="155"/>
      <c r="Q39" s="174">
        <v>42947</v>
      </c>
      <c r="R39" s="157" t="s">
        <v>474</v>
      </c>
      <c r="S39" s="174">
        <v>43524</v>
      </c>
      <c r="T39" s="155"/>
      <c r="U39" s="409"/>
      <c r="V39" s="405">
        <v>43220</v>
      </c>
      <c r="W39" s="405">
        <v>43585</v>
      </c>
      <c r="X39" s="405">
        <v>44104</v>
      </c>
      <c r="Y39" s="409"/>
      <c r="Z39" s="409"/>
      <c r="AA39" s="409"/>
      <c r="AB39" s="409"/>
      <c r="AC39" s="409"/>
      <c r="AD39" s="409"/>
      <c r="AE39" s="361">
        <f t="shared" si="19"/>
        <v>0</v>
      </c>
      <c r="AF39" s="361">
        <f t="shared" si="10"/>
        <v>0.67123287671232879</v>
      </c>
      <c r="AG39" s="361">
        <f t="shared" si="11"/>
        <v>0.67123287671232879</v>
      </c>
      <c r="AH39" s="364">
        <f t="shared" si="12"/>
        <v>0.25205479452054796</v>
      </c>
      <c r="AI39" s="361">
        <f t="shared" si="13"/>
        <v>0</v>
      </c>
      <c r="AJ39" s="361">
        <f t="shared" si="14"/>
        <v>0</v>
      </c>
      <c r="AK39" s="361">
        <f t="shared" si="15"/>
        <v>0</v>
      </c>
      <c r="AL39" s="361">
        <f t="shared" si="16"/>
        <v>0</v>
      </c>
      <c r="AM39" s="361">
        <f t="shared" si="17"/>
        <v>0</v>
      </c>
      <c r="AN39" s="361">
        <f t="shared" si="18"/>
        <v>0</v>
      </c>
    </row>
    <row r="40" spans="1:40" ht="15" outlineLevel="1" x14ac:dyDescent="0.25">
      <c r="A40" s="156">
        <f t="shared" si="6"/>
        <v>32</v>
      </c>
      <c r="B40" s="172" t="s">
        <v>519</v>
      </c>
      <c r="C40" s="158">
        <f t="shared" ref="C40" si="34">SUBTOTAL(9,C41:C43)</f>
        <v>0</v>
      </c>
      <c r="D40" s="158">
        <f t="shared" ref="D40" si="35">SUBTOTAL(9,D41:D43)</f>
        <v>0</v>
      </c>
      <c r="E40" s="158">
        <f t="shared" ref="E40" si="36">SUBTOTAL(9,E41:E43)</f>
        <v>19</v>
      </c>
      <c r="F40" s="158">
        <f t="shared" ref="F40" si="37">SUBTOTAL(9,F41:F43)</f>
        <v>188</v>
      </c>
      <c r="G40" s="158">
        <f t="shared" ref="G40" si="38">SUBTOTAL(9,G41:G43)</f>
        <v>3507</v>
      </c>
      <c r="H40" s="158">
        <f t="shared" ref="H40" si="39">SUBTOTAL(9,H41:H43)</f>
        <v>1249</v>
      </c>
      <c r="I40" s="158">
        <f t="shared" ref="I40" si="40">SUBTOTAL(9,I41:I43)</f>
        <v>0</v>
      </c>
      <c r="J40" s="158">
        <f t="shared" ref="J40" si="41">SUBTOTAL(9,J41:J43)</f>
        <v>0</v>
      </c>
      <c r="K40" s="158">
        <f t="shared" ref="K40" si="42">SUBTOTAL(9,K41:K43)</f>
        <v>0</v>
      </c>
      <c r="L40" s="158">
        <f t="shared" ref="L40" si="43">SUBTOTAL(9,L41:L43)</f>
        <v>0</v>
      </c>
      <c r="M40" s="158">
        <f t="shared" ref="M40" si="44">SUBTOTAL(9,M41:M43)</f>
        <v>0</v>
      </c>
      <c r="N40" s="158">
        <f t="shared" ref="N40" si="45">SUBTOTAL(9,N41:N43)</f>
        <v>0</v>
      </c>
      <c r="O40" s="158">
        <f t="shared" ref="O40:O52" si="46">SUM(C40:N40)</f>
        <v>4963</v>
      </c>
      <c r="P40" s="155"/>
      <c r="Q40" s="174"/>
      <c r="R40" s="157"/>
      <c r="S40" s="174"/>
      <c r="T40" s="155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361">
        <f t="shared" si="19"/>
        <v>0</v>
      </c>
      <c r="AF40" s="361">
        <f t="shared" si="10"/>
        <v>0</v>
      </c>
      <c r="AG40" s="361">
        <f t="shared" si="11"/>
        <v>0</v>
      </c>
      <c r="AH40" s="361">
        <f t="shared" si="12"/>
        <v>0</v>
      </c>
      <c r="AI40" s="361">
        <f t="shared" si="13"/>
        <v>0</v>
      </c>
      <c r="AJ40" s="361">
        <f t="shared" si="14"/>
        <v>0</v>
      </c>
      <c r="AK40" s="361">
        <f t="shared" si="15"/>
        <v>0</v>
      </c>
      <c r="AL40" s="361">
        <f t="shared" si="16"/>
        <v>0</v>
      </c>
      <c r="AM40" s="361">
        <f t="shared" si="17"/>
        <v>0</v>
      </c>
      <c r="AN40" s="361">
        <f t="shared" si="18"/>
        <v>0</v>
      </c>
    </row>
    <row r="41" spans="1:40" ht="15" outlineLevel="1" x14ac:dyDescent="0.25">
      <c r="A41" s="156">
        <f t="shared" si="6"/>
        <v>33</v>
      </c>
      <c r="B41" s="173" t="s">
        <v>573</v>
      </c>
      <c r="C41" s="406"/>
      <c r="D41" s="406"/>
      <c r="E41" s="406">
        <v>5</v>
      </c>
      <c r="F41" s="406">
        <v>130</v>
      </c>
      <c r="G41" s="406">
        <v>1991</v>
      </c>
      <c r="H41" s="376">
        <v>647</v>
      </c>
      <c r="I41" s="376"/>
      <c r="J41" s="376"/>
      <c r="K41" s="376"/>
      <c r="L41" s="376"/>
      <c r="M41" s="376"/>
      <c r="N41" s="376"/>
      <c r="O41" s="158">
        <f t="shared" si="46"/>
        <v>2773</v>
      </c>
      <c r="P41" s="155"/>
      <c r="Q41" s="174">
        <v>43466</v>
      </c>
      <c r="R41" s="157" t="s">
        <v>446</v>
      </c>
      <c r="S41" s="174">
        <v>43524</v>
      </c>
      <c r="T41" s="155"/>
      <c r="U41" s="405">
        <v>42855</v>
      </c>
      <c r="V41" s="405">
        <v>43220</v>
      </c>
      <c r="W41" s="405">
        <v>43585</v>
      </c>
      <c r="X41" s="405">
        <v>44104</v>
      </c>
      <c r="Y41" s="409"/>
      <c r="Z41" s="409"/>
      <c r="AA41" s="409"/>
      <c r="AB41" s="409"/>
      <c r="AC41" s="409"/>
      <c r="AD41" s="409"/>
      <c r="AE41" s="361">
        <f t="shared" si="19"/>
        <v>0.67123287671232879</v>
      </c>
      <c r="AF41" s="361">
        <f t="shared" si="10"/>
        <v>0.67123287671232879</v>
      </c>
      <c r="AG41" s="361">
        <f t="shared" si="11"/>
        <v>0.67123287671232879</v>
      </c>
      <c r="AH41" s="361">
        <f t="shared" si="12"/>
        <v>0.25205479452054796</v>
      </c>
      <c r="AI41" s="361">
        <f t="shared" si="13"/>
        <v>0</v>
      </c>
      <c r="AJ41" s="361">
        <f t="shared" si="14"/>
        <v>0</v>
      </c>
      <c r="AK41" s="361">
        <f t="shared" si="15"/>
        <v>0</v>
      </c>
      <c r="AL41" s="361">
        <f t="shared" si="16"/>
        <v>0</v>
      </c>
      <c r="AM41" s="361">
        <f t="shared" si="17"/>
        <v>0</v>
      </c>
      <c r="AN41" s="361">
        <f t="shared" si="18"/>
        <v>0</v>
      </c>
    </row>
    <row r="42" spans="1:40" ht="15" outlineLevel="1" x14ac:dyDescent="0.25">
      <c r="A42" s="156">
        <f t="shared" ref="A42:A85" si="47">+A41+1</f>
        <v>34</v>
      </c>
      <c r="B42" s="173" t="s">
        <v>574</v>
      </c>
      <c r="C42" s="406"/>
      <c r="D42" s="406"/>
      <c r="E42" s="406">
        <v>9</v>
      </c>
      <c r="F42" s="406">
        <v>29</v>
      </c>
      <c r="G42" s="406">
        <v>1050</v>
      </c>
      <c r="H42" s="376">
        <v>372</v>
      </c>
      <c r="I42" s="376"/>
      <c r="J42" s="376"/>
      <c r="K42" s="376"/>
      <c r="L42" s="376"/>
      <c r="M42" s="376"/>
      <c r="N42" s="376"/>
      <c r="O42" s="158">
        <f t="shared" si="46"/>
        <v>1460</v>
      </c>
      <c r="P42" s="155"/>
      <c r="Q42" s="174">
        <v>43466</v>
      </c>
      <c r="R42" s="157" t="s">
        <v>446</v>
      </c>
      <c r="S42" s="174">
        <v>43524</v>
      </c>
      <c r="T42" s="155"/>
      <c r="U42" s="405">
        <v>42855</v>
      </c>
      <c r="V42" s="405">
        <v>43220</v>
      </c>
      <c r="W42" s="405">
        <v>43585</v>
      </c>
      <c r="X42" s="405">
        <v>44104</v>
      </c>
      <c r="Y42" s="409"/>
      <c r="Z42" s="409"/>
      <c r="AA42" s="409"/>
      <c r="AB42" s="409"/>
      <c r="AC42" s="409"/>
      <c r="AD42" s="409"/>
      <c r="AE42" s="361">
        <f t="shared" si="19"/>
        <v>0.67123287671232879</v>
      </c>
      <c r="AF42" s="361">
        <f t="shared" si="10"/>
        <v>0.67123287671232879</v>
      </c>
      <c r="AG42" s="361">
        <f t="shared" si="11"/>
        <v>0.67123287671232879</v>
      </c>
      <c r="AH42" s="361">
        <f t="shared" si="12"/>
        <v>0.25205479452054796</v>
      </c>
      <c r="AI42" s="361">
        <f t="shared" si="13"/>
        <v>0</v>
      </c>
      <c r="AJ42" s="361">
        <f t="shared" si="14"/>
        <v>0</v>
      </c>
      <c r="AK42" s="361">
        <f t="shared" si="15"/>
        <v>0</v>
      </c>
      <c r="AL42" s="361">
        <f t="shared" si="16"/>
        <v>0</v>
      </c>
      <c r="AM42" s="361">
        <f t="shared" si="17"/>
        <v>0</v>
      </c>
      <c r="AN42" s="361">
        <f t="shared" si="18"/>
        <v>0</v>
      </c>
    </row>
    <row r="43" spans="1:40" ht="15" x14ac:dyDescent="0.25">
      <c r="A43" s="156">
        <f t="shared" si="47"/>
        <v>35</v>
      </c>
      <c r="B43" s="173" t="s">
        <v>575</v>
      </c>
      <c r="C43" s="378"/>
      <c r="D43" s="378"/>
      <c r="E43" s="376">
        <v>5</v>
      </c>
      <c r="F43" s="376">
        <v>29</v>
      </c>
      <c r="G43" s="376">
        <v>466</v>
      </c>
      <c r="H43" s="376">
        <v>230</v>
      </c>
      <c r="I43" s="376"/>
      <c r="J43" s="376"/>
      <c r="K43" s="376"/>
      <c r="L43" s="376"/>
      <c r="M43" s="376"/>
      <c r="N43" s="376"/>
      <c r="O43" s="158">
        <f t="shared" si="46"/>
        <v>730</v>
      </c>
      <c r="P43" s="155"/>
      <c r="Q43" s="174">
        <v>43466</v>
      </c>
      <c r="R43" s="157" t="s">
        <v>446</v>
      </c>
      <c r="S43" s="174"/>
      <c r="T43" s="155"/>
      <c r="U43" s="405">
        <v>42855</v>
      </c>
      <c r="V43" s="405">
        <v>43220</v>
      </c>
      <c r="W43" s="405">
        <v>43585</v>
      </c>
      <c r="X43" s="405">
        <v>44104</v>
      </c>
      <c r="Y43" s="409"/>
      <c r="Z43" s="409"/>
      <c r="AA43" s="409"/>
      <c r="AB43" s="409"/>
      <c r="AC43" s="409"/>
      <c r="AD43" s="409"/>
      <c r="AE43" s="361">
        <f t="shared" si="19"/>
        <v>0.67123287671232879</v>
      </c>
      <c r="AF43" s="361">
        <f t="shared" si="10"/>
        <v>0.67123287671232879</v>
      </c>
      <c r="AG43" s="361">
        <f t="shared" si="11"/>
        <v>0.67123287671232879</v>
      </c>
      <c r="AH43" s="361">
        <f t="shared" si="12"/>
        <v>0.25205479452054796</v>
      </c>
      <c r="AI43" s="361">
        <f t="shared" si="13"/>
        <v>0</v>
      </c>
      <c r="AJ43" s="361">
        <f t="shared" si="14"/>
        <v>0</v>
      </c>
      <c r="AK43" s="361">
        <f t="shared" si="15"/>
        <v>0</v>
      </c>
      <c r="AL43" s="361">
        <f t="shared" si="16"/>
        <v>0</v>
      </c>
      <c r="AM43" s="361">
        <f t="shared" si="17"/>
        <v>0</v>
      </c>
      <c r="AN43" s="361">
        <f t="shared" si="18"/>
        <v>0</v>
      </c>
    </row>
    <row r="44" spans="1:40" ht="15" outlineLevel="1" x14ac:dyDescent="0.25">
      <c r="A44" s="156">
        <f t="shared" si="47"/>
        <v>36</v>
      </c>
      <c r="B44" s="172" t="s">
        <v>576</v>
      </c>
      <c r="C44" s="155"/>
      <c r="D44" s="155"/>
      <c r="E44" s="158">
        <f t="shared" ref="E44" si="48">SUBTOTAL(9,E45:E46)</f>
        <v>0</v>
      </c>
      <c r="F44" s="158">
        <f>SUBTOTAL(9,F45:F46)</f>
        <v>5765</v>
      </c>
      <c r="G44" s="158">
        <f t="shared" ref="G44:N44" si="49">SUBTOTAL(9,G45:G46)</f>
        <v>17698</v>
      </c>
      <c r="H44" s="158">
        <f t="shared" si="49"/>
        <v>6825</v>
      </c>
      <c r="I44" s="158">
        <f t="shared" si="49"/>
        <v>0</v>
      </c>
      <c r="J44" s="158">
        <f t="shared" si="49"/>
        <v>0</v>
      </c>
      <c r="K44" s="158">
        <f t="shared" si="49"/>
        <v>0</v>
      </c>
      <c r="L44" s="158">
        <f t="shared" si="49"/>
        <v>0</v>
      </c>
      <c r="M44" s="158">
        <f t="shared" si="49"/>
        <v>0</v>
      </c>
      <c r="N44" s="158">
        <f t="shared" si="49"/>
        <v>0</v>
      </c>
      <c r="O44" s="158">
        <f t="shared" si="46"/>
        <v>30288</v>
      </c>
      <c r="P44" s="155"/>
      <c r="Q44" s="174">
        <v>43466</v>
      </c>
      <c r="R44" s="157" t="s">
        <v>446</v>
      </c>
      <c r="S44" s="174">
        <v>43738</v>
      </c>
      <c r="T44" s="155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361">
        <f t="shared" si="19"/>
        <v>0</v>
      </c>
      <c r="AF44" s="361">
        <f t="shared" si="10"/>
        <v>0</v>
      </c>
      <c r="AG44" s="361">
        <f t="shared" si="11"/>
        <v>0</v>
      </c>
      <c r="AH44" s="361">
        <f t="shared" si="12"/>
        <v>0</v>
      </c>
      <c r="AI44" s="361">
        <f t="shared" si="13"/>
        <v>0</v>
      </c>
      <c r="AJ44" s="361">
        <f t="shared" si="14"/>
        <v>0</v>
      </c>
      <c r="AK44" s="361">
        <f t="shared" si="15"/>
        <v>0</v>
      </c>
      <c r="AL44" s="361">
        <f t="shared" si="16"/>
        <v>0</v>
      </c>
      <c r="AM44" s="361">
        <f t="shared" si="17"/>
        <v>0</v>
      </c>
      <c r="AN44" s="361">
        <f t="shared" si="18"/>
        <v>0</v>
      </c>
    </row>
    <row r="45" spans="1:40" ht="15" outlineLevel="1" x14ac:dyDescent="0.25">
      <c r="A45" s="156">
        <f t="shared" si="47"/>
        <v>37</v>
      </c>
      <c r="B45" s="173" t="s">
        <v>577</v>
      </c>
      <c r="C45" s="376"/>
      <c r="D45" s="376"/>
      <c r="E45" s="376"/>
      <c r="F45" s="376">
        <v>2765</v>
      </c>
      <c r="G45" s="376">
        <v>9475</v>
      </c>
      <c r="H45" s="376">
        <v>4058</v>
      </c>
      <c r="I45" s="376"/>
      <c r="J45" s="376"/>
      <c r="K45" s="376"/>
      <c r="L45" s="376"/>
      <c r="M45" s="376"/>
      <c r="N45" s="376"/>
      <c r="O45" s="158">
        <f t="shared" si="46"/>
        <v>16298</v>
      </c>
      <c r="P45" s="155"/>
      <c r="Q45" s="174">
        <v>43466</v>
      </c>
      <c r="R45" s="157" t="s">
        <v>446</v>
      </c>
      <c r="S45" s="174">
        <v>43738</v>
      </c>
      <c r="T45" s="155"/>
      <c r="U45" s="409"/>
      <c r="V45" s="405">
        <v>43220</v>
      </c>
      <c r="W45" s="405">
        <v>43585</v>
      </c>
      <c r="X45" s="405">
        <v>44104</v>
      </c>
      <c r="Y45" s="409"/>
      <c r="Z45" s="409"/>
      <c r="AA45" s="409"/>
      <c r="AB45" s="409"/>
      <c r="AC45" s="409"/>
      <c r="AD45" s="409"/>
      <c r="AE45" s="361">
        <f t="shared" si="19"/>
        <v>0</v>
      </c>
      <c r="AF45" s="361">
        <f t="shared" si="10"/>
        <v>0.67123287671232879</v>
      </c>
      <c r="AG45" s="361">
        <f t="shared" si="11"/>
        <v>0.67123287671232879</v>
      </c>
      <c r="AH45" s="361">
        <f t="shared" si="12"/>
        <v>0.25205479452054796</v>
      </c>
      <c r="AI45" s="361">
        <f t="shared" si="13"/>
        <v>0</v>
      </c>
      <c r="AJ45" s="361">
        <f t="shared" si="14"/>
        <v>0</v>
      </c>
      <c r="AK45" s="361">
        <f t="shared" si="15"/>
        <v>0</v>
      </c>
      <c r="AL45" s="361">
        <f t="shared" si="16"/>
        <v>0</v>
      </c>
      <c r="AM45" s="361">
        <f t="shared" si="17"/>
        <v>0</v>
      </c>
      <c r="AN45" s="361">
        <f t="shared" si="18"/>
        <v>0</v>
      </c>
    </row>
    <row r="46" spans="1:40" ht="15" outlineLevel="1" x14ac:dyDescent="0.25">
      <c r="A46" s="156">
        <f t="shared" si="47"/>
        <v>38</v>
      </c>
      <c r="B46" s="173" t="s">
        <v>578</v>
      </c>
      <c r="C46" s="376"/>
      <c r="D46" s="377"/>
      <c r="E46" s="377"/>
      <c r="F46" s="377">
        <v>3000</v>
      </c>
      <c r="G46" s="377">
        <v>8223</v>
      </c>
      <c r="H46" s="376">
        <v>2767</v>
      </c>
      <c r="I46" s="376"/>
      <c r="J46" s="376"/>
      <c r="K46" s="376"/>
      <c r="L46" s="376"/>
      <c r="M46" s="376"/>
      <c r="N46" s="376"/>
      <c r="O46" s="158">
        <f t="shared" si="46"/>
        <v>13990</v>
      </c>
      <c r="P46" s="155"/>
      <c r="Q46" s="174">
        <v>43466</v>
      </c>
      <c r="R46" s="157" t="s">
        <v>446</v>
      </c>
      <c r="S46" s="174">
        <v>43738</v>
      </c>
      <c r="T46" s="155"/>
      <c r="U46" s="409"/>
      <c r="V46" s="405">
        <v>43220</v>
      </c>
      <c r="W46" s="405">
        <v>43585</v>
      </c>
      <c r="X46" s="405">
        <v>44104</v>
      </c>
      <c r="Y46" s="409"/>
      <c r="Z46" s="409"/>
      <c r="AA46" s="409"/>
      <c r="AB46" s="409"/>
      <c r="AC46" s="409"/>
      <c r="AD46" s="409"/>
      <c r="AE46" s="361">
        <f t="shared" si="19"/>
        <v>0</v>
      </c>
      <c r="AF46" s="361">
        <f t="shared" si="10"/>
        <v>0.67123287671232879</v>
      </c>
      <c r="AG46" s="361">
        <f t="shared" si="11"/>
        <v>0.67123287671232879</v>
      </c>
      <c r="AH46" s="361">
        <f t="shared" si="12"/>
        <v>0.25205479452054796</v>
      </c>
      <c r="AI46" s="361">
        <f t="shared" si="13"/>
        <v>0</v>
      </c>
      <c r="AJ46" s="361">
        <f t="shared" si="14"/>
        <v>0</v>
      </c>
      <c r="AK46" s="361">
        <f t="shared" si="15"/>
        <v>0</v>
      </c>
      <c r="AL46" s="361">
        <f t="shared" si="16"/>
        <v>0</v>
      </c>
      <c r="AM46" s="361">
        <f t="shared" si="17"/>
        <v>0</v>
      </c>
      <c r="AN46" s="361">
        <f t="shared" si="18"/>
        <v>0</v>
      </c>
    </row>
    <row r="47" spans="1:40" ht="15" outlineLevel="1" x14ac:dyDescent="0.25">
      <c r="A47" s="156">
        <f t="shared" si="47"/>
        <v>39</v>
      </c>
      <c r="B47" s="172" t="s">
        <v>579</v>
      </c>
      <c r="C47" s="378"/>
      <c r="D47" s="378"/>
      <c r="E47" s="378"/>
      <c r="F47" s="378">
        <v>2200</v>
      </c>
      <c r="G47" s="378">
        <v>12882</v>
      </c>
      <c r="H47" s="378">
        <v>5521</v>
      </c>
      <c r="I47" s="377"/>
      <c r="J47" s="376"/>
      <c r="K47" s="376"/>
      <c r="L47" s="376"/>
      <c r="M47" s="376"/>
      <c r="N47" s="376"/>
      <c r="O47" s="158">
        <f t="shared" si="46"/>
        <v>20603</v>
      </c>
      <c r="P47" s="155"/>
      <c r="Q47" s="174"/>
      <c r="R47" s="157"/>
      <c r="S47" s="174">
        <v>43738</v>
      </c>
      <c r="T47" s="155"/>
      <c r="U47" s="409"/>
      <c r="V47" s="405">
        <v>43220</v>
      </c>
      <c r="W47" s="405">
        <v>43585</v>
      </c>
      <c r="X47" s="405">
        <v>44104</v>
      </c>
      <c r="Y47" s="409"/>
      <c r="Z47" s="409"/>
      <c r="AA47" s="409"/>
      <c r="AB47" s="409"/>
      <c r="AC47" s="409"/>
      <c r="AD47" s="409"/>
      <c r="AE47" s="361">
        <f t="shared" si="19"/>
        <v>0</v>
      </c>
      <c r="AF47" s="361">
        <f t="shared" si="10"/>
        <v>0.67123287671232879</v>
      </c>
      <c r="AG47" s="361">
        <f t="shared" si="11"/>
        <v>0.67123287671232879</v>
      </c>
      <c r="AH47" s="361">
        <f t="shared" si="12"/>
        <v>0.25205479452054796</v>
      </c>
      <c r="AI47" s="361">
        <f t="shared" si="13"/>
        <v>0</v>
      </c>
      <c r="AJ47" s="361">
        <f t="shared" si="14"/>
        <v>0</v>
      </c>
      <c r="AK47" s="361">
        <f t="shared" si="15"/>
        <v>0</v>
      </c>
      <c r="AL47" s="361">
        <f t="shared" si="16"/>
        <v>0</v>
      </c>
      <c r="AM47" s="361">
        <f t="shared" si="17"/>
        <v>0</v>
      </c>
      <c r="AN47" s="361">
        <f t="shared" si="18"/>
        <v>0</v>
      </c>
    </row>
    <row r="48" spans="1:40" ht="15" x14ac:dyDescent="0.25">
      <c r="A48" s="156">
        <f t="shared" si="47"/>
        <v>40</v>
      </c>
      <c r="B48" s="172" t="s">
        <v>580</v>
      </c>
      <c r="C48" s="378"/>
      <c r="D48" s="378"/>
      <c r="E48" s="378"/>
      <c r="F48" s="378">
        <v>6321</v>
      </c>
      <c r="G48" s="378">
        <v>20262</v>
      </c>
      <c r="H48" s="378">
        <v>8684</v>
      </c>
      <c r="I48" s="376"/>
      <c r="J48" s="376"/>
      <c r="K48" s="376"/>
      <c r="L48" s="376"/>
      <c r="M48" s="376"/>
      <c r="N48" s="376"/>
      <c r="O48" s="158">
        <f t="shared" si="46"/>
        <v>35267</v>
      </c>
      <c r="P48" s="155"/>
      <c r="Q48" s="174"/>
      <c r="R48" s="157"/>
      <c r="S48" s="174"/>
      <c r="T48" s="155"/>
      <c r="U48" s="409"/>
      <c r="V48" s="405">
        <v>43220</v>
      </c>
      <c r="W48" s="405">
        <v>43585</v>
      </c>
      <c r="X48" s="405">
        <v>44104</v>
      </c>
      <c r="Y48" s="409"/>
      <c r="Z48" s="409"/>
      <c r="AA48" s="409"/>
      <c r="AB48" s="409"/>
      <c r="AC48" s="409"/>
      <c r="AD48" s="409"/>
      <c r="AE48" s="361">
        <f t="shared" si="19"/>
        <v>0</v>
      </c>
      <c r="AF48" s="361">
        <f t="shared" si="10"/>
        <v>0.67123287671232879</v>
      </c>
      <c r="AG48" s="361">
        <f t="shared" si="11"/>
        <v>0.67123287671232879</v>
      </c>
      <c r="AH48" s="361">
        <f t="shared" si="12"/>
        <v>0.25205479452054796</v>
      </c>
      <c r="AI48" s="361">
        <f t="shared" si="13"/>
        <v>0</v>
      </c>
      <c r="AJ48" s="361">
        <f t="shared" si="14"/>
        <v>0</v>
      </c>
      <c r="AK48" s="361">
        <f t="shared" si="15"/>
        <v>0</v>
      </c>
      <c r="AL48" s="361">
        <f t="shared" si="16"/>
        <v>0</v>
      </c>
      <c r="AM48" s="361">
        <f t="shared" si="17"/>
        <v>0</v>
      </c>
      <c r="AN48" s="361">
        <f t="shared" si="18"/>
        <v>0</v>
      </c>
    </row>
    <row r="49" spans="1:40" ht="15" x14ac:dyDescent="0.25">
      <c r="A49" s="156">
        <f t="shared" si="47"/>
        <v>41</v>
      </c>
      <c r="B49" s="172" t="s">
        <v>512</v>
      </c>
      <c r="C49" s="155"/>
      <c r="D49" s="155"/>
      <c r="E49" s="158">
        <f t="shared" ref="E49" si="50">SUBTOTAL(9,E50:E51)</f>
        <v>0</v>
      </c>
      <c r="F49" s="158">
        <f>SUBTOTAL(9,F50:F51)</f>
        <v>3827</v>
      </c>
      <c r="G49" s="158">
        <f t="shared" ref="G49:N49" si="51">SUBTOTAL(9,G50:G51)</f>
        <v>45791</v>
      </c>
      <c r="H49" s="158">
        <f t="shared" si="51"/>
        <v>24591</v>
      </c>
      <c r="I49" s="158">
        <f t="shared" si="51"/>
        <v>0</v>
      </c>
      <c r="J49" s="158">
        <f t="shared" si="51"/>
        <v>0</v>
      </c>
      <c r="K49" s="158">
        <f t="shared" si="51"/>
        <v>0</v>
      </c>
      <c r="L49" s="158">
        <f t="shared" si="51"/>
        <v>0</v>
      </c>
      <c r="M49" s="158">
        <f t="shared" si="51"/>
        <v>0</v>
      </c>
      <c r="N49" s="158">
        <f t="shared" si="51"/>
        <v>0</v>
      </c>
      <c r="O49" s="158">
        <f t="shared" si="46"/>
        <v>74209</v>
      </c>
      <c r="P49" s="155"/>
      <c r="Q49" s="174"/>
      <c r="R49" s="157"/>
      <c r="S49" s="174"/>
      <c r="T49" s="155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361">
        <f t="shared" si="19"/>
        <v>0</v>
      </c>
      <c r="AF49" s="361">
        <f t="shared" si="10"/>
        <v>0</v>
      </c>
      <c r="AG49" s="361">
        <f t="shared" si="11"/>
        <v>0</v>
      </c>
      <c r="AH49" s="361">
        <f t="shared" si="12"/>
        <v>0</v>
      </c>
      <c r="AI49" s="361">
        <f t="shared" si="13"/>
        <v>0</v>
      </c>
      <c r="AJ49" s="361">
        <f t="shared" si="14"/>
        <v>0</v>
      </c>
      <c r="AK49" s="361">
        <f t="shared" si="15"/>
        <v>0</v>
      </c>
      <c r="AL49" s="361">
        <f t="shared" si="16"/>
        <v>0</v>
      </c>
      <c r="AM49" s="361">
        <f t="shared" si="17"/>
        <v>0</v>
      </c>
      <c r="AN49" s="361">
        <f t="shared" si="18"/>
        <v>0</v>
      </c>
    </row>
    <row r="50" spans="1:40" ht="15" outlineLevel="1" x14ac:dyDescent="0.25">
      <c r="A50" s="156">
        <f t="shared" si="47"/>
        <v>42</v>
      </c>
      <c r="B50" s="173" t="s">
        <v>581</v>
      </c>
      <c r="C50" s="376"/>
      <c r="D50" s="376"/>
      <c r="E50" s="376"/>
      <c r="F50" s="376">
        <v>0</v>
      </c>
      <c r="G50" s="376">
        <v>35142</v>
      </c>
      <c r="H50" s="376">
        <v>18973</v>
      </c>
      <c r="I50" s="376"/>
      <c r="J50" s="376"/>
      <c r="K50" s="376"/>
      <c r="L50" s="376"/>
      <c r="M50" s="376"/>
      <c r="N50" s="376"/>
      <c r="O50" s="158">
        <f t="shared" si="46"/>
        <v>54115</v>
      </c>
      <c r="P50" s="155"/>
      <c r="Q50" s="174"/>
      <c r="R50" s="157"/>
      <c r="S50" s="174"/>
      <c r="T50" s="155"/>
      <c r="U50" s="409"/>
      <c r="V50" s="405">
        <v>43220</v>
      </c>
      <c r="W50" s="405">
        <v>43585</v>
      </c>
      <c r="X50" s="405">
        <v>44104</v>
      </c>
      <c r="Y50" s="409"/>
      <c r="Z50" s="409"/>
      <c r="AA50" s="409"/>
      <c r="AB50" s="409"/>
      <c r="AC50" s="409"/>
      <c r="AD50" s="409"/>
      <c r="AE50" s="361">
        <f t="shared" si="19"/>
        <v>0</v>
      </c>
      <c r="AF50" s="361">
        <f t="shared" si="10"/>
        <v>0.67123287671232879</v>
      </c>
      <c r="AG50" s="361">
        <f t="shared" si="11"/>
        <v>0.67123287671232879</v>
      </c>
      <c r="AH50" s="361">
        <f t="shared" si="12"/>
        <v>0.25205479452054796</v>
      </c>
      <c r="AI50" s="361">
        <f t="shared" si="13"/>
        <v>0</v>
      </c>
      <c r="AJ50" s="361">
        <f t="shared" si="14"/>
        <v>0</v>
      </c>
      <c r="AK50" s="361">
        <f t="shared" si="15"/>
        <v>0</v>
      </c>
      <c r="AL50" s="361">
        <f t="shared" si="16"/>
        <v>0</v>
      </c>
      <c r="AM50" s="361">
        <f t="shared" si="17"/>
        <v>0</v>
      </c>
      <c r="AN50" s="361">
        <f t="shared" si="18"/>
        <v>0</v>
      </c>
    </row>
    <row r="51" spans="1:40" ht="15" outlineLevel="1" x14ac:dyDescent="0.25">
      <c r="A51" s="156">
        <f t="shared" si="47"/>
        <v>43</v>
      </c>
      <c r="B51" s="173" t="s">
        <v>582</v>
      </c>
      <c r="C51" s="376"/>
      <c r="D51" s="376"/>
      <c r="E51" s="376"/>
      <c r="F51" s="376">
        <v>3827</v>
      </c>
      <c r="G51" s="376">
        <v>10649</v>
      </c>
      <c r="H51" s="376">
        <v>5618</v>
      </c>
      <c r="I51" s="376"/>
      <c r="J51" s="376"/>
      <c r="K51" s="376"/>
      <c r="L51" s="376"/>
      <c r="M51" s="376"/>
      <c r="N51" s="376"/>
      <c r="O51" s="158">
        <f t="shared" si="46"/>
        <v>20094</v>
      </c>
      <c r="P51" s="155"/>
      <c r="Q51" s="174"/>
      <c r="R51" s="157"/>
      <c r="S51" s="174"/>
      <c r="T51" s="155"/>
      <c r="U51" s="409"/>
      <c r="V51" s="405">
        <v>43220</v>
      </c>
      <c r="W51" s="405">
        <v>43585</v>
      </c>
      <c r="X51" s="405">
        <v>44104</v>
      </c>
      <c r="Y51" s="409"/>
      <c r="Z51" s="409"/>
      <c r="AA51" s="409"/>
      <c r="AB51" s="409"/>
      <c r="AC51" s="409"/>
      <c r="AD51" s="409"/>
      <c r="AE51" s="361">
        <f t="shared" si="19"/>
        <v>0</v>
      </c>
      <c r="AF51" s="361">
        <f t="shared" si="10"/>
        <v>0.67123287671232879</v>
      </c>
      <c r="AG51" s="361">
        <f t="shared" si="11"/>
        <v>0.67123287671232879</v>
      </c>
      <c r="AH51" s="361">
        <f t="shared" si="12"/>
        <v>0.25205479452054796</v>
      </c>
      <c r="AI51" s="361">
        <f t="shared" si="13"/>
        <v>0</v>
      </c>
      <c r="AJ51" s="361">
        <f t="shared" si="14"/>
        <v>0</v>
      </c>
      <c r="AK51" s="361">
        <f t="shared" si="15"/>
        <v>0</v>
      </c>
      <c r="AL51" s="361">
        <f t="shared" si="16"/>
        <v>0</v>
      </c>
      <c r="AM51" s="361">
        <f t="shared" si="17"/>
        <v>0</v>
      </c>
      <c r="AN51" s="361">
        <f t="shared" si="18"/>
        <v>0</v>
      </c>
    </row>
    <row r="52" spans="1:40" ht="15" x14ac:dyDescent="0.25">
      <c r="A52" s="156">
        <f t="shared" si="47"/>
        <v>44</v>
      </c>
      <c r="B52" s="172" t="s">
        <v>583</v>
      </c>
      <c r="C52" s="378"/>
      <c r="D52" s="378"/>
      <c r="E52" s="378"/>
      <c r="F52" s="378">
        <v>100</v>
      </c>
      <c r="G52" s="378">
        <v>1850</v>
      </c>
      <c r="H52" s="378">
        <v>1050</v>
      </c>
      <c r="I52" s="376"/>
      <c r="J52" s="376"/>
      <c r="K52" s="376"/>
      <c r="L52" s="376"/>
      <c r="M52" s="376"/>
      <c r="N52" s="376"/>
      <c r="O52" s="158">
        <f t="shared" si="46"/>
        <v>3000</v>
      </c>
      <c r="P52" s="155"/>
      <c r="Q52" s="174"/>
      <c r="R52" s="157"/>
      <c r="S52" s="174"/>
      <c r="T52" s="155"/>
      <c r="U52" s="409"/>
      <c r="V52" s="405">
        <v>43220</v>
      </c>
      <c r="W52" s="405">
        <v>43585</v>
      </c>
      <c r="X52" s="405">
        <v>44104</v>
      </c>
      <c r="Y52" s="409"/>
      <c r="Z52" s="409"/>
      <c r="AA52" s="409"/>
      <c r="AB52" s="409"/>
      <c r="AC52" s="409"/>
      <c r="AD52" s="409"/>
      <c r="AE52" s="361">
        <f t="shared" si="19"/>
        <v>0</v>
      </c>
      <c r="AF52" s="361">
        <f t="shared" si="10"/>
        <v>0.67123287671232879</v>
      </c>
      <c r="AG52" s="361">
        <f t="shared" si="11"/>
        <v>0.67123287671232879</v>
      </c>
      <c r="AH52" s="361">
        <f t="shared" si="12"/>
        <v>0.25205479452054796</v>
      </c>
      <c r="AI52" s="361">
        <f t="shared" si="13"/>
        <v>0</v>
      </c>
      <c r="AJ52" s="361">
        <f t="shared" si="14"/>
        <v>0</v>
      </c>
      <c r="AK52" s="361">
        <f t="shared" si="15"/>
        <v>0</v>
      </c>
      <c r="AL52" s="361">
        <f t="shared" si="16"/>
        <v>0</v>
      </c>
      <c r="AM52" s="361">
        <f t="shared" si="17"/>
        <v>0</v>
      </c>
      <c r="AN52" s="361">
        <f t="shared" si="18"/>
        <v>0</v>
      </c>
    </row>
    <row r="53" spans="1:40" x14ac:dyDescent="0.2">
      <c r="A53" s="156">
        <f t="shared" si="47"/>
        <v>45</v>
      </c>
      <c r="B53" s="173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74"/>
      <c r="R53" s="157"/>
      <c r="S53" s="174"/>
      <c r="T53" s="155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361">
        <f t="shared" si="19"/>
        <v>0</v>
      </c>
      <c r="AF53" s="361">
        <f t="shared" si="10"/>
        <v>0</v>
      </c>
      <c r="AG53" s="361">
        <f t="shared" si="11"/>
        <v>0</v>
      </c>
      <c r="AH53" s="361">
        <f t="shared" si="12"/>
        <v>0</v>
      </c>
      <c r="AI53" s="361">
        <f t="shared" si="13"/>
        <v>0</v>
      </c>
      <c r="AJ53" s="361">
        <f t="shared" si="14"/>
        <v>0</v>
      </c>
      <c r="AK53" s="361">
        <f t="shared" si="15"/>
        <v>0</v>
      </c>
      <c r="AL53" s="361">
        <f t="shared" si="16"/>
        <v>0</v>
      </c>
      <c r="AM53" s="361">
        <f t="shared" si="17"/>
        <v>0</v>
      </c>
      <c r="AN53" s="361">
        <f t="shared" si="18"/>
        <v>0</v>
      </c>
    </row>
    <row r="54" spans="1:40" s="183" customFormat="1" ht="15" collapsed="1" x14ac:dyDescent="0.25">
      <c r="A54" s="179">
        <f>+A53+1</f>
        <v>46</v>
      </c>
      <c r="B54" s="180" t="s">
        <v>518</v>
      </c>
      <c r="C54" s="184">
        <f>SUBTOTAL(9,C55:C85)</f>
        <v>2798</v>
      </c>
      <c r="D54" s="184">
        <f t="shared" ref="D54:N54" si="52">SUBTOTAL(9,D55:D85)</f>
        <v>2123</v>
      </c>
      <c r="E54" s="184">
        <f t="shared" si="52"/>
        <v>7007</v>
      </c>
      <c r="F54" s="184">
        <f t="shared" si="52"/>
        <v>17799</v>
      </c>
      <c r="G54" s="184">
        <f t="shared" si="52"/>
        <v>74971</v>
      </c>
      <c r="H54" s="184">
        <f t="shared" si="52"/>
        <v>150379</v>
      </c>
      <c r="I54" s="184">
        <f t="shared" si="52"/>
        <v>148736</v>
      </c>
      <c r="J54" s="184">
        <f t="shared" si="52"/>
        <v>152231</v>
      </c>
      <c r="K54" s="184">
        <f t="shared" si="52"/>
        <v>145311</v>
      </c>
      <c r="L54" s="184">
        <f t="shared" si="52"/>
        <v>79227</v>
      </c>
      <c r="M54" s="184">
        <f t="shared" si="52"/>
        <v>96025</v>
      </c>
      <c r="N54" s="184">
        <f t="shared" si="52"/>
        <v>66181</v>
      </c>
      <c r="O54" s="181">
        <f>SUM(C54:N54)</f>
        <v>942788</v>
      </c>
      <c r="P54" s="182"/>
      <c r="Q54" s="185"/>
      <c r="S54" s="185"/>
      <c r="T54" s="182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363">
        <f t="shared" si="19"/>
        <v>0</v>
      </c>
      <c r="AF54" s="363">
        <f t="shared" si="10"/>
        <v>0</v>
      </c>
      <c r="AG54" s="363">
        <f t="shared" si="11"/>
        <v>0</v>
      </c>
      <c r="AH54" s="363">
        <f t="shared" si="12"/>
        <v>0</v>
      </c>
      <c r="AI54" s="363">
        <f t="shared" si="13"/>
        <v>0</v>
      </c>
      <c r="AJ54" s="363">
        <f t="shared" si="14"/>
        <v>0</v>
      </c>
      <c r="AK54" s="363">
        <f t="shared" si="15"/>
        <v>0</v>
      </c>
      <c r="AL54" s="363">
        <f t="shared" si="16"/>
        <v>0</v>
      </c>
      <c r="AM54" s="363">
        <f t="shared" si="17"/>
        <v>0</v>
      </c>
      <c r="AN54" s="363">
        <f t="shared" si="18"/>
        <v>0</v>
      </c>
    </row>
    <row r="55" spans="1:40" ht="15" outlineLevel="1" x14ac:dyDescent="0.25">
      <c r="A55" s="156">
        <f t="shared" si="47"/>
        <v>47</v>
      </c>
      <c r="B55" s="172" t="s">
        <v>517</v>
      </c>
      <c r="C55" s="378"/>
      <c r="D55" s="379"/>
      <c r="E55" s="378">
        <v>3374</v>
      </c>
      <c r="F55" s="378">
        <v>3226</v>
      </c>
      <c r="G55" s="378">
        <v>4700</v>
      </c>
      <c r="H55" s="378">
        <v>4700</v>
      </c>
      <c r="I55" s="378">
        <v>4701</v>
      </c>
      <c r="J55" s="378"/>
      <c r="K55" s="378"/>
      <c r="L55" s="378"/>
      <c r="M55" s="378"/>
      <c r="N55" s="378"/>
      <c r="O55" s="158">
        <f t="shared" ref="O55:O84" si="53">SUM(C55:N55)</f>
        <v>20701</v>
      </c>
      <c r="P55" s="155"/>
      <c r="Q55" s="174"/>
      <c r="R55" s="156"/>
      <c r="S55" s="174"/>
      <c r="T55" s="155"/>
      <c r="U55" s="405">
        <v>42855</v>
      </c>
      <c r="V55" s="405">
        <v>43220</v>
      </c>
      <c r="W55" s="405">
        <v>43585</v>
      </c>
      <c r="X55" s="405">
        <v>44104</v>
      </c>
      <c r="Y55" s="405">
        <v>44469</v>
      </c>
      <c r="Z55" s="409"/>
      <c r="AA55" s="409"/>
      <c r="AB55" s="409"/>
      <c r="AC55" s="409"/>
      <c r="AD55" s="409"/>
      <c r="AE55" s="361">
        <f t="shared" si="19"/>
        <v>0.67123287671232879</v>
      </c>
      <c r="AF55" s="361">
        <f t="shared" si="10"/>
        <v>0.67123287671232879</v>
      </c>
      <c r="AG55" s="361">
        <f t="shared" si="11"/>
        <v>0.67123287671232879</v>
      </c>
      <c r="AH55" s="361">
        <f t="shared" si="12"/>
        <v>0.25205479452054796</v>
      </c>
      <c r="AI55" s="361">
        <f t="shared" si="13"/>
        <v>0.25205479452054796</v>
      </c>
      <c r="AJ55" s="361">
        <f t="shared" si="14"/>
        <v>0</v>
      </c>
      <c r="AK55" s="361">
        <f t="shared" si="15"/>
        <v>0</v>
      </c>
      <c r="AL55" s="361">
        <f t="shared" si="16"/>
        <v>0</v>
      </c>
      <c r="AM55" s="361">
        <f t="shared" si="17"/>
        <v>0</v>
      </c>
      <c r="AN55" s="361">
        <f t="shared" si="18"/>
        <v>0</v>
      </c>
    </row>
    <row r="56" spans="1:40" ht="15" outlineLevel="1" x14ac:dyDescent="0.25">
      <c r="A56" s="156">
        <f t="shared" si="47"/>
        <v>48</v>
      </c>
      <c r="B56" s="172" t="s">
        <v>516</v>
      </c>
      <c r="C56" s="378">
        <v>1757</v>
      </c>
      <c r="D56" s="378">
        <v>1311</v>
      </c>
      <c r="E56" s="378">
        <v>1280</v>
      </c>
      <c r="F56" s="378">
        <v>1248</v>
      </c>
      <c r="G56" s="378">
        <v>1217</v>
      </c>
      <c r="H56" s="378"/>
      <c r="I56" s="378"/>
      <c r="J56" s="378"/>
      <c r="K56" s="378"/>
      <c r="L56" s="378"/>
      <c r="M56" s="378"/>
      <c r="N56" s="378"/>
      <c r="O56" s="158">
        <f t="shared" si="53"/>
        <v>6813</v>
      </c>
      <c r="P56" s="155"/>
      <c r="Q56" s="174"/>
      <c r="R56" s="156"/>
      <c r="S56" s="174"/>
      <c r="T56" s="155"/>
      <c r="U56" s="405">
        <v>42855</v>
      </c>
      <c r="V56" s="405">
        <v>43220</v>
      </c>
      <c r="W56" s="405">
        <v>43585</v>
      </c>
      <c r="X56" s="409"/>
      <c r="Y56" s="409"/>
      <c r="Z56" s="409"/>
      <c r="AA56" s="409"/>
      <c r="AB56" s="409"/>
      <c r="AC56" s="409"/>
      <c r="AD56" s="409"/>
      <c r="AE56" s="361">
        <f t="shared" si="19"/>
        <v>0.67123287671232879</v>
      </c>
      <c r="AF56" s="361">
        <f t="shared" si="10"/>
        <v>0.67123287671232879</v>
      </c>
      <c r="AG56" s="361">
        <f t="shared" si="11"/>
        <v>0.67123287671232879</v>
      </c>
      <c r="AH56" s="361">
        <f t="shared" si="12"/>
        <v>0</v>
      </c>
      <c r="AI56" s="361">
        <f t="shared" si="13"/>
        <v>0</v>
      </c>
      <c r="AJ56" s="361">
        <f t="shared" si="14"/>
        <v>0</v>
      </c>
      <c r="AK56" s="361">
        <f t="shared" si="15"/>
        <v>0</v>
      </c>
      <c r="AL56" s="361">
        <f t="shared" si="16"/>
        <v>0</v>
      </c>
      <c r="AM56" s="361">
        <f t="shared" si="17"/>
        <v>0</v>
      </c>
      <c r="AN56" s="361">
        <f t="shared" si="18"/>
        <v>0</v>
      </c>
    </row>
    <row r="57" spans="1:40" ht="15" outlineLevel="1" x14ac:dyDescent="0.25">
      <c r="A57" s="156">
        <f t="shared" si="47"/>
        <v>49</v>
      </c>
      <c r="B57" s="172" t="s">
        <v>515</v>
      </c>
      <c r="C57" s="378"/>
      <c r="D57" s="379"/>
      <c r="E57" s="378">
        <v>1584</v>
      </c>
      <c r="F57" s="378">
        <v>1584</v>
      </c>
      <c r="G57" s="378">
        <v>1583</v>
      </c>
      <c r="H57" s="378">
        <v>1583</v>
      </c>
      <c r="I57" s="378"/>
      <c r="J57" s="378"/>
      <c r="K57" s="378"/>
      <c r="L57" s="378"/>
      <c r="M57" s="378"/>
      <c r="N57" s="378"/>
      <c r="O57" s="158">
        <f t="shared" si="53"/>
        <v>6334</v>
      </c>
      <c r="P57" s="155"/>
      <c r="Q57" s="174"/>
      <c r="R57" s="156"/>
      <c r="S57" s="175"/>
      <c r="T57" s="155"/>
      <c r="U57" s="405">
        <v>42855</v>
      </c>
      <c r="V57" s="405">
        <v>43220</v>
      </c>
      <c r="W57" s="405">
        <v>43585</v>
      </c>
      <c r="X57" s="405">
        <v>44104</v>
      </c>
      <c r="Y57" s="409"/>
      <c r="Z57" s="409"/>
      <c r="AA57" s="409"/>
      <c r="AB57" s="409"/>
      <c r="AC57" s="409"/>
      <c r="AD57" s="409"/>
      <c r="AE57" s="361">
        <f t="shared" si="19"/>
        <v>0.67123287671232879</v>
      </c>
      <c r="AF57" s="361">
        <f t="shared" si="10"/>
        <v>0.67123287671232879</v>
      </c>
      <c r="AG57" s="361">
        <f t="shared" si="11"/>
        <v>0.67123287671232879</v>
      </c>
      <c r="AH57" s="361">
        <f t="shared" si="12"/>
        <v>0.25205479452054796</v>
      </c>
      <c r="AI57" s="361">
        <f t="shared" si="13"/>
        <v>0</v>
      </c>
      <c r="AJ57" s="361">
        <f t="shared" si="14"/>
        <v>0</v>
      </c>
      <c r="AK57" s="361">
        <f t="shared" si="15"/>
        <v>0</v>
      </c>
      <c r="AL57" s="361">
        <f t="shared" si="16"/>
        <v>0</v>
      </c>
      <c r="AM57" s="361">
        <f t="shared" si="17"/>
        <v>0</v>
      </c>
      <c r="AN57" s="361">
        <f t="shared" si="18"/>
        <v>0</v>
      </c>
    </row>
    <row r="58" spans="1:40" ht="15" outlineLevel="1" x14ac:dyDescent="0.25">
      <c r="A58" s="156">
        <f t="shared" si="47"/>
        <v>50</v>
      </c>
      <c r="B58" s="172" t="s">
        <v>514</v>
      </c>
      <c r="C58" s="378">
        <v>984</v>
      </c>
      <c r="D58" s="378">
        <v>758</v>
      </c>
      <c r="E58" s="378">
        <v>717</v>
      </c>
      <c r="F58" s="378">
        <v>700</v>
      </c>
      <c r="G58" s="378">
        <v>680</v>
      </c>
      <c r="H58" s="378"/>
      <c r="I58" s="378"/>
      <c r="J58" s="378"/>
      <c r="K58" s="378"/>
      <c r="L58" s="378"/>
      <c r="M58" s="378"/>
      <c r="N58" s="378"/>
      <c r="O58" s="158">
        <f t="shared" si="53"/>
        <v>3839</v>
      </c>
      <c r="P58" s="155"/>
      <c r="Q58" s="174"/>
      <c r="R58" s="156"/>
      <c r="S58" s="174"/>
      <c r="T58" s="155"/>
      <c r="U58" s="405">
        <v>42855</v>
      </c>
      <c r="V58" s="405">
        <v>43220</v>
      </c>
      <c r="W58" s="405">
        <v>43585</v>
      </c>
      <c r="X58" s="409"/>
      <c r="Y58" s="409"/>
      <c r="Z58" s="409"/>
      <c r="AA58" s="409"/>
      <c r="AB58" s="409"/>
      <c r="AC58" s="409"/>
      <c r="AD58" s="409"/>
      <c r="AE58" s="361">
        <f t="shared" si="19"/>
        <v>0.67123287671232879</v>
      </c>
      <c r="AF58" s="361">
        <f t="shared" si="10"/>
        <v>0.67123287671232879</v>
      </c>
      <c r="AG58" s="361">
        <f t="shared" si="11"/>
        <v>0.67123287671232879</v>
      </c>
      <c r="AH58" s="361">
        <f t="shared" si="12"/>
        <v>0</v>
      </c>
      <c r="AI58" s="361">
        <f t="shared" si="13"/>
        <v>0</v>
      </c>
      <c r="AJ58" s="361">
        <f t="shared" si="14"/>
        <v>0</v>
      </c>
      <c r="AK58" s="361">
        <f t="shared" si="15"/>
        <v>0</v>
      </c>
      <c r="AL58" s="361">
        <f t="shared" si="16"/>
        <v>0</v>
      </c>
      <c r="AM58" s="361">
        <f t="shared" si="17"/>
        <v>0</v>
      </c>
      <c r="AN58" s="361">
        <f t="shared" si="18"/>
        <v>0</v>
      </c>
    </row>
    <row r="59" spans="1:40" ht="15" outlineLevel="1" x14ac:dyDescent="0.25">
      <c r="A59" s="156">
        <f t="shared" si="47"/>
        <v>51</v>
      </c>
      <c r="B59" s="172" t="s">
        <v>584</v>
      </c>
      <c r="C59" s="378"/>
      <c r="D59" s="379"/>
      <c r="E59" s="379"/>
      <c r="F59" s="378">
        <v>1063</v>
      </c>
      <c r="G59" s="378">
        <v>1063</v>
      </c>
      <c r="H59" s="378">
        <v>1063</v>
      </c>
      <c r="I59" s="378">
        <v>1063</v>
      </c>
      <c r="J59" s="378">
        <v>1066</v>
      </c>
      <c r="K59" s="378"/>
      <c r="L59" s="378"/>
      <c r="M59" s="378"/>
      <c r="N59" s="378"/>
      <c r="O59" s="158">
        <f t="shared" si="53"/>
        <v>5318</v>
      </c>
      <c r="P59" s="155"/>
      <c r="Q59" s="174"/>
      <c r="R59" s="156"/>
      <c r="S59" s="174"/>
      <c r="T59" s="155"/>
      <c r="U59" s="409"/>
      <c r="V59" s="405">
        <v>43220</v>
      </c>
      <c r="W59" s="405">
        <v>43585</v>
      </c>
      <c r="X59" s="405">
        <v>44104</v>
      </c>
      <c r="Y59" s="405">
        <v>44469</v>
      </c>
      <c r="Z59" s="405">
        <v>44834</v>
      </c>
      <c r="AA59" s="409"/>
      <c r="AB59" s="409"/>
      <c r="AC59" s="409"/>
      <c r="AD59" s="409"/>
      <c r="AE59" s="361">
        <f t="shared" si="19"/>
        <v>0</v>
      </c>
      <c r="AF59" s="361">
        <f t="shared" si="10"/>
        <v>0.67123287671232879</v>
      </c>
      <c r="AG59" s="361">
        <f t="shared" si="11"/>
        <v>0.67123287671232879</v>
      </c>
      <c r="AH59" s="361">
        <f t="shared" si="12"/>
        <v>0.25205479452054796</v>
      </c>
      <c r="AI59" s="361">
        <f t="shared" si="13"/>
        <v>0.25205479452054796</v>
      </c>
      <c r="AJ59" s="361">
        <f t="shared" si="14"/>
        <v>0.25205479452054796</v>
      </c>
      <c r="AK59" s="361">
        <f t="shared" si="15"/>
        <v>0</v>
      </c>
      <c r="AL59" s="361">
        <f t="shared" si="16"/>
        <v>0</v>
      </c>
      <c r="AM59" s="361">
        <f t="shared" si="17"/>
        <v>0</v>
      </c>
      <c r="AN59" s="361">
        <f t="shared" si="18"/>
        <v>0</v>
      </c>
    </row>
    <row r="60" spans="1:40" ht="15" outlineLevel="1" x14ac:dyDescent="0.25">
      <c r="A60" s="156">
        <f t="shared" si="47"/>
        <v>52</v>
      </c>
      <c r="B60" s="172" t="s">
        <v>585</v>
      </c>
      <c r="C60" s="378"/>
      <c r="D60" s="379"/>
      <c r="E60" s="379"/>
      <c r="F60" s="378"/>
      <c r="G60" s="378">
        <v>7325</v>
      </c>
      <c r="H60" s="378">
        <v>7325</v>
      </c>
      <c r="I60" s="378">
        <v>7325</v>
      </c>
      <c r="J60" s="378">
        <v>7325</v>
      </c>
      <c r="K60" s="378">
        <v>7325</v>
      </c>
      <c r="L60" s="378"/>
      <c r="M60" s="378"/>
      <c r="N60" s="378"/>
      <c r="O60" s="158">
        <f t="shared" si="53"/>
        <v>36625</v>
      </c>
      <c r="P60" s="155"/>
      <c r="Q60" s="174"/>
      <c r="R60" s="156"/>
      <c r="S60" s="174"/>
      <c r="T60" s="155"/>
      <c r="U60" s="409"/>
      <c r="V60" s="409"/>
      <c r="W60" s="405">
        <v>43585</v>
      </c>
      <c r="X60" s="405">
        <v>44104</v>
      </c>
      <c r="Y60" s="405">
        <v>44469</v>
      </c>
      <c r="Z60" s="405">
        <v>44834</v>
      </c>
      <c r="AA60" s="405">
        <v>45199</v>
      </c>
      <c r="AB60" s="409"/>
      <c r="AC60" s="409"/>
      <c r="AD60" s="409"/>
      <c r="AE60" s="361">
        <f t="shared" si="19"/>
        <v>0</v>
      </c>
      <c r="AF60" s="361">
        <f t="shared" si="10"/>
        <v>0</v>
      </c>
      <c r="AG60" s="361">
        <f t="shared" si="11"/>
        <v>0.67123287671232879</v>
      </c>
      <c r="AH60" s="361">
        <f t="shared" si="12"/>
        <v>0.25205479452054796</v>
      </c>
      <c r="AI60" s="361">
        <f t="shared" si="13"/>
        <v>0.25205479452054796</v>
      </c>
      <c r="AJ60" s="361">
        <f t="shared" si="14"/>
        <v>0.25205479452054796</v>
      </c>
      <c r="AK60" s="361">
        <f t="shared" si="15"/>
        <v>0.25205479452054796</v>
      </c>
      <c r="AL60" s="361">
        <f t="shared" si="16"/>
        <v>0</v>
      </c>
      <c r="AM60" s="361">
        <f t="shared" si="17"/>
        <v>0</v>
      </c>
      <c r="AN60" s="361">
        <f t="shared" si="18"/>
        <v>0</v>
      </c>
    </row>
    <row r="61" spans="1:40" ht="15" outlineLevel="1" x14ac:dyDescent="0.25">
      <c r="A61" s="156">
        <f t="shared" si="47"/>
        <v>53</v>
      </c>
      <c r="B61" s="172" t="s">
        <v>586</v>
      </c>
      <c r="C61" s="378"/>
      <c r="D61" s="379"/>
      <c r="E61" s="378"/>
      <c r="F61" s="378">
        <v>660</v>
      </c>
      <c r="G61" s="378">
        <v>660</v>
      </c>
      <c r="H61" s="378">
        <v>660</v>
      </c>
      <c r="I61" s="378">
        <v>660</v>
      </c>
      <c r="J61" s="378">
        <v>660</v>
      </c>
      <c r="K61" s="378"/>
      <c r="L61" s="378"/>
      <c r="M61" s="378"/>
      <c r="N61" s="378"/>
      <c r="O61" s="158">
        <f t="shared" si="53"/>
        <v>3300</v>
      </c>
      <c r="P61" s="155"/>
      <c r="Q61" s="174"/>
      <c r="R61" s="156"/>
      <c r="S61" s="174"/>
      <c r="T61" s="155"/>
      <c r="U61" s="409"/>
      <c r="V61" s="405">
        <v>43220</v>
      </c>
      <c r="W61" s="405">
        <v>43585</v>
      </c>
      <c r="X61" s="405">
        <v>44104</v>
      </c>
      <c r="Y61" s="405">
        <v>44469</v>
      </c>
      <c r="Z61" s="405">
        <v>44834</v>
      </c>
      <c r="AA61" s="409"/>
      <c r="AB61" s="409"/>
      <c r="AC61" s="409"/>
      <c r="AD61" s="409"/>
      <c r="AE61" s="361">
        <f t="shared" si="19"/>
        <v>0</v>
      </c>
      <c r="AF61" s="361">
        <f t="shared" si="10"/>
        <v>0.67123287671232879</v>
      </c>
      <c r="AG61" s="361">
        <f t="shared" si="11"/>
        <v>0.67123287671232879</v>
      </c>
      <c r="AH61" s="361">
        <f t="shared" si="12"/>
        <v>0.25205479452054796</v>
      </c>
      <c r="AI61" s="361">
        <f t="shared" si="13"/>
        <v>0.25205479452054796</v>
      </c>
      <c r="AJ61" s="361">
        <f t="shared" si="14"/>
        <v>0.25205479452054796</v>
      </c>
      <c r="AK61" s="361">
        <f t="shared" si="15"/>
        <v>0</v>
      </c>
      <c r="AL61" s="361">
        <f t="shared" si="16"/>
        <v>0</v>
      </c>
      <c r="AM61" s="361">
        <f t="shared" si="17"/>
        <v>0</v>
      </c>
      <c r="AN61" s="361">
        <f t="shared" si="18"/>
        <v>0</v>
      </c>
    </row>
    <row r="62" spans="1:40" ht="15" outlineLevel="1" x14ac:dyDescent="0.25">
      <c r="A62" s="156">
        <f t="shared" si="47"/>
        <v>54</v>
      </c>
      <c r="B62" s="172" t="s">
        <v>587</v>
      </c>
      <c r="C62" s="378"/>
      <c r="D62" s="379"/>
      <c r="E62" s="379"/>
      <c r="F62" s="378">
        <v>1769</v>
      </c>
      <c r="G62" s="378">
        <v>1769</v>
      </c>
      <c r="H62" s="378">
        <v>1769</v>
      </c>
      <c r="I62" s="378">
        <v>1769</v>
      </c>
      <c r="J62" s="378">
        <v>1769</v>
      </c>
      <c r="K62" s="378"/>
      <c r="L62" s="378"/>
      <c r="M62" s="378"/>
      <c r="N62" s="378"/>
      <c r="O62" s="158">
        <f t="shared" si="53"/>
        <v>8845</v>
      </c>
      <c r="P62" s="155"/>
      <c r="Q62" s="174"/>
      <c r="R62" s="156"/>
      <c r="S62" s="174"/>
      <c r="T62" s="155"/>
      <c r="U62" s="409"/>
      <c r="V62" s="405">
        <v>43220</v>
      </c>
      <c r="W62" s="405">
        <v>43585</v>
      </c>
      <c r="X62" s="405">
        <v>44104</v>
      </c>
      <c r="Y62" s="405">
        <v>44469</v>
      </c>
      <c r="Z62" s="405">
        <v>44834</v>
      </c>
      <c r="AA62" s="409"/>
      <c r="AB62" s="409"/>
      <c r="AC62" s="409"/>
      <c r="AD62" s="409"/>
      <c r="AE62" s="361">
        <f t="shared" si="19"/>
        <v>0</v>
      </c>
      <c r="AF62" s="361">
        <f t="shared" si="10"/>
        <v>0.67123287671232879</v>
      </c>
      <c r="AG62" s="361">
        <f t="shared" si="11"/>
        <v>0.67123287671232879</v>
      </c>
      <c r="AH62" s="361">
        <f t="shared" si="12"/>
        <v>0.25205479452054796</v>
      </c>
      <c r="AI62" s="361">
        <f t="shared" si="13"/>
        <v>0.25205479452054796</v>
      </c>
      <c r="AJ62" s="361">
        <f t="shared" si="14"/>
        <v>0.25205479452054796</v>
      </c>
      <c r="AK62" s="361">
        <f t="shared" si="15"/>
        <v>0</v>
      </c>
      <c r="AL62" s="361">
        <f t="shared" si="16"/>
        <v>0</v>
      </c>
      <c r="AM62" s="361">
        <f t="shared" si="17"/>
        <v>0</v>
      </c>
      <c r="AN62" s="361">
        <f t="shared" si="18"/>
        <v>0</v>
      </c>
    </row>
    <row r="63" spans="1:40" ht="15" outlineLevel="1" x14ac:dyDescent="0.25">
      <c r="A63" s="156">
        <f t="shared" si="47"/>
        <v>55</v>
      </c>
      <c r="B63" s="172" t="s">
        <v>513</v>
      </c>
      <c r="C63" s="378"/>
      <c r="D63" s="379"/>
      <c r="E63" s="379"/>
      <c r="F63" s="378"/>
      <c r="G63" s="378">
        <v>3332</v>
      </c>
      <c r="H63" s="378">
        <v>3332</v>
      </c>
      <c r="I63" s="378">
        <v>3332</v>
      </c>
      <c r="J63" s="378">
        <v>3332</v>
      </c>
      <c r="K63" s="378">
        <v>3332</v>
      </c>
      <c r="L63" s="378"/>
      <c r="M63" s="378"/>
      <c r="N63" s="378"/>
      <c r="O63" s="158">
        <f t="shared" si="53"/>
        <v>16660</v>
      </c>
      <c r="P63" s="155"/>
      <c r="Q63" s="174"/>
      <c r="R63" s="156"/>
      <c r="S63" s="174"/>
      <c r="T63" s="155"/>
      <c r="U63" s="409"/>
      <c r="V63" s="409"/>
      <c r="W63" s="405">
        <v>43585</v>
      </c>
      <c r="X63" s="405">
        <v>44104</v>
      </c>
      <c r="Y63" s="405">
        <v>44469</v>
      </c>
      <c r="Z63" s="405">
        <v>44834</v>
      </c>
      <c r="AA63" s="405">
        <v>45199</v>
      </c>
      <c r="AB63" s="409"/>
      <c r="AC63" s="409"/>
      <c r="AD63" s="409"/>
      <c r="AE63" s="361">
        <f t="shared" si="19"/>
        <v>0</v>
      </c>
      <c r="AF63" s="361">
        <f t="shared" si="10"/>
        <v>0</v>
      </c>
      <c r="AG63" s="361">
        <f t="shared" si="11"/>
        <v>0.67123287671232879</v>
      </c>
      <c r="AH63" s="361">
        <f t="shared" si="12"/>
        <v>0.25205479452054796</v>
      </c>
      <c r="AI63" s="361">
        <f t="shared" si="13"/>
        <v>0.25205479452054796</v>
      </c>
      <c r="AJ63" s="361">
        <f t="shared" si="14"/>
        <v>0.25205479452054796</v>
      </c>
      <c r="AK63" s="361">
        <f t="shared" si="15"/>
        <v>0.25205479452054796</v>
      </c>
      <c r="AL63" s="361">
        <f t="shared" si="16"/>
        <v>0</v>
      </c>
      <c r="AM63" s="361">
        <f t="shared" si="17"/>
        <v>0</v>
      </c>
      <c r="AN63" s="361">
        <f t="shared" si="18"/>
        <v>0</v>
      </c>
    </row>
    <row r="64" spans="1:40" ht="15" outlineLevel="1" x14ac:dyDescent="0.25">
      <c r="A64" s="156">
        <f t="shared" si="47"/>
        <v>56</v>
      </c>
      <c r="B64" s="172" t="s">
        <v>588</v>
      </c>
      <c r="C64" s="378">
        <v>57</v>
      </c>
      <c r="D64" s="378">
        <v>54</v>
      </c>
      <c r="E64" s="378">
        <v>52</v>
      </c>
      <c r="F64" s="378">
        <v>49</v>
      </c>
      <c r="G64" s="378"/>
      <c r="H64" s="379"/>
      <c r="I64" s="378"/>
      <c r="J64" s="378"/>
      <c r="K64" s="378"/>
      <c r="L64" s="378"/>
      <c r="M64" s="376"/>
      <c r="N64" s="376"/>
      <c r="O64" s="158">
        <f t="shared" si="53"/>
        <v>212</v>
      </c>
      <c r="P64" s="155"/>
      <c r="Q64" s="174"/>
      <c r="R64" s="157"/>
      <c r="S64" s="174"/>
      <c r="T64" s="155"/>
      <c r="U64" s="405">
        <v>42855</v>
      </c>
      <c r="V64" s="405">
        <v>43220</v>
      </c>
      <c r="W64" s="404"/>
      <c r="X64" s="409"/>
      <c r="Y64" s="409"/>
      <c r="Z64" s="409"/>
      <c r="AA64" s="409"/>
      <c r="AB64" s="409"/>
      <c r="AC64" s="409"/>
      <c r="AD64" s="409"/>
      <c r="AE64" s="361">
        <f t="shared" si="19"/>
        <v>0.67123287671232879</v>
      </c>
      <c r="AF64" s="361">
        <f t="shared" si="10"/>
        <v>0.67123287671232879</v>
      </c>
      <c r="AG64" s="361">
        <f t="shared" si="11"/>
        <v>0</v>
      </c>
      <c r="AH64" s="361">
        <f t="shared" si="12"/>
        <v>0</v>
      </c>
      <c r="AI64" s="361">
        <f t="shared" si="13"/>
        <v>0</v>
      </c>
      <c r="AJ64" s="361">
        <f t="shared" si="14"/>
        <v>0</v>
      </c>
      <c r="AK64" s="361">
        <f t="shared" si="15"/>
        <v>0</v>
      </c>
      <c r="AL64" s="361">
        <f t="shared" si="16"/>
        <v>0</v>
      </c>
      <c r="AM64" s="361">
        <f t="shared" si="17"/>
        <v>0</v>
      </c>
      <c r="AN64" s="361">
        <f t="shared" si="18"/>
        <v>0</v>
      </c>
    </row>
    <row r="65" spans="1:40" ht="15" outlineLevel="1" x14ac:dyDescent="0.25">
      <c r="A65" s="156">
        <f t="shared" si="47"/>
        <v>57</v>
      </c>
      <c r="B65" s="172" t="s">
        <v>589</v>
      </c>
      <c r="C65" s="378"/>
      <c r="D65" s="378"/>
      <c r="E65" s="378"/>
      <c r="F65" s="378">
        <v>372</v>
      </c>
      <c r="G65" s="378">
        <v>372</v>
      </c>
      <c r="H65" s="379">
        <v>373</v>
      </c>
      <c r="I65" s="378"/>
      <c r="J65" s="378"/>
      <c r="K65" s="378"/>
      <c r="L65" s="378"/>
      <c r="M65" s="376"/>
      <c r="N65" s="376"/>
      <c r="O65" s="158">
        <f t="shared" si="53"/>
        <v>1117</v>
      </c>
      <c r="P65" s="155"/>
      <c r="Q65" s="174"/>
      <c r="R65" s="157"/>
      <c r="S65" s="174"/>
      <c r="T65" s="155"/>
      <c r="U65" s="409"/>
      <c r="V65" s="405">
        <v>43220</v>
      </c>
      <c r="W65" s="405">
        <v>43585</v>
      </c>
      <c r="X65" s="405">
        <v>44104</v>
      </c>
      <c r="Y65" s="409"/>
      <c r="Z65" s="409"/>
      <c r="AA65" s="409"/>
      <c r="AB65" s="409"/>
      <c r="AC65" s="409"/>
      <c r="AD65" s="409"/>
      <c r="AE65" s="361">
        <f t="shared" si="19"/>
        <v>0</v>
      </c>
      <c r="AF65" s="361">
        <f t="shared" si="10"/>
        <v>0.67123287671232879</v>
      </c>
      <c r="AG65" s="361">
        <f t="shared" si="11"/>
        <v>0.67123287671232879</v>
      </c>
      <c r="AH65" s="361">
        <f t="shared" si="12"/>
        <v>0.25205479452054796</v>
      </c>
      <c r="AI65" s="361">
        <f t="shared" si="13"/>
        <v>0</v>
      </c>
      <c r="AJ65" s="361">
        <f t="shared" si="14"/>
        <v>0</v>
      </c>
      <c r="AK65" s="361">
        <f t="shared" si="15"/>
        <v>0</v>
      </c>
      <c r="AL65" s="361">
        <f t="shared" si="16"/>
        <v>0</v>
      </c>
      <c r="AM65" s="361">
        <f t="shared" si="17"/>
        <v>0</v>
      </c>
      <c r="AN65" s="361">
        <f t="shared" si="18"/>
        <v>0</v>
      </c>
    </row>
    <row r="66" spans="1:40" ht="15" outlineLevel="2" x14ac:dyDescent="0.25">
      <c r="A66" s="156">
        <f t="shared" si="47"/>
        <v>58</v>
      </c>
      <c r="B66" s="172" t="s">
        <v>590</v>
      </c>
      <c r="C66" s="378"/>
      <c r="D66" s="378"/>
      <c r="E66" s="378"/>
      <c r="F66" s="378">
        <v>320</v>
      </c>
      <c r="G66" s="378">
        <v>19609</v>
      </c>
      <c r="H66" s="379">
        <v>38095</v>
      </c>
      <c r="I66" s="378">
        <v>35379</v>
      </c>
      <c r="J66" s="378">
        <v>22658</v>
      </c>
      <c r="K66" s="378"/>
      <c r="L66" s="378"/>
      <c r="M66" s="376"/>
      <c r="N66" s="376"/>
      <c r="O66" s="158">
        <f t="shared" si="53"/>
        <v>116061</v>
      </c>
      <c r="P66" s="155"/>
      <c r="Q66" s="174"/>
      <c r="R66" s="157"/>
      <c r="S66" s="174"/>
      <c r="T66" s="155"/>
      <c r="U66" s="409"/>
      <c r="V66" s="405">
        <v>43220</v>
      </c>
      <c r="W66" s="405">
        <v>43585</v>
      </c>
      <c r="X66" s="405">
        <v>44104</v>
      </c>
      <c r="Y66" s="405">
        <v>44469</v>
      </c>
      <c r="Z66" s="405">
        <v>44834</v>
      </c>
      <c r="AA66" s="409"/>
      <c r="AB66" s="409"/>
      <c r="AC66" s="409"/>
      <c r="AD66" s="409"/>
      <c r="AE66" s="361">
        <f t="shared" si="19"/>
        <v>0</v>
      </c>
      <c r="AF66" s="361">
        <f t="shared" si="10"/>
        <v>0.67123287671232879</v>
      </c>
      <c r="AG66" s="361">
        <f t="shared" si="11"/>
        <v>0.67123287671232879</v>
      </c>
      <c r="AH66" s="361">
        <f t="shared" si="12"/>
        <v>0.25205479452054796</v>
      </c>
      <c r="AI66" s="361">
        <f t="shared" si="13"/>
        <v>0.25205479452054796</v>
      </c>
      <c r="AJ66" s="361">
        <f t="shared" si="14"/>
        <v>0.25205479452054796</v>
      </c>
      <c r="AK66" s="361">
        <f t="shared" si="15"/>
        <v>0</v>
      </c>
      <c r="AL66" s="361">
        <f t="shared" si="16"/>
        <v>0</v>
      </c>
      <c r="AM66" s="361">
        <f t="shared" si="17"/>
        <v>0</v>
      </c>
      <c r="AN66" s="361">
        <f t="shared" si="18"/>
        <v>0</v>
      </c>
    </row>
    <row r="67" spans="1:40" ht="15" outlineLevel="2" x14ac:dyDescent="0.25">
      <c r="A67" s="156">
        <f t="shared" si="47"/>
        <v>59</v>
      </c>
      <c r="B67" s="172" t="s">
        <v>591</v>
      </c>
      <c r="C67" s="158">
        <f t="shared" ref="C67:E67" si="54">SUBTOTAL(9,C68:C69)</f>
        <v>0</v>
      </c>
      <c r="D67" s="158">
        <f t="shared" si="54"/>
        <v>0</v>
      </c>
      <c r="E67" s="158">
        <f t="shared" si="54"/>
        <v>0</v>
      </c>
      <c r="F67" s="158">
        <f>SUBTOTAL(9,F68:F69)</f>
        <v>1000</v>
      </c>
      <c r="G67" s="158">
        <f t="shared" ref="G67:N67" si="55">SUBTOTAL(9,G68:G69)</f>
        <v>0</v>
      </c>
      <c r="H67" s="158">
        <f t="shared" si="55"/>
        <v>17012</v>
      </c>
      <c r="I67" s="158">
        <f t="shared" si="55"/>
        <v>22039</v>
      </c>
      <c r="J67" s="158">
        <f t="shared" si="55"/>
        <v>21073</v>
      </c>
      <c r="K67" s="158">
        <f t="shared" si="55"/>
        <v>13864</v>
      </c>
      <c r="L67" s="158">
        <f t="shared" si="55"/>
        <v>0</v>
      </c>
      <c r="M67" s="158">
        <f t="shared" si="55"/>
        <v>0</v>
      </c>
      <c r="N67" s="158">
        <f t="shared" si="55"/>
        <v>0</v>
      </c>
      <c r="O67" s="158">
        <f t="shared" si="53"/>
        <v>74988</v>
      </c>
      <c r="P67" s="155"/>
      <c r="Q67" s="174"/>
      <c r="R67" s="157"/>
      <c r="S67" s="174"/>
      <c r="T67" s="155"/>
      <c r="U67" s="409"/>
      <c r="V67" s="409"/>
      <c r="W67" s="404"/>
      <c r="X67" s="409"/>
      <c r="Y67" s="409"/>
      <c r="Z67" s="409"/>
      <c r="AA67" s="409"/>
      <c r="AB67" s="409"/>
      <c r="AC67" s="409"/>
      <c r="AD67" s="409"/>
      <c r="AE67" s="361">
        <f t="shared" si="19"/>
        <v>0</v>
      </c>
      <c r="AF67" s="361">
        <f t="shared" si="10"/>
        <v>0</v>
      </c>
      <c r="AG67" s="361">
        <f t="shared" si="11"/>
        <v>0</v>
      </c>
      <c r="AH67" s="361">
        <f t="shared" si="12"/>
        <v>0</v>
      </c>
      <c r="AI67" s="361">
        <f t="shared" si="13"/>
        <v>0</v>
      </c>
      <c r="AJ67" s="361">
        <f t="shared" si="14"/>
        <v>0</v>
      </c>
      <c r="AK67" s="361">
        <f t="shared" si="15"/>
        <v>0</v>
      </c>
      <c r="AL67" s="361">
        <f t="shared" si="16"/>
        <v>0</v>
      </c>
      <c r="AM67" s="361">
        <f t="shared" si="17"/>
        <v>0</v>
      </c>
      <c r="AN67" s="361">
        <f t="shared" si="18"/>
        <v>0</v>
      </c>
    </row>
    <row r="68" spans="1:40" outlineLevel="1" x14ac:dyDescent="0.2">
      <c r="A68" s="156">
        <f t="shared" si="47"/>
        <v>60</v>
      </c>
      <c r="B68" s="173" t="s">
        <v>592</v>
      </c>
      <c r="C68" s="376"/>
      <c r="D68" s="377"/>
      <c r="E68" s="377"/>
      <c r="F68" s="376"/>
      <c r="G68" s="376">
        <v>0</v>
      </c>
      <c r="H68" s="376">
        <v>17012</v>
      </c>
      <c r="I68" s="376">
        <v>21955</v>
      </c>
      <c r="J68" s="376">
        <v>17489</v>
      </c>
      <c r="K68" s="376">
        <v>12690</v>
      </c>
      <c r="L68" s="376"/>
      <c r="M68" s="376"/>
      <c r="N68" s="376"/>
      <c r="O68" s="155">
        <f t="shared" si="53"/>
        <v>69146</v>
      </c>
      <c r="P68" s="155"/>
      <c r="Q68" s="174"/>
      <c r="R68" s="157"/>
      <c r="S68" s="174"/>
      <c r="T68" s="155"/>
      <c r="U68" s="409"/>
      <c r="V68" s="409"/>
      <c r="W68" s="404"/>
      <c r="X68" s="405">
        <v>44104</v>
      </c>
      <c r="Y68" s="405">
        <v>44469</v>
      </c>
      <c r="Z68" s="405">
        <v>44834</v>
      </c>
      <c r="AA68" s="405">
        <v>45199</v>
      </c>
      <c r="AB68" s="409"/>
      <c r="AC68" s="409"/>
      <c r="AD68" s="409"/>
      <c r="AE68" s="361">
        <f t="shared" si="19"/>
        <v>0</v>
      </c>
      <c r="AF68" s="361">
        <f t="shared" si="10"/>
        <v>0</v>
      </c>
      <c r="AG68" s="361">
        <f t="shared" si="11"/>
        <v>0</v>
      </c>
      <c r="AH68" s="361">
        <f t="shared" si="12"/>
        <v>0.25205479452054796</v>
      </c>
      <c r="AI68" s="361">
        <f t="shared" si="13"/>
        <v>0.25205479452054796</v>
      </c>
      <c r="AJ68" s="361">
        <f t="shared" si="14"/>
        <v>0.25205479452054796</v>
      </c>
      <c r="AK68" s="361">
        <f t="shared" si="15"/>
        <v>0.25205479452054796</v>
      </c>
      <c r="AL68" s="361">
        <f t="shared" si="16"/>
        <v>0</v>
      </c>
      <c r="AM68" s="361">
        <f t="shared" si="17"/>
        <v>0</v>
      </c>
      <c r="AN68" s="361">
        <f t="shared" si="18"/>
        <v>0</v>
      </c>
    </row>
    <row r="69" spans="1:40" outlineLevel="2" x14ac:dyDescent="0.2">
      <c r="A69" s="156">
        <f t="shared" si="47"/>
        <v>61</v>
      </c>
      <c r="B69" s="173" t="s">
        <v>593</v>
      </c>
      <c r="C69" s="376"/>
      <c r="D69" s="377"/>
      <c r="E69" s="377"/>
      <c r="F69" s="376">
        <v>1000</v>
      </c>
      <c r="G69" s="376">
        <v>0</v>
      </c>
      <c r="H69" s="376">
        <v>0</v>
      </c>
      <c r="I69" s="376">
        <v>84</v>
      </c>
      <c r="J69" s="376">
        <v>3584</v>
      </c>
      <c r="K69" s="376">
        <v>1174</v>
      </c>
      <c r="L69" s="376"/>
      <c r="M69" s="376"/>
      <c r="N69" s="376"/>
      <c r="O69" s="155">
        <f t="shared" si="53"/>
        <v>5842</v>
      </c>
      <c r="P69" s="155"/>
      <c r="Q69" s="174"/>
      <c r="R69" s="157"/>
      <c r="S69" s="174"/>
      <c r="T69" s="155"/>
      <c r="U69" s="409"/>
      <c r="V69" s="405">
        <v>43220</v>
      </c>
      <c r="W69" s="404"/>
      <c r="X69" s="409"/>
      <c r="Y69" s="405">
        <v>44469</v>
      </c>
      <c r="Z69" s="405">
        <v>44834</v>
      </c>
      <c r="AA69" s="405">
        <v>45199</v>
      </c>
      <c r="AB69" s="409"/>
      <c r="AC69" s="409"/>
      <c r="AD69" s="409"/>
      <c r="AE69" s="361">
        <f t="shared" si="19"/>
        <v>0</v>
      </c>
      <c r="AF69" s="361">
        <f t="shared" si="10"/>
        <v>0.67123287671232879</v>
      </c>
      <c r="AG69" s="361">
        <f t="shared" si="11"/>
        <v>0</v>
      </c>
      <c r="AH69" s="361">
        <f t="shared" si="12"/>
        <v>0</v>
      </c>
      <c r="AI69" s="361">
        <f t="shared" si="13"/>
        <v>0.25205479452054796</v>
      </c>
      <c r="AJ69" s="361">
        <f t="shared" si="14"/>
        <v>0.25205479452054796</v>
      </c>
      <c r="AK69" s="361">
        <f t="shared" si="15"/>
        <v>0.25205479452054796</v>
      </c>
      <c r="AL69" s="361">
        <f t="shared" si="16"/>
        <v>0</v>
      </c>
      <c r="AM69" s="361">
        <f t="shared" si="17"/>
        <v>0</v>
      </c>
      <c r="AN69" s="361">
        <f t="shared" si="18"/>
        <v>0</v>
      </c>
    </row>
    <row r="70" spans="1:40" ht="15" outlineLevel="2" x14ac:dyDescent="0.25">
      <c r="A70" s="156">
        <f t="shared" si="47"/>
        <v>62</v>
      </c>
      <c r="B70" s="172" t="s">
        <v>594</v>
      </c>
      <c r="C70" s="378"/>
      <c r="D70" s="379"/>
      <c r="E70" s="379"/>
      <c r="F70" s="378"/>
      <c r="G70" s="378">
        <v>276</v>
      </c>
      <c r="H70" s="378">
        <v>4235</v>
      </c>
      <c r="I70" s="378">
        <v>1791</v>
      </c>
      <c r="J70" s="378"/>
      <c r="K70" s="378"/>
      <c r="L70" s="378"/>
      <c r="M70" s="376"/>
      <c r="N70" s="376"/>
      <c r="O70" s="158">
        <f t="shared" si="53"/>
        <v>6302</v>
      </c>
      <c r="P70" s="155"/>
      <c r="Q70" s="174"/>
      <c r="R70" s="157"/>
      <c r="S70" s="174"/>
      <c r="T70" s="155"/>
      <c r="U70" s="409"/>
      <c r="V70" s="409"/>
      <c r="W70" s="405">
        <v>43585</v>
      </c>
      <c r="X70" s="405">
        <v>44104</v>
      </c>
      <c r="Y70" s="405">
        <v>44469</v>
      </c>
      <c r="Z70" s="409"/>
      <c r="AA70" s="409"/>
      <c r="AB70" s="409"/>
      <c r="AC70" s="409"/>
      <c r="AD70" s="409"/>
      <c r="AE70" s="361">
        <f t="shared" si="19"/>
        <v>0</v>
      </c>
      <c r="AF70" s="361">
        <f t="shared" si="10"/>
        <v>0</v>
      </c>
      <c r="AG70" s="361">
        <f t="shared" si="11"/>
        <v>0.67123287671232879</v>
      </c>
      <c r="AH70" s="361">
        <f t="shared" si="12"/>
        <v>0.25205479452054796</v>
      </c>
      <c r="AI70" s="361">
        <f t="shared" si="13"/>
        <v>0.25205479452054796</v>
      </c>
      <c r="AJ70" s="361">
        <f t="shared" si="14"/>
        <v>0</v>
      </c>
      <c r="AK70" s="361">
        <f t="shared" si="15"/>
        <v>0</v>
      </c>
      <c r="AL70" s="361">
        <f t="shared" si="16"/>
        <v>0</v>
      </c>
      <c r="AM70" s="361">
        <f t="shared" si="17"/>
        <v>0</v>
      </c>
      <c r="AN70" s="361">
        <f t="shared" si="18"/>
        <v>0</v>
      </c>
    </row>
    <row r="71" spans="1:40" ht="15" outlineLevel="2" x14ac:dyDescent="0.25">
      <c r="A71" s="156">
        <f t="shared" si="47"/>
        <v>63</v>
      </c>
      <c r="B71" s="172" t="s">
        <v>595</v>
      </c>
      <c r="C71" s="378"/>
      <c r="D71" s="379"/>
      <c r="E71" s="379"/>
      <c r="F71" s="378"/>
      <c r="G71" s="378"/>
      <c r="H71" s="378">
        <v>502</v>
      </c>
      <c r="I71" s="378">
        <v>7700</v>
      </c>
      <c r="J71" s="378">
        <v>3122</v>
      </c>
      <c r="K71" s="378"/>
      <c r="L71" s="378"/>
      <c r="M71" s="376"/>
      <c r="N71" s="376"/>
      <c r="O71" s="158">
        <f t="shared" si="53"/>
        <v>11324</v>
      </c>
      <c r="P71" s="155"/>
      <c r="Q71" s="174"/>
      <c r="R71" s="157"/>
      <c r="S71" s="174"/>
      <c r="T71" s="155"/>
      <c r="U71" s="409"/>
      <c r="V71" s="409"/>
      <c r="W71" s="404"/>
      <c r="X71" s="405">
        <v>44104</v>
      </c>
      <c r="Y71" s="405">
        <v>44469</v>
      </c>
      <c r="Z71" s="405">
        <v>44834</v>
      </c>
      <c r="AA71" s="409"/>
      <c r="AB71" s="409"/>
      <c r="AC71" s="409"/>
      <c r="AD71" s="409"/>
      <c r="AE71" s="361">
        <f t="shared" si="19"/>
        <v>0</v>
      </c>
      <c r="AF71" s="361">
        <f t="shared" si="10"/>
        <v>0</v>
      </c>
      <c r="AG71" s="361">
        <f t="shared" si="11"/>
        <v>0</v>
      </c>
      <c r="AH71" s="361">
        <f t="shared" si="12"/>
        <v>0.25205479452054796</v>
      </c>
      <c r="AI71" s="361">
        <f t="shared" si="13"/>
        <v>0.25205479452054796</v>
      </c>
      <c r="AJ71" s="361">
        <f t="shared" si="14"/>
        <v>0.25205479452054796</v>
      </c>
      <c r="AK71" s="361">
        <f t="shared" si="15"/>
        <v>0</v>
      </c>
      <c r="AL71" s="361">
        <f t="shared" si="16"/>
        <v>0</v>
      </c>
      <c r="AM71" s="361">
        <f t="shared" si="17"/>
        <v>0</v>
      </c>
      <c r="AN71" s="361">
        <f t="shared" si="18"/>
        <v>0</v>
      </c>
    </row>
    <row r="72" spans="1:40" ht="15" outlineLevel="1" x14ac:dyDescent="0.25">
      <c r="A72" s="156">
        <f t="shared" si="47"/>
        <v>64</v>
      </c>
      <c r="B72" s="172" t="s">
        <v>511</v>
      </c>
      <c r="C72" s="158">
        <f t="shared" ref="C72:E72" si="56">SUBTOTAL(9,C73:C75)</f>
        <v>0</v>
      </c>
      <c r="D72" s="158">
        <f t="shared" si="56"/>
        <v>0</v>
      </c>
      <c r="E72" s="158">
        <f t="shared" si="56"/>
        <v>0</v>
      </c>
      <c r="F72" s="158">
        <f>SUBTOTAL(9,F73:F75)</f>
        <v>5808</v>
      </c>
      <c r="G72" s="158">
        <f t="shared" ref="G72:N72" si="57">SUBTOTAL(9,G73:G75)</f>
        <v>32385</v>
      </c>
      <c r="H72" s="158">
        <f t="shared" si="57"/>
        <v>69730</v>
      </c>
      <c r="I72" s="158">
        <f t="shared" si="57"/>
        <v>57400</v>
      </c>
      <c r="J72" s="158">
        <f t="shared" si="57"/>
        <v>79908</v>
      </c>
      <c r="K72" s="158">
        <f t="shared" si="57"/>
        <v>64167</v>
      </c>
      <c r="L72" s="158">
        <f t="shared" si="57"/>
        <v>0</v>
      </c>
      <c r="M72" s="158">
        <f t="shared" si="57"/>
        <v>0</v>
      </c>
      <c r="N72" s="158">
        <f t="shared" si="57"/>
        <v>0</v>
      </c>
      <c r="O72" s="158">
        <f t="shared" si="53"/>
        <v>309398</v>
      </c>
      <c r="P72" s="155"/>
      <c r="Q72" s="174"/>
      <c r="R72" s="157"/>
      <c r="S72" s="174"/>
      <c r="T72" s="155"/>
      <c r="U72" s="409"/>
      <c r="V72" s="409"/>
      <c r="W72" s="404"/>
      <c r="X72" s="409"/>
      <c r="Y72" s="409"/>
      <c r="Z72" s="409"/>
      <c r="AA72" s="409"/>
      <c r="AB72" s="409"/>
      <c r="AC72" s="409"/>
      <c r="AD72" s="409"/>
      <c r="AE72" s="361">
        <f t="shared" si="19"/>
        <v>0</v>
      </c>
      <c r="AF72" s="361">
        <f t="shared" si="10"/>
        <v>0</v>
      </c>
      <c r="AG72" s="361">
        <f t="shared" si="11"/>
        <v>0</v>
      </c>
      <c r="AH72" s="361">
        <f t="shared" si="12"/>
        <v>0</v>
      </c>
      <c r="AI72" s="361">
        <f t="shared" si="13"/>
        <v>0</v>
      </c>
      <c r="AJ72" s="361">
        <f t="shared" si="14"/>
        <v>0</v>
      </c>
      <c r="AK72" s="361">
        <f t="shared" si="15"/>
        <v>0</v>
      </c>
      <c r="AL72" s="361">
        <f t="shared" si="16"/>
        <v>0</v>
      </c>
      <c r="AM72" s="361">
        <f t="shared" si="17"/>
        <v>0</v>
      </c>
      <c r="AN72" s="361">
        <f t="shared" si="18"/>
        <v>0</v>
      </c>
    </row>
    <row r="73" spans="1:40" outlineLevel="2" x14ac:dyDescent="0.2">
      <c r="A73" s="156">
        <f t="shared" si="47"/>
        <v>65</v>
      </c>
      <c r="B73" s="173" t="s">
        <v>596</v>
      </c>
      <c r="C73" s="376"/>
      <c r="D73" s="376"/>
      <c r="E73" s="376"/>
      <c r="F73" s="376">
        <v>4465</v>
      </c>
      <c r="G73" s="376">
        <v>31734</v>
      </c>
      <c r="H73" s="376">
        <v>65983</v>
      </c>
      <c r="I73" s="376">
        <v>52455</v>
      </c>
      <c r="J73" s="376">
        <v>75562</v>
      </c>
      <c r="K73" s="376">
        <v>60858</v>
      </c>
      <c r="L73" s="376"/>
      <c r="M73" s="376"/>
      <c r="N73" s="376"/>
      <c r="O73" s="155">
        <f t="shared" si="53"/>
        <v>291057</v>
      </c>
      <c r="P73" s="155"/>
      <c r="Q73" s="174"/>
      <c r="R73" s="157"/>
      <c r="S73" s="174"/>
      <c r="T73" s="155"/>
      <c r="U73" s="409"/>
      <c r="V73" s="405">
        <v>43220</v>
      </c>
      <c r="W73" s="405">
        <v>43585</v>
      </c>
      <c r="X73" s="405">
        <v>44104</v>
      </c>
      <c r="Y73" s="405">
        <v>44469</v>
      </c>
      <c r="Z73" s="405">
        <v>44834</v>
      </c>
      <c r="AA73" s="405">
        <v>45199</v>
      </c>
      <c r="AB73" s="409"/>
      <c r="AC73" s="409"/>
      <c r="AD73" s="409"/>
      <c r="AE73" s="361">
        <f t="shared" si="19"/>
        <v>0</v>
      </c>
      <c r="AF73" s="361">
        <f t="shared" si="10"/>
        <v>0.67123287671232879</v>
      </c>
      <c r="AG73" s="361">
        <f t="shared" si="11"/>
        <v>0.67123287671232879</v>
      </c>
      <c r="AH73" s="361">
        <f t="shared" si="12"/>
        <v>0.25205479452054796</v>
      </c>
      <c r="AI73" s="361">
        <f t="shared" si="13"/>
        <v>0.25205479452054796</v>
      </c>
      <c r="AJ73" s="361">
        <f t="shared" si="14"/>
        <v>0.25205479452054796</v>
      </c>
      <c r="AK73" s="361">
        <f t="shared" si="15"/>
        <v>0.25205479452054796</v>
      </c>
      <c r="AL73" s="361">
        <f t="shared" si="16"/>
        <v>0</v>
      </c>
      <c r="AM73" s="361">
        <f t="shared" si="17"/>
        <v>0</v>
      </c>
      <c r="AN73" s="361">
        <f t="shared" si="18"/>
        <v>0</v>
      </c>
    </row>
    <row r="74" spans="1:40" outlineLevel="2" x14ac:dyDescent="0.2">
      <c r="A74" s="156">
        <f t="shared" si="47"/>
        <v>66</v>
      </c>
      <c r="B74" s="173" t="s">
        <v>597</v>
      </c>
      <c r="C74" s="376"/>
      <c r="D74" s="376"/>
      <c r="E74" s="376"/>
      <c r="F74" s="376">
        <v>49</v>
      </c>
      <c r="G74" s="376">
        <v>88</v>
      </c>
      <c r="H74" s="376">
        <v>612</v>
      </c>
      <c r="I74" s="376">
        <v>824</v>
      </c>
      <c r="J74" s="376">
        <v>893</v>
      </c>
      <c r="K74" s="376">
        <v>386</v>
      </c>
      <c r="L74" s="377"/>
      <c r="M74" s="377"/>
      <c r="N74" s="377"/>
      <c r="O74" s="155">
        <f t="shared" si="53"/>
        <v>2852</v>
      </c>
      <c r="P74" s="155"/>
      <c r="Q74" s="174"/>
      <c r="R74" s="157"/>
      <c r="S74" s="174"/>
      <c r="T74" s="155"/>
      <c r="U74" s="409"/>
      <c r="V74" s="405">
        <v>43220</v>
      </c>
      <c r="W74" s="405">
        <v>43585</v>
      </c>
      <c r="X74" s="405">
        <v>44104</v>
      </c>
      <c r="Y74" s="405">
        <v>44469</v>
      </c>
      <c r="Z74" s="405">
        <v>44834</v>
      </c>
      <c r="AA74" s="405">
        <v>45199</v>
      </c>
      <c r="AB74" s="409"/>
      <c r="AC74" s="409"/>
      <c r="AD74" s="409"/>
      <c r="AE74" s="361">
        <f t="shared" si="19"/>
        <v>0</v>
      </c>
      <c r="AF74" s="361">
        <f t="shared" si="10"/>
        <v>0.67123287671232879</v>
      </c>
      <c r="AG74" s="361">
        <f t="shared" si="11"/>
        <v>0.67123287671232879</v>
      </c>
      <c r="AH74" s="361">
        <f t="shared" si="12"/>
        <v>0.25205479452054796</v>
      </c>
      <c r="AI74" s="361">
        <f t="shared" si="13"/>
        <v>0.25205479452054796</v>
      </c>
      <c r="AJ74" s="361">
        <f t="shared" si="14"/>
        <v>0.25205479452054796</v>
      </c>
      <c r="AK74" s="361">
        <f t="shared" si="15"/>
        <v>0.25205479452054796</v>
      </c>
      <c r="AL74" s="361">
        <f t="shared" si="16"/>
        <v>0</v>
      </c>
      <c r="AM74" s="361">
        <f t="shared" si="17"/>
        <v>0</v>
      </c>
      <c r="AN74" s="361">
        <f t="shared" si="18"/>
        <v>0</v>
      </c>
    </row>
    <row r="75" spans="1:40" outlineLevel="2" x14ac:dyDescent="0.2">
      <c r="A75" s="156">
        <f t="shared" si="47"/>
        <v>67</v>
      </c>
      <c r="B75" s="173" t="s">
        <v>598</v>
      </c>
      <c r="C75" s="376"/>
      <c r="D75" s="376"/>
      <c r="E75" s="376"/>
      <c r="F75" s="376">
        <v>1294</v>
      </c>
      <c r="G75" s="377">
        <v>563</v>
      </c>
      <c r="H75" s="376">
        <v>3135</v>
      </c>
      <c r="I75" s="376">
        <v>4121</v>
      </c>
      <c r="J75" s="376">
        <v>3453</v>
      </c>
      <c r="K75" s="376">
        <v>2923</v>
      </c>
      <c r="L75" s="376"/>
      <c r="M75" s="376"/>
      <c r="N75" s="376"/>
      <c r="O75" s="155">
        <f t="shared" si="53"/>
        <v>15489</v>
      </c>
      <c r="P75" s="155"/>
      <c r="Q75" s="174"/>
      <c r="R75" s="157"/>
      <c r="S75" s="174"/>
      <c r="T75" s="155"/>
      <c r="U75" s="409"/>
      <c r="V75" s="405">
        <v>43220</v>
      </c>
      <c r="W75" s="405">
        <v>43585</v>
      </c>
      <c r="X75" s="405">
        <v>44104</v>
      </c>
      <c r="Y75" s="405">
        <v>44469</v>
      </c>
      <c r="Z75" s="405">
        <v>44834</v>
      </c>
      <c r="AA75" s="405">
        <v>45199</v>
      </c>
      <c r="AB75" s="409"/>
      <c r="AC75" s="409"/>
      <c r="AD75" s="409"/>
      <c r="AE75" s="361">
        <f t="shared" si="19"/>
        <v>0</v>
      </c>
      <c r="AF75" s="361">
        <f t="shared" si="10"/>
        <v>0.67123287671232879</v>
      </c>
      <c r="AG75" s="361">
        <f t="shared" si="11"/>
        <v>0.67123287671232879</v>
      </c>
      <c r="AH75" s="361">
        <f t="shared" si="12"/>
        <v>0.25205479452054796</v>
      </c>
      <c r="AI75" s="361">
        <f t="shared" si="13"/>
        <v>0.25205479452054796</v>
      </c>
      <c r="AJ75" s="361">
        <f t="shared" si="14"/>
        <v>0.25205479452054796</v>
      </c>
      <c r="AK75" s="361">
        <f t="shared" si="15"/>
        <v>0.25205479452054796</v>
      </c>
      <c r="AL75" s="361">
        <f t="shared" si="16"/>
        <v>0</v>
      </c>
      <c r="AM75" s="361">
        <f t="shared" si="17"/>
        <v>0</v>
      </c>
      <c r="AN75" s="361">
        <f t="shared" si="18"/>
        <v>0</v>
      </c>
    </row>
    <row r="76" spans="1:40" ht="15" outlineLevel="1" x14ac:dyDescent="0.25">
      <c r="A76" s="156">
        <f t="shared" si="47"/>
        <v>68</v>
      </c>
      <c r="B76" s="172" t="s">
        <v>599</v>
      </c>
      <c r="C76" s="158">
        <f t="shared" ref="C76:H76" si="58">SUBTOTAL(9,C77:C80)</f>
        <v>0</v>
      </c>
      <c r="D76" s="158">
        <f t="shared" si="58"/>
        <v>0</v>
      </c>
      <c r="E76" s="158">
        <f t="shared" si="58"/>
        <v>0</v>
      </c>
      <c r="F76" s="158">
        <f t="shared" si="58"/>
        <v>0</v>
      </c>
      <c r="G76" s="158">
        <f t="shared" si="58"/>
        <v>0</v>
      </c>
      <c r="H76" s="158">
        <f t="shared" si="58"/>
        <v>0</v>
      </c>
      <c r="I76" s="158">
        <f>SUBTOTAL(9,I77:I80)</f>
        <v>5577</v>
      </c>
      <c r="J76" s="158">
        <f t="shared" ref="J76:N76" si="59">SUBTOTAL(9,J77:J80)</f>
        <v>11318</v>
      </c>
      <c r="K76" s="158">
        <f t="shared" si="59"/>
        <v>56595</v>
      </c>
      <c r="L76" s="158">
        <f t="shared" si="59"/>
        <v>78171</v>
      </c>
      <c r="M76" s="158">
        <f t="shared" si="59"/>
        <v>87861</v>
      </c>
      <c r="N76" s="158">
        <f t="shared" si="59"/>
        <v>62410</v>
      </c>
      <c r="O76" s="158">
        <f t="shared" si="53"/>
        <v>301932</v>
      </c>
      <c r="P76" s="155"/>
      <c r="Q76" s="174">
        <v>78171</v>
      </c>
      <c r="R76" s="157">
        <v>87861</v>
      </c>
      <c r="S76" s="174">
        <v>62410</v>
      </c>
      <c r="T76" s="155"/>
      <c r="U76" s="409"/>
      <c r="V76" s="409"/>
      <c r="W76" s="404"/>
      <c r="X76" s="409"/>
      <c r="Y76" s="409"/>
      <c r="Z76" s="409"/>
      <c r="AA76" s="409"/>
      <c r="AB76" s="409"/>
      <c r="AC76" s="409"/>
      <c r="AD76" s="409"/>
      <c r="AE76" s="361">
        <f t="shared" si="19"/>
        <v>0</v>
      </c>
      <c r="AF76" s="361">
        <f t="shared" ref="AF76:AF139" si="60">IF(ISBLANK(V76),,(DATE(AF$6,12,31)-V76)/365)</f>
        <v>0</v>
      </c>
      <c r="AG76" s="361">
        <f t="shared" ref="AG76:AG139" si="61">IF(ISBLANK(W76),,(DATE(AG$6,12,31)-W76)/365)</f>
        <v>0</v>
      </c>
      <c r="AH76" s="361">
        <f t="shared" ref="AH76:AH139" si="62">IF(ISBLANK(X76),,(DATE(AH$6,12,31)-X76)/365)</f>
        <v>0</v>
      </c>
      <c r="AI76" s="361">
        <f t="shared" ref="AI76:AI139" si="63">IF(ISBLANK(Y76),,(DATE(AI$6,12,31)-Y76)/365)</f>
        <v>0</v>
      </c>
      <c r="AJ76" s="361">
        <f t="shared" ref="AJ76:AJ139" si="64">IF(ISBLANK(Z76),,(DATE(AJ$6,12,31)-Z76)/365)</f>
        <v>0</v>
      </c>
      <c r="AK76" s="361">
        <f t="shared" ref="AK76:AK139" si="65">IF(ISBLANK(AA76),,(DATE(AK$6,12,31)-AA76)/365)</f>
        <v>0</v>
      </c>
      <c r="AL76" s="361">
        <f t="shared" ref="AL76:AL139" si="66">IF(ISBLANK(AB76),,(DATE(AL$6,12,31)-AB76)/365)</f>
        <v>0</v>
      </c>
      <c r="AM76" s="361">
        <f t="shared" ref="AM76:AM139" si="67">IF(ISBLANK(AC76),,(DATE(AM$6,12,31)-AC76)/365)</f>
        <v>0</v>
      </c>
      <c r="AN76" s="361">
        <f t="shared" ref="AN76:AN139" si="68">IF(ISBLANK(AD76),,(DATE(AN$6,12,31)-AD76)/365)</f>
        <v>0</v>
      </c>
    </row>
    <row r="77" spans="1:40" s="159" customFormat="1" ht="15" outlineLevel="1" x14ac:dyDescent="0.25">
      <c r="A77" s="156">
        <f t="shared" si="47"/>
        <v>69</v>
      </c>
      <c r="B77" s="173" t="s">
        <v>600</v>
      </c>
      <c r="C77" s="376"/>
      <c r="D77" s="376"/>
      <c r="E77" s="376"/>
      <c r="F77" s="376"/>
      <c r="G77" s="376"/>
      <c r="H77" s="376"/>
      <c r="I77" s="376">
        <v>2299</v>
      </c>
      <c r="J77" s="376">
        <v>4598</v>
      </c>
      <c r="K77" s="376">
        <v>22989</v>
      </c>
      <c r="L77" s="376">
        <v>32185</v>
      </c>
      <c r="M77" s="376">
        <v>36498</v>
      </c>
      <c r="N77" s="376">
        <v>25824</v>
      </c>
      <c r="O77" s="155">
        <f t="shared" si="53"/>
        <v>124393</v>
      </c>
      <c r="P77" s="155"/>
      <c r="Q77" s="174">
        <v>32185</v>
      </c>
      <c r="R77" s="156">
        <v>36498</v>
      </c>
      <c r="S77" s="174">
        <v>25824</v>
      </c>
      <c r="T77" s="155"/>
      <c r="U77" s="410"/>
      <c r="V77" s="410"/>
      <c r="W77" s="404"/>
      <c r="X77" s="410"/>
      <c r="Y77" s="405">
        <v>44469</v>
      </c>
      <c r="Z77" s="405">
        <v>44834</v>
      </c>
      <c r="AA77" s="405">
        <v>45199</v>
      </c>
      <c r="AB77" s="405">
        <v>45565</v>
      </c>
      <c r="AC77" s="405">
        <v>45930</v>
      </c>
      <c r="AD77" s="405">
        <v>46295</v>
      </c>
      <c r="AE77" s="362">
        <f t="shared" ref="AE77:AE140" si="69">IF(ISBLANK(U77),,(DATE(AE$6,12,31)-U77)/365)</f>
        <v>0</v>
      </c>
      <c r="AF77" s="362">
        <f t="shared" si="60"/>
        <v>0</v>
      </c>
      <c r="AG77" s="362">
        <f t="shared" si="61"/>
        <v>0</v>
      </c>
      <c r="AH77" s="362">
        <f t="shared" si="62"/>
        <v>0</v>
      </c>
      <c r="AI77" s="362">
        <f t="shared" si="63"/>
        <v>0.25205479452054796</v>
      </c>
      <c r="AJ77" s="362">
        <f t="shared" si="64"/>
        <v>0.25205479452054796</v>
      </c>
      <c r="AK77" s="362">
        <f t="shared" si="65"/>
        <v>0.25205479452054796</v>
      </c>
      <c r="AL77" s="362">
        <f t="shared" si="66"/>
        <v>0.25205479452054796</v>
      </c>
      <c r="AM77" s="362">
        <f t="shared" si="67"/>
        <v>0.25205479452054796</v>
      </c>
      <c r="AN77" s="362">
        <f t="shared" si="68"/>
        <v>0.25205479452054796</v>
      </c>
    </row>
    <row r="78" spans="1:40" outlineLevel="1" x14ac:dyDescent="0.2">
      <c r="A78" s="156">
        <f t="shared" si="47"/>
        <v>70</v>
      </c>
      <c r="B78" s="173" t="s">
        <v>601</v>
      </c>
      <c r="C78" s="376"/>
      <c r="D78" s="376"/>
      <c r="E78" s="376"/>
      <c r="F78" s="376"/>
      <c r="G78" s="376"/>
      <c r="H78" s="376"/>
      <c r="I78" s="376">
        <v>2299</v>
      </c>
      <c r="J78" s="376">
        <v>4598</v>
      </c>
      <c r="K78" s="376">
        <v>22989</v>
      </c>
      <c r="L78" s="376">
        <v>32185</v>
      </c>
      <c r="M78" s="376">
        <v>36498</v>
      </c>
      <c r="N78" s="376">
        <v>25824</v>
      </c>
      <c r="O78" s="155">
        <f t="shared" si="53"/>
        <v>124393</v>
      </c>
      <c r="P78" s="155"/>
      <c r="Q78" s="174">
        <v>32185</v>
      </c>
      <c r="R78" s="154">
        <v>36498</v>
      </c>
      <c r="S78" s="174">
        <v>25824</v>
      </c>
      <c r="T78" s="155"/>
      <c r="U78" s="409"/>
      <c r="V78" s="409"/>
      <c r="W78" s="404"/>
      <c r="X78" s="409"/>
      <c r="Y78" s="405">
        <v>44469</v>
      </c>
      <c r="Z78" s="405">
        <v>44834</v>
      </c>
      <c r="AA78" s="405">
        <v>45199</v>
      </c>
      <c r="AB78" s="405">
        <v>45565</v>
      </c>
      <c r="AC78" s="405">
        <v>45930</v>
      </c>
      <c r="AD78" s="405">
        <v>46295</v>
      </c>
      <c r="AE78" s="361">
        <f t="shared" si="69"/>
        <v>0</v>
      </c>
      <c r="AF78" s="361">
        <f t="shared" si="60"/>
        <v>0</v>
      </c>
      <c r="AG78" s="361">
        <f t="shared" si="61"/>
        <v>0</v>
      </c>
      <c r="AH78" s="361">
        <f t="shared" si="62"/>
        <v>0</v>
      </c>
      <c r="AI78" s="361">
        <f t="shared" si="63"/>
        <v>0.25205479452054796</v>
      </c>
      <c r="AJ78" s="361">
        <f t="shared" si="64"/>
        <v>0.25205479452054796</v>
      </c>
      <c r="AK78" s="361">
        <f t="shared" si="65"/>
        <v>0.25205479452054796</v>
      </c>
      <c r="AL78" s="361">
        <f t="shared" si="66"/>
        <v>0.25205479452054796</v>
      </c>
      <c r="AM78" s="361">
        <f t="shared" si="67"/>
        <v>0.25205479452054796</v>
      </c>
      <c r="AN78" s="361">
        <f t="shared" si="68"/>
        <v>0.25205479452054796</v>
      </c>
    </row>
    <row r="79" spans="1:40" outlineLevel="1" x14ac:dyDescent="0.2">
      <c r="A79" s="156">
        <f t="shared" si="47"/>
        <v>71</v>
      </c>
      <c r="B79" s="173" t="s">
        <v>602</v>
      </c>
      <c r="C79" s="376"/>
      <c r="D79" s="376"/>
      <c r="E79" s="376"/>
      <c r="F79" s="376"/>
      <c r="G79" s="376"/>
      <c r="H79" s="376"/>
      <c r="I79" s="376">
        <v>704</v>
      </c>
      <c r="J79" s="376">
        <v>1527</v>
      </c>
      <c r="K79" s="376">
        <v>7638</v>
      </c>
      <c r="L79" s="376">
        <v>9929</v>
      </c>
      <c r="M79" s="376">
        <v>10694</v>
      </c>
      <c r="N79" s="376">
        <v>7700</v>
      </c>
      <c r="O79" s="155">
        <f t="shared" si="53"/>
        <v>38192</v>
      </c>
      <c r="P79" s="155"/>
      <c r="Q79" s="174">
        <v>9929</v>
      </c>
      <c r="R79" s="154">
        <v>10694</v>
      </c>
      <c r="S79" s="174">
        <v>7700</v>
      </c>
      <c r="T79" s="155"/>
      <c r="U79" s="409"/>
      <c r="V79" s="409"/>
      <c r="W79" s="404"/>
      <c r="X79" s="409"/>
      <c r="Y79" s="405">
        <v>44469</v>
      </c>
      <c r="Z79" s="405">
        <v>44834</v>
      </c>
      <c r="AA79" s="405">
        <v>45199</v>
      </c>
      <c r="AB79" s="405">
        <v>45565</v>
      </c>
      <c r="AC79" s="405">
        <v>45930</v>
      </c>
      <c r="AD79" s="405">
        <v>46295</v>
      </c>
      <c r="AE79" s="361">
        <f t="shared" si="69"/>
        <v>0</v>
      </c>
      <c r="AF79" s="361">
        <f t="shared" si="60"/>
        <v>0</v>
      </c>
      <c r="AG79" s="361">
        <f t="shared" si="61"/>
        <v>0</v>
      </c>
      <c r="AH79" s="361">
        <f t="shared" si="62"/>
        <v>0</v>
      </c>
      <c r="AI79" s="361">
        <f t="shared" si="63"/>
        <v>0.25205479452054796</v>
      </c>
      <c r="AJ79" s="361">
        <f t="shared" si="64"/>
        <v>0.25205479452054796</v>
      </c>
      <c r="AK79" s="361">
        <f t="shared" si="65"/>
        <v>0.25205479452054796</v>
      </c>
      <c r="AL79" s="361">
        <f t="shared" si="66"/>
        <v>0.25205479452054796</v>
      </c>
      <c r="AM79" s="361">
        <f t="shared" si="67"/>
        <v>0.25205479452054796</v>
      </c>
      <c r="AN79" s="361">
        <f t="shared" si="68"/>
        <v>0.25205479452054796</v>
      </c>
    </row>
    <row r="80" spans="1:40" outlineLevel="1" x14ac:dyDescent="0.2">
      <c r="A80" s="156">
        <f t="shared" si="47"/>
        <v>72</v>
      </c>
      <c r="B80" s="173" t="s">
        <v>603</v>
      </c>
      <c r="C80" s="376"/>
      <c r="D80" s="376"/>
      <c r="E80" s="376"/>
      <c r="F80" s="376"/>
      <c r="G80" s="376"/>
      <c r="H80" s="376"/>
      <c r="I80" s="376">
        <v>275</v>
      </c>
      <c r="J80" s="376">
        <v>595</v>
      </c>
      <c r="K80" s="376">
        <v>2979</v>
      </c>
      <c r="L80" s="376">
        <v>3872</v>
      </c>
      <c r="M80" s="376">
        <v>4171</v>
      </c>
      <c r="N80" s="376">
        <v>3062</v>
      </c>
      <c r="O80" s="155">
        <f t="shared" si="53"/>
        <v>14954</v>
      </c>
      <c r="P80" s="155"/>
      <c r="Q80" s="174">
        <v>3872</v>
      </c>
      <c r="R80" s="154">
        <v>4171</v>
      </c>
      <c r="S80" s="174">
        <v>3062</v>
      </c>
      <c r="T80" s="155"/>
      <c r="U80" s="409"/>
      <c r="V80" s="409"/>
      <c r="W80" s="404"/>
      <c r="X80" s="409"/>
      <c r="Y80" s="405">
        <v>44469</v>
      </c>
      <c r="Z80" s="405">
        <v>44834</v>
      </c>
      <c r="AA80" s="405">
        <v>45199</v>
      </c>
      <c r="AB80" s="405">
        <v>45565</v>
      </c>
      <c r="AC80" s="405">
        <v>45930</v>
      </c>
      <c r="AD80" s="405">
        <v>46295</v>
      </c>
      <c r="AE80" s="361">
        <f t="shared" si="69"/>
        <v>0</v>
      </c>
      <c r="AF80" s="361">
        <f t="shared" si="60"/>
        <v>0</v>
      </c>
      <c r="AG80" s="361">
        <f t="shared" si="61"/>
        <v>0</v>
      </c>
      <c r="AH80" s="361">
        <f t="shared" si="62"/>
        <v>0</v>
      </c>
      <c r="AI80" s="361">
        <f t="shared" si="63"/>
        <v>0.25205479452054796</v>
      </c>
      <c r="AJ80" s="361">
        <f t="shared" si="64"/>
        <v>0.25205479452054796</v>
      </c>
      <c r="AK80" s="361">
        <f t="shared" si="65"/>
        <v>0.25205479452054796</v>
      </c>
      <c r="AL80" s="361">
        <f t="shared" si="66"/>
        <v>0.25205479452054796</v>
      </c>
      <c r="AM80" s="361">
        <f t="shared" si="67"/>
        <v>0.25205479452054796</v>
      </c>
      <c r="AN80" s="361">
        <f t="shared" si="68"/>
        <v>0.25205479452054796</v>
      </c>
    </row>
    <row r="81" spans="1:40" ht="15" outlineLevel="1" x14ac:dyDescent="0.25">
      <c r="A81" s="156">
        <f t="shared" si="47"/>
        <v>73</v>
      </c>
      <c r="B81" s="172" t="s">
        <v>604</v>
      </c>
      <c r="C81" s="158">
        <f t="shared" ref="C81:J81" si="70">SUBTOTAL(9,C82:C84)</f>
        <v>0</v>
      </c>
      <c r="D81" s="158">
        <f t="shared" si="70"/>
        <v>0</v>
      </c>
      <c r="E81" s="158">
        <f t="shared" si="70"/>
        <v>0</v>
      </c>
      <c r="F81" s="158">
        <f t="shared" si="70"/>
        <v>0</v>
      </c>
      <c r="G81" s="158">
        <f t="shared" si="70"/>
        <v>0</v>
      </c>
      <c r="H81" s="158">
        <f t="shared" si="70"/>
        <v>0</v>
      </c>
      <c r="I81" s="158">
        <f t="shared" si="70"/>
        <v>0</v>
      </c>
      <c r="J81" s="158">
        <f t="shared" si="70"/>
        <v>0</v>
      </c>
      <c r="K81" s="158">
        <f>SUBTOTAL(9,K82:K84)</f>
        <v>28</v>
      </c>
      <c r="L81" s="158">
        <f t="shared" ref="L81:N81" si="71">SUBTOTAL(9,L82:L84)</f>
        <v>1056</v>
      </c>
      <c r="M81" s="158">
        <f t="shared" si="71"/>
        <v>8164</v>
      </c>
      <c r="N81" s="158">
        <f t="shared" si="71"/>
        <v>3771</v>
      </c>
      <c r="O81" s="158">
        <f t="shared" si="53"/>
        <v>13019</v>
      </c>
      <c r="P81" s="155"/>
      <c r="Q81" s="174">
        <v>1056</v>
      </c>
      <c r="R81" s="154">
        <v>8164</v>
      </c>
      <c r="S81" s="174">
        <v>3771</v>
      </c>
      <c r="T81" s="155"/>
      <c r="U81" s="409"/>
      <c r="V81" s="409"/>
      <c r="W81" s="404"/>
      <c r="X81" s="409"/>
      <c r="Y81" s="409"/>
      <c r="Z81" s="409"/>
      <c r="AA81" s="409"/>
      <c r="AB81" s="409"/>
      <c r="AC81" s="409"/>
      <c r="AD81" s="409"/>
      <c r="AE81" s="361">
        <f t="shared" si="69"/>
        <v>0</v>
      </c>
      <c r="AF81" s="361">
        <f t="shared" si="60"/>
        <v>0</v>
      </c>
      <c r="AG81" s="361">
        <f t="shared" si="61"/>
        <v>0</v>
      </c>
      <c r="AH81" s="361">
        <f t="shared" si="62"/>
        <v>0</v>
      </c>
      <c r="AI81" s="361">
        <f t="shared" si="63"/>
        <v>0</v>
      </c>
      <c r="AJ81" s="361">
        <f t="shared" si="64"/>
        <v>0</v>
      </c>
      <c r="AK81" s="361">
        <f t="shared" si="65"/>
        <v>0</v>
      </c>
      <c r="AL81" s="361">
        <f t="shared" si="66"/>
        <v>0</v>
      </c>
      <c r="AM81" s="361">
        <f t="shared" si="67"/>
        <v>0</v>
      </c>
      <c r="AN81" s="361">
        <f t="shared" si="68"/>
        <v>0</v>
      </c>
    </row>
    <row r="82" spans="1:40" outlineLevel="1" x14ac:dyDescent="0.2">
      <c r="A82" s="156">
        <f t="shared" si="47"/>
        <v>74</v>
      </c>
      <c r="B82" s="173" t="s">
        <v>605</v>
      </c>
      <c r="C82" s="376"/>
      <c r="D82" s="376"/>
      <c r="E82" s="376"/>
      <c r="F82" s="376"/>
      <c r="G82" s="376"/>
      <c r="H82" s="376"/>
      <c r="I82" s="376"/>
      <c r="J82" s="376"/>
      <c r="K82" s="376">
        <v>10</v>
      </c>
      <c r="L82" s="376">
        <v>500</v>
      </c>
      <c r="M82" s="376">
        <v>4000</v>
      </c>
      <c r="N82" s="376">
        <v>1787</v>
      </c>
      <c r="O82" s="155">
        <f t="shared" si="53"/>
        <v>6297</v>
      </c>
      <c r="P82" s="155"/>
      <c r="Q82" s="174">
        <v>500</v>
      </c>
      <c r="R82" s="154">
        <v>4000</v>
      </c>
      <c r="S82" s="174">
        <v>1787</v>
      </c>
      <c r="T82" s="155"/>
      <c r="U82" s="409"/>
      <c r="V82" s="409"/>
      <c r="W82" s="404"/>
      <c r="X82" s="409"/>
      <c r="Y82" s="409"/>
      <c r="Z82" s="409"/>
      <c r="AA82" s="405">
        <v>45199</v>
      </c>
      <c r="AB82" s="405">
        <v>45565</v>
      </c>
      <c r="AC82" s="405">
        <v>45930</v>
      </c>
      <c r="AD82" s="405">
        <v>46295</v>
      </c>
      <c r="AE82" s="361">
        <f t="shared" si="69"/>
        <v>0</v>
      </c>
      <c r="AF82" s="361">
        <f t="shared" si="60"/>
        <v>0</v>
      </c>
      <c r="AG82" s="361">
        <f t="shared" si="61"/>
        <v>0</v>
      </c>
      <c r="AH82" s="361">
        <f t="shared" si="62"/>
        <v>0</v>
      </c>
      <c r="AI82" s="361">
        <f t="shared" si="63"/>
        <v>0</v>
      </c>
      <c r="AJ82" s="361">
        <f t="shared" si="64"/>
        <v>0</v>
      </c>
      <c r="AK82" s="361">
        <f t="shared" si="65"/>
        <v>0.25205479452054796</v>
      </c>
      <c r="AL82" s="361">
        <f t="shared" si="66"/>
        <v>0.25205479452054796</v>
      </c>
      <c r="AM82" s="361">
        <f t="shared" si="67"/>
        <v>0.25205479452054796</v>
      </c>
      <c r="AN82" s="361">
        <f t="shared" si="68"/>
        <v>0.25205479452054796</v>
      </c>
    </row>
    <row r="83" spans="1:40" outlineLevel="1" x14ac:dyDescent="0.2">
      <c r="A83" s="156">
        <f t="shared" si="47"/>
        <v>75</v>
      </c>
      <c r="B83" s="173" t="s">
        <v>606</v>
      </c>
      <c r="C83" s="376"/>
      <c r="D83" s="376"/>
      <c r="E83" s="376"/>
      <c r="F83" s="376"/>
      <c r="G83" s="376"/>
      <c r="H83" s="376"/>
      <c r="I83" s="376"/>
      <c r="J83" s="376"/>
      <c r="K83" s="376">
        <v>9</v>
      </c>
      <c r="L83" s="376">
        <v>278</v>
      </c>
      <c r="M83" s="376">
        <v>2082</v>
      </c>
      <c r="N83" s="376">
        <v>992</v>
      </c>
      <c r="O83" s="155">
        <f t="shared" si="53"/>
        <v>3361</v>
      </c>
      <c r="P83" s="155"/>
      <c r="Q83" s="174">
        <v>278</v>
      </c>
      <c r="R83" s="154">
        <v>2082</v>
      </c>
      <c r="S83" s="174">
        <v>992</v>
      </c>
      <c r="T83" s="155"/>
      <c r="U83" s="409"/>
      <c r="V83" s="409"/>
      <c r="W83" s="404"/>
      <c r="X83" s="409"/>
      <c r="Y83" s="409"/>
      <c r="Z83" s="409"/>
      <c r="AA83" s="405">
        <v>45199</v>
      </c>
      <c r="AB83" s="405">
        <v>45565</v>
      </c>
      <c r="AC83" s="405">
        <v>45930</v>
      </c>
      <c r="AD83" s="405">
        <v>46295</v>
      </c>
      <c r="AE83" s="361">
        <f t="shared" si="69"/>
        <v>0</v>
      </c>
      <c r="AF83" s="361">
        <f t="shared" si="60"/>
        <v>0</v>
      </c>
      <c r="AG83" s="361">
        <f t="shared" si="61"/>
        <v>0</v>
      </c>
      <c r="AH83" s="361">
        <f t="shared" si="62"/>
        <v>0</v>
      </c>
      <c r="AI83" s="361">
        <f t="shared" si="63"/>
        <v>0</v>
      </c>
      <c r="AJ83" s="361">
        <f t="shared" si="64"/>
        <v>0</v>
      </c>
      <c r="AK83" s="361">
        <f t="shared" si="65"/>
        <v>0.25205479452054796</v>
      </c>
      <c r="AL83" s="361">
        <f t="shared" si="66"/>
        <v>0.25205479452054796</v>
      </c>
      <c r="AM83" s="361">
        <f t="shared" si="67"/>
        <v>0.25205479452054796</v>
      </c>
      <c r="AN83" s="361">
        <f t="shared" si="68"/>
        <v>0.25205479452054796</v>
      </c>
    </row>
    <row r="84" spans="1:40" outlineLevel="1" x14ac:dyDescent="0.2">
      <c r="A84" s="156">
        <f t="shared" si="47"/>
        <v>76</v>
      </c>
      <c r="B84" s="173" t="s">
        <v>597</v>
      </c>
      <c r="C84" s="376"/>
      <c r="D84" s="376"/>
      <c r="E84" s="376"/>
      <c r="F84" s="376"/>
      <c r="G84" s="376"/>
      <c r="H84" s="376"/>
      <c r="I84" s="376"/>
      <c r="J84" s="376"/>
      <c r="K84" s="376">
        <v>9</v>
      </c>
      <c r="L84" s="376">
        <v>278</v>
      </c>
      <c r="M84" s="376">
        <v>2082</v>
      </c>
      <c r="N84" s="376">
        <v>992</v>
      </c>
      <c r="O84" s="155">
        <f t="shared" si="53"/>
        <v>3361</v>
      </c>
      <c r="P84" s="155"/>
      <c r="Q84" s="174">
        <v>278</v>
      </c>
      <c r="R84" s="154">
        <v>2082</v>
      </c>
      <c r="S84" s="174">
        <v>992</v>
      </c>
      <c r="T84" s="155"/>
      <c r="U84" s="409"/>
      <c r="V84" s="409"/>
      <c r="W84" s="404"/>
      <c r="X84" s="409"/>
      <c r="Y84" s="409"/>
      <c r="Z84" s="409"/>
      <c r="AA84" s="405">
        <v>45199</v>
      </c>
      <c r="AB84" s="405">
        <v>45565</v>
      </c>
      <c r="AC84" s="405">
        <v>45930</v>
      </c>
      <c r="AD84" s="405">
        <v>46295</v>
      </c>
      <c r="AE84" s="361">
        <f t="shared" si="69"/>
        <v>0</v>
      </c>
      <c r="AF84" s="361">
        <f t="shared" si="60"/>
        <v>0</v>
      </c>
      <c r="AG84" s="361">
        <f t="shared" si="61"/>
        <v>0</v>
      </c>
      <c r="AH84" s="361">
        <f t="shared" si="62"/>
        <v>0</v>
      </c>
      <c r="AI84" s="361">
        <f t="shared" si="63"/>
        <v>0</v>
      </c>
      <c r="AJ84" s="361">
        <f t="shared" si="64"/>
        <v>0</v>
      </c>
      <c r="AK84" s="361">
        <f t="shared" si="65"/>
        <v>0.25205479452054796</v>
      </c>
      <c r="AL84" s="361">
        <f t="shared" si="66"/>
        <v>0.25205479452054796</v>
      </c>
      <c r="AM84" s="361">
        <f t="shared" si="67"/>
        <v>0.25205479452054796</v>
      </c>
      <c r="AN84" s="361">
        <f t="shared" si="68"/>
        <v>0.25205479452054796</v>
      </c>
    </row>
    <row r="85" spans="1:40" outlineLevel="1" x14ac:dyDescent="0.2">
      <c r="A85" s="156">
        <f t="shared" si="47"/>
        <v>77</v>
      </c>
      <c r="B85" s="173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55"/>
      <c r="Q85" s="174"/>
      <c r="S85" s="174"/>
      <c r="T85" s="155"/>
      <c r="U85" s="409"/>
      <c r="V85" s="409"/>
      <c r="W85" s="409"/>
      <c r="X85" s="409"/>
      <c r="Y85" s="409"/>
      <c r="Z85" s="409"/>
      <c r="AA85" s="409"/>
      <c r="AB85" s="409"/>
      <c r="AC85" s="409"/>
      <c r="AD85" s="409"/>
      <c r="AE85" s="361">
        <f t="shared" si="69"/>
        <v>0</v>
      </c>
      <c r="AF85" s="361">
        <f t="shared" si="60"/>
        <v>0</v>
      </c>
      <c r="AG85" s="361">
        <f t="shared" si="61"/>
        <v>0</v>
      </c>
      <c r="AH85" s="361">
        <f t="shared" si="62"/>
        <v>0</v>
      </c>
      <c r="AI85" s="361">
        <f t="shared" si="63"/>
        <v>0</v>
      </c>
      <c r="AJ85" s="361">
        <f t="shared" si="64"/>
        <v>0</v>
      </c>
      <c r="AK85" s="361">
        <f t="shared" si="65"/>
        <v>0</v>
      </c>
      <c r="AL85" s="361">
        <f t="shared" si="66"/>
        <v>0</v>
      </c>
      <c r="AM85" s="361">
        <f t="shared" si="67"/>
        <v>0</v>
      </c>
      <c r="AN85" s="361">
        <f t="shared" si="68"/>
        <v>0</v>
      </c>
    </row>
    <row r="86" spans="1:40" s="183" customFormat="1" ht="15" x14ac:dyDescent="0.25">
      <c r="A86" s="179">
        <f>+A85+1</f>
        <v>78</v>
      </c>
      <c r="B86" s="180" t="s">
        <v>510</v>
      </c>
      <c r="C86" s="184">
        <f t="shared" ref="C86:N86" si="72">SUM(C87:C99)</f>
        <v>457</v>
      </c>
      <c r="D86" s="184">
        <f t="shared" si="72"/>
        <v>132</v>
      </c>
      <c r="E86" s="184">
        <f t="shared" si="72"/>
        <v>766</v>
      </c>
      <c r="F86" s="184">
        <f t="shared" si="72"/>
        <v>3315</v>
      </c>
      <c r="G86" s="184">
        <f t="shared" si="72"/>
        <v>3240</v>
      </c>
      <c r="H86" s="184">
        <f t="shared" si="72"/>
        <v>2087</v>
      </c>
      <c r="I86" s="184">
        <f t="shared" si="72"/>
        <v>0</v>
      </c>
      <c r="J86" s="184">
        <f t="shared" si="72"/>
        <v>250</v>
      </c>
      <c r="K86" s="184">
        <f t="shared" si="72"/>
        <v>500</v>
      </c>
      <c r="L86" s="184">
        <f t="shared" si="72"/>
        <v>0</v>
      </c>
      <c r="M86" s="184">
        <f t="shared" si="72"/>
        <v>0</v>
      </c>
      <c r="N86" s="184">
        <f t="shared" si="72"/>
        <v>0</v>
      </c>
      <c r="O86" s="181">
        <f>SUM(C86:N86)</f>
        <v>10747</v>
      </c>
      <c r="P86" s="182"/>
      <c r="Q86" s="185"/>
      <c r="S86" s="185"/>
      <c r="T86" s="182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363">
        <f t="shared" si="69"/>
        <v>0</v>
      </c>
      <c r="AF86" s="363">
        <f t="shared" si="60"/>
        <v>0</v>
      </c>
      <c r="AG86" s="363">
        <f t="shared" si="61"/>
        <v>0</v>
      </c>
      <c r="AH86" s="363">
        <f t="shared" si="62"/>
        <v>0</v>
      </c>
      <c r="AI86" s="363">
        <f t="shared" si="63"/>
        <v>0</v>
      </c>
      <c r="AJ86" s="363">
        <f t="shared" si="64"/>
        <v>0</v>
      </c>
      <c r="AK86" s="363">
        <f t="shared" si="65"/>
        <v>0</v>
      </c>
      <c r="AL86" s="363">
        <f t="shared" si="66"/>
        <v>0</v>
      </c>
      <c r="AM86" s="363">
        <f t="shared" si="67"/>
        <v>0</v>
      </c>
      <c r="AN86" s="363">
        <f t="shared" si="68"/>
        <v>0</v>
      </c>
    </row>
    <row r="87" spans="1:40" hidden="1" outlineLevel="1" x14ac:dyDescent="0.2">
      <c r="A87" s="156">
        <f t="shared" ref="A87:A117" si="73">+A86+1</f>
        <v>79</v>
      </c>
      <c r="B87" s="173" t="s">
        <v>509</v>
      </c>
      <c r="C87" s="407"/>
      <c r="D87" s="408"/>
      <c r="E87" s="408"/>
      <c r="F87" s="408">
        <v>150</v>
      </c>
      <c r="G87" s="408">
        <v>150</v>
      </c>
      <c r="H87" s="408"/>
      <c r="I87" s="408"/>
      <c r="J87" s="408"/>
      <c r="K87" s="408"/>
      <c r="L87" s="408"/>
      <c r="M87" s="408"/>
      <c r="N87" s="408"/>
      <c r="O87" s="155">
        <f>SUM(C87:N87)</f>
        <v>300</v>
      </c>
      <c r="P87" s="155"/>
      <c r="Q87" s="174">
        <v>42339</v>
      </c>
      <c r="R87" s="156" t="s">
        <v>474</v>
      </c>
      <c r="S87" s="174" t="s">
        <v>508</v>
      </c>
      <c r="T87" s="155"/>
      <c r="U87" s="409"/>
      <c r="V87" s="405">
        <v>43220</v>
      </c>
      <c r="W87" s="405">
        <v>43585</v>
      </c>
      <c r="X87" s="409"/>
      <c r="Y87" s="409"/>
      <c r="Z87" s="409"/>
      <c r="AA87" s="409"/>
      <c r="AB87" s="409"/>
      <c r="AC87" s="409"/>
      <c r="AD87" s="409"/>
      <c r="AE87" s="361">
        <f t="shared" si="69"/>
        <v>0</v>
      </c>
      <c r="AF87" s="361">
        <f t="shared" si="60"/>
        <v>0.67123287671232879</v>
      </c>
      <c r="AG87" s="361">
        <f t="shared" si="61"/>
        <v>0.67123287671232879</v>
      </c>
      <c r="AH87" s="361">
        <f t="shared" si="62"/>
        <v>0</v>
      </c>
      <c r="AI87" s="361">
        <f t="shared" si="63"/>
        <v>0</v>
      </c>
      <c r="AJ87" s="361">
        <f t="shared" si="64"/>
        <v>0</v>
      </c>
      <c r="AK87" s="361">
        <f t="shared" si="65"/>
        <v>0</v>
      </c>
      <c r="AL87" s="361">
        <f t="shared" si="66"/>
        <v>0</v>
      </c>
      <c r="AM87" s="361">
        <f t="shared" si="67"/>
        <v>0</v>
      </c>
      <c r="AN87" s="361">
        <f t="shared" si="68"/>
        <v>0</v>
      </c>
    </row>
    <row r="88" spans="1:40" hidden="1" outlineLevel="1" x14ac:dyDescent="0.2">
      <c r="A88" s="156">
        <f t="shared" si="73"/>
        <v>80</v>
      </c>
      <c r="B88" s="173" t="s">
        <v>507</v>
      </c>
      <c r="C88" s="407"/>
      <c r="D88" s="408">
        <v>41</v>
      </c>
      <c r="E88" s="408">
        <v>440</v>
      </c>
      <c r="F88" s="408"/>
      <c r="G88" s="408"/>
      <c r="H88" s="408"/>
      <c r="I88" s="408"/>
      <c r="J88" s="408"/>
      <c r="K88" s="408"/>
      <c r="L88" s="408"/>
      <c r="M88" s="408"/>
      <c r="N88" s="408"/>
      <c r="O88" s="155">
        <f t="shared" ref="O88:O99" si="74">SUM(C88:N88)</f>
        <v>481</v>
      </c>
      <c r="P88" s="155"/>
      <c r="Q88" s="174">
        <v>42339</v>
      </c>
      <c r="R88" s="156" t="s">
        <v>474</v>
      </c>
      <c r="S88" s="174">
        <v>43100</v>
      </c>
      <c r="T88" s="155"/>
      <c r="U88" s="405">
        <v>42855</v>
      </c>
      <c r="V88" s="409"/>
      <c r="W88" s="409"/>
      <c r="X88" s="409"/>
      <c r="Y88" s="409"/>
      <c r="Z88" s="409"/>
      <c r="AA88" s="409"/>
      <c r="AB88" s="409"/>
      <c r="AC88" s="409"/>
      <c r="AD88" s="409"/>
      <c r="AE88" s="361">
        <f t="shared" si="69"/>
        <v>0.67123287671232879</v>
      </c>
      <c r="AF88" s="361">
        <f t="shared" si="60"/>
        <v>0</v>
      </c>
      <c r="AG88" s="361">
        <f t="shared" si="61"/>
        <v>0</v>
      </c>
      <c r="AH88" s="361">
        <f t="shared" si="62"/>
        <v>0</v>
      </c>
      <c r="AI88" s="361">
        <f t="shared" si="63"/>
        <v>0</v>
      </c>
      <c r="AJ88" s="361">
        <f t="shared" si="64"/>
        <v>0</v>
      </c>
      <c r="AK88" s="361">
        <f t="shared" si="65"/>
        <v>0</v>
      </c>
      <c r="AL88" s="361">
        <f t="shared" si="66"/>
        <v>0</v>
      </c>
      <c r="AM88" s="361">
        <f t="shared" si="67"/>
        <v>0</v>
      </c>
      <c r="AN88" s="361">
        <f t="shared" si="68"/>
        <v>0</v>
      </c>
    </row>
    <row r="89" spans="1:40" hidden="1" outlineLevel="1" x14ac:dyDescent="0.2">
      <c r="A89" s="156">
        <f t="shared" si="73"/>
        <v>81</v>
      </c>
      <c r="B89" s="173" t="s">
        <v>506</v>
      </c>
      <c r="C89" s="408">
        <v>457</v>
      </c>
      <c r="D89" s="408">
        <v>91</v>
      </c>
      <c r="E89" s="408">
        <v>50</v>
      </c>
      <c r="F89" s="408">
        <v>50</v>
      </c>
      <c r="G89" s="408">
        <v>50</v>
      </c>
      <c r="H89" s="408">
        <v>50</v>
      </c>
      <c r="I89" s="408"/>
      <c r="J89" s="408"/>
      <c r="K89" s="408"/>
      <c r="L89" s="408"/>
      <c r="M89" s="408"/>
      <c r="N89" s="408"/>
      <c r="O89" s="155">
        <f t="shared" si="74"/>
        <v>748</v>
      </c>
      <c r="P89" s="155"/>
      <c r="Q89" s="174">
        <v>42339</v>
      </c>
      <c r="R89" s="156" t="s">
        <v>474</v>
      </c>
      <c r="S89" s="174" t="s">
        <v>505</v>
      </c>
      <c r="T89" s="155"/>
      <c r="U89" s="405">
        <v>42855</v>
      </c>
      <c r="V89" s="405">
        <v>43220</v>
      </c>
      <c r="W89" s="405">
        <v>43585</v>
      </c>
      <c r="X89" s="405">
        <v>44104</v>
      </c>
      <c r="Y89" s="409"/>
      <c r="Z89" s="409"/>
      <c r="AA89" s="409"/>
      <c r="AB89" s="409"/>
      <c r="AC89" s="409"/>
      <c r="AD89" s="409"/>
      <c r="AE89" s="361">
        <f t="shared" si="69"/>
        <v>0.67123287671232879</v>
      </c>
      <c r="AF89" s="361">
        <f t="shared" si="60"/>
        <v>0.67123287671232879</v>
      </c>
      <c r="AG89" s="361">
        <f t="shared" si="61"/>
        <v>0.67123287671232879</v>
      </c>
      <c r="AH89" s="361">
        <f t="shared" si="62"/>
        <v>0.25205479452054796</v>
      </c>
      <c r="AI89" s="361">
        <f t="shared" si="63"/>
        <v>0</v>
      </c>
      <c r="AJ89" s="361">
        <f t="shared" si="64"/>
        <v>0</v>
      </c>
      <c r="AK89" s="361">
        <f t="shared" si="65"/>
        <v>0</v>
      </c>
      <c r="AL89" s="361">
        <f t="shared" si="66"/>
        <v>0</v>
      </c>
      <c r="AM89" s="361">
        <f t="shared" si="67"/>
        <v>0</v>
      </c>
      <c r="AN89" s="361">
        <f t="shared" si="68"/>
        <v>0</v>
      </c>
    </row>
    <row r="90" spans="1:40" hidden="1" outlineLevel="1" x14ac:dyDescent="0.2">
      <c r="A90" s="156">
        <f t="shared" si="73"/>
        <v>82</v>
      </c>
      <c r="B90" s="173" t="s">
        <v>504</v>
      </c>
      <c r="C90" s="407"/>
      <c r="D90" s="408"/>
      <c r="E90" s="408"/>
      <c r="F90" s="408"/>
      <c r="G90" s="408"/>
      <c r="H90" s="408"/>
      <c r="I90" s="408"/>
      <c r="J90" s="408">
        <v>250</v>
      </c>
      <c r="K90" s="408">
        <v>500</v>
      </c>
      <c r="L90" s="408"/>
      <c r="M90" s="408"/>
      <c r="N90" s="408"/>
      <c r="O90" s="155">
        <f t="shared" si="74"/>
        <v>750</v>
      </c>
      <c r="P90" s="155"/>
      <c r="Q90" s="174"/>
      <c r="R90" s="156"/>
      <c r="S90" s="174">
        <v>42735</v>
      </c>
      <c r="T90" s="155"/>
      <c r="U90" s="409"/>
      <c r="V90" s="409"/>
      <c r="W90" s="409"/>
      <c r="X90" s="409"/>
      <c r="Y90" s="409"/>
      <c r="Z90" s="405">
        <v>44834</v>
      </c>
      <c r="AA90" s="405">
        <v>45199</v>
      </c>
      <c r="AB90" s="409"/>
      <c r="AC90" s="409"/>
      <c r="AD90" s="409"/>
      <c r="AE90" s="361">
        <f t="shared" si="69"/>
        <v>0</v>
      </c>
      <c r="AF90" s="361">
        <f t="shared" si="60"/>
        <v>0</v>
      </c>
      <c r="AG90" s="361">
        <f t="shared" si="61"/>
        <v>0</v>
      </c>
      <c r="AH90" s="361">
        <f t="shared" si="62"/>
        <v>0</v>
      </c>
      <c r="AI90" s="361">
        <f t="shared" si="63"/>
        <v>0</v>
      </c>
      <c r="AJ90" s="361">
        <f t="shared" si="64"/>
        <v>0.25205479452054796</v>
      </c>
      <c r="AK90" s="361">
        <f t="shared" si="65"/>
        <v>0.25205479452054796</v>
      </c>
      <c r="AL90" s="361">
        <f t="shared" si="66"/>
        <v>0</v>
      </c>
      <c r="AM90" s="361">
        <f t="shared" si="67"/>
        <v>0</v>
      </c>
      <c r="AN90" s="361">
        <f t="shared" si="68"/>
        <v>0</v>
      </c>
    </row>
    <row r="91" spans="1:40" hidden="1" outlineLevel="1" x14ac:dyDescent="0.2">
      <c r="A91" s="156">
        <f t="shared" si="73"/>
        <v>83</v>
      </c>
      <c r="B91" s="173" t="s">
        <v>503</v>
      </c>
      <c r="C91" s="407"/>
      <c r="D91" s="408"/>
      <c r="E91" s="408"/>
      <c r="F91" s="408">
        <v>250</v>
      </c>
      <c r="G91" s="408">
        <v>250</v>
      </c>
      <c r="H91" s="408"/>
      <c r="I91" s="408"/>
      <c r="J91" s="408"/>
      <c r="K91" s="408"/>
      <c r="L91" s="408"/>
      <c r="M91" s="408"/>
      <c r="N91" s="408"/>
      <c r="O91" s="155">
        <f t="shared" si="74"/>
        <v>500</v>
      </c>
      <c r="P91" s="155"/>
      <c r="Q91" s="174">
        <v>42339</v>
      </c>
      <c r="R91" s="156" t="s">
        <v>474</v>
      </c>
      <c r="S91" s="174">
        <v>43830</v>
      </c>
      <c r="T91" s="155"/>
      <c r="U91" s="409"/>
      <c r="V91" s="405">
        <v>43220</v>
      </c>
      <c r="W91" s="405">
        <v>43585</v>
      </c>
      <c r="X91" s="409"/>
      <c r="Y91" s="409"/>
      <c r="Z91" s="409"/>
      <c r="AA91" s="409"/>
      <c r="AB91" s="409"/>
      <c r="AC91" s="409"/>
      <c r="AD91" s="409"/>
      <c r="AE91" s="361">
        <f t="shared" si="69"/>
        <v>0</v>
      </c>
      <c r="AF91" s="361">
        <f t="shared" si="60"/>
        <v>0.67123287671232879</v>
      </c>
      <c r="AG91" s="361">
        <f t="shared" si="61"/>
        <v>0.67123287671232879</v>
      </c>
      <c r="AH91" s="361">
        <f t="shared" si="62"/>
        <v>0</v>
      </c>
      <c r="AI91" s="361">
        <f t="shared" si="63"/>
        <v>0</v>
      </c>
      <c r="AJ91" s="361">
        <f t="shared" si="64"/>
        <v>0</v>
      </c>
      <c r="AK91" s="361">
        <f t="shared" si="65"/>
        <v>0</v>
      </c>
      <c r="AL91" s="361">
        <f t="shared" si="66"/>
        <v>0</v>
      </c>
      <c r="AM91" s="361">
        <f t="shared" si="67"/>
        <v>0</v>
      </c>
      <c r="AN91" s="361">
        <f t="shared" si="68"/>
        <v>0</v>
      </c>
    </row>
    <row r="92" spans="1:40" hidden="1" outlineLevel="1" x14ac:dyDescent="0.2">
      <c r="A92" s="156">
        <f t="shared" si="73"/>
        <v>84</v>
      </c>
      <c r="B92" s="173" t="s">
        <v>502</v>
      </c>
      <c r="C92" s="407"/>
      <c r="D92" s="408"/>
      <c r="E92" s="408">
        <v>145</v>
      </c>
      <c r="F92" s="408">
        <v>132</v>
      </c>
      <c r="G92" s="408"/>
      <c r="H92" s="408"/>
      <c r="I92" s="408"/>
      <c r="J92" s="408"/>
      <c r="K92" s="408"/>
      <c r="L92" s="408"/>
      <c r="M92" s="408"/>
      <c r="N92" s="408"/>
      <c r="O92" s="155">
        <f t="shared" si="74"/>
        <v>277</v>
      </c>
      <c r="P92" s="155"/>
      <c r="Q92" s="174">
        <v>42339</v>
      </c>
      <c r="R92" s="156" t="s">
        <v>474</v>
      </c>
      <c r="S92" s="174">
        <v>43830</v>
      </c>
      <c r="T92" s="155"/>
      <c r="U92" s="405">
        <v>42855</v>
      </c>
      <c r="V92" s="405">
        <v>43220</v>
      </c>
      <c r="W92" s="409"/>
      <c r="X92" s="409"/>
      <c r="Y92" s="409"/>
      <c r="Z92" s="409"/>
      <c r="AA92" s="409"/>
      <c r="AB92" s="409"/>
      <c r="AC92" s="409"/>
      <c r="AD92" s="409"/>
      <c r="AE92" s="361">
        <f t="shared" si="69"/>
        <v>0.67123287671232879</v>
      </c>
      <c r="AF92" s="361">
        <f t="shared" si="60"/>
        <v>0.67123287671232879</v>
      </c>
      <c r="AG92" s="361">
        <f t="shared" si="61"/>
        <v>0</v>
      </c>
      <c r="AH92" s="361">
        <f t="shared" si="62"/>
        <v>0</v>
      </c>
      <c r="AI92" s="361">
        <f t="shared" si="63"/>
        <v>0</v>
      </c>
      <c r="AJ92" s="361">
        <f t="shared" si="64"/>
        <v>0</v>
      </c>
      <c r="AK92" s="361">
        <f t="shared" si="65"/>
        <v>0</v>
      </c>
      <c r="AL92" s="361">
        <f t="shared" si="66"/>
        <v>0</v>
      </c>
      <c r="AM92" s="361">
        <f t="shared" si="67"/>
        <v>0</v>
      </c>
      <c r="AN92" s="361">
        <f t="shared" si="68"/>
        <v>0</v>
      </c>
    </row>
    <row r="93" spans="1:40" hidden="1" outlineLevel="1" x14ac:dyDescent="0.2">
      <c r="A93" s="156">
        <f t="shared" si="73"/>
        <v>85</v>
      </c>
      <c r="B93" s="173" t="s">
        <v>499</v>
      </c>
      <c r="C93" s="407"/>
      <c r="D93" s="408"/>
      <c r="E93" s="408">
        <v>131</v>
      </c>
      <c r="F93" s="408">
        <v>131</v>
      </c>
      <c r="G93" s="408"/>
      <c r="H93" s="408"/>
      <c r="I93" s="408"/>
      <c r="J93" s="408"/>
      <c r="K93" s="408"/>
      <c r="L93" s="408"/>
      <c r="M93" s="408"/>
      <c r="N93" s="408"/>
      <c r="O93" s="155">
        <f t="shared" si="74"/>
        <v>262</v>
      </c>
      <c r="P93" s="155"/>
      <c r="Q93" s="174">
        <v>41974</v>
      </c>
      <c r="R93" s="156" t="s">
        <v>474</v>
      </c>
      <c r="S93" s="174">
        <v>42735</v>
      </c>
      <c r="T93" s="155"/>
      <c r="U93" s="405">
        <v>42855</v>
      </c>
      <c r="V93" s="405">
        <v>43220</v>
      </c>
      <c r="W93" s="409"/>
      <c r="X93" s="409"/>
      <c r="Y93" s="409"/>
      <c r="Z93" s="409"/>
      <c r="AA93" s="409"/>
      <c r="AB93" s="409"/>
      <c r="AC93" s="409"/>
      <c r="AD93" s="409"/>
      <c r="AE93" s="361">
        <f t="shared" si="69"/>
        <v>0.67123287671232879</v>
      </c>
      <c r="AF93" s="361">
        <f t="shared" si="60"/>
        <v>0.67123287671232879</v>
      </c>
      <c r="AG93" s="361">
        <f t="shared" si="61"/>
        <v>0</v>
      </c>
      <c r="AH93" s="361">
        <f t="shared" si="62"/>
        <v>0</v>
      </c>
      <c r="AI93" s="361">
        <f t="shared" si="63"/>
        <v>0</v>
      </c>
      <c r="AJ93" s="361">
        <f t="shared" si="64"/>
        <v>0</v>
      </c>
      <c r="AK93" s="361">
        <f t="shared" si="65"/>
        <v>0</v>
      </c>
      <c r="AL93" s="361">
        <f t="shared" si="66"/>
        <v>0</v>
      </c>
      <c r="AM93" s="361">
        <f t="shared" si="67"/>
        <v>0</v>
      </c>
      <c r="AN93" s="361">
        <f t="shared" si="68"/>
        <v>0</v>
      </c>
    </row>
    <row r="94" spans="1:40" hidden="1" outlineLevel="1" x14ac:dyDescent="0.2">
      <c r="A94" s="156">
        <f t="shared" si="73"/>
        <v>86</v>
      </c>
      <c r="B94" s="173" t="s">
        <v>498</v>
      </c>
      <c r="C94" s="407"/>
      <c r="D94" s="408"/>
      <c r="E94" s="408"/>
      <c r="F94" s="408">
        <v>60</v>
      </c>
      <c r="G94" s="408"/>
      <c r="H94" s="408"/>
      <c r="I94" s="408"/>
      <c r="J94" s="408"/>
      <c r="K94" s="408"/>
      <c r="L94" s="408"/>
      <c r="M94" s="408"/>
      <c r="N94" s="408"/>
      <c r="O94" s="155">
        <f t="shared" si="74"/>
        <v>60</v>
      </c>
      <c r="P94" s="155"/>
      <c r="Q94" s="178" t="s">
        <v>501</v>
      </c>
      <c r="R94" s="157"/>
      <c r="S94" s="174" t="s">
        <v>500</v>
      </c>
      <c r="T94" s="155"/>
      <c r="U94" s="409"/>
      <c r="V94" s="405">
        <v>43220</v>
      </c>
      <c r="W94" s="409"/>
      <c r="X94" s="409"/>
      <c r="Y94" s="409"/>
      <c r="Z94" s="409"/>
      <c r="AA94" s="409"/>
      <c r="AB94" s="409"/>
      <c r="AC94" s="409"/>
      <c r="AD94" s="409"/>
      <c r="AE94" s="361">
        <f t="shared" si="69"/>
        <v>0</v>
      </c>
      <c r="AF94" s="361">
        <f t="shared" si="60"/>
        <v>0.67123287671232879</v>
      </c>
      <c r="AG94" s="361">
        <f t="shared" si="61"/>
        <v>0</v>
      </c>
      <c r="AH94" s="361">
        <f t="shared" si="62"/>
        <v>0</v>
      </c>
      <c r="AI94" s="361">
        <f t="shared" si="63"/>
        <v>0</v>
      </c>
      <c r="AJ94" s="361">
        <f t="shared" si="64"/>
        <v>0</v>
      </c>
      <c r="AK94" s="361">
        <f t="shared" si="65"/>
        <v>0</v>
      </c>
      <c r="AL94" s="361">
        <f t="shared" si="66"/>
        <v>0</v>
      </c>
      <c r="AM94" s="361">
        <f t="shared" si="67"/>
        <v>0</v>
      </c>
      <c r="AN94" s="361">
        <f t="shared" si="68"/>
        <v>0</v>
      </c>
    </row>
    <row r="95" spans="1:40" hidden="1" outlineLevel="1" x14ac:dyDescent="0.2">
      <c r="A95" s="156">
        <f t="shared" si="73"/>
        <v>87</v>
      </c>
      <c r="B95" s="173" t="s">
        <v>497</v>
      </c>
      <c r="C95" s="407"/>
      <c r="D95" s="408"/>
      <c r="E95" s="408"/>
      <c r="F95" s="408">
        <v>2036</v>
      </c>
      <c r="G95" s="408">
        <v>2036</v>
      </c>
      <c r="H95" s="408">
        <v>2037</v>
      </c>
      <c r="I95" s="408"/>
      <c r="J95" s="408"/>
      <c r="K95" s="408"/>
      <c r="L95" s="408"/>
      <c r="M95" s="408"/>
      <c r="N95" s="408"/>
      <c r="O95" s="155">
        <f t="shared" si="74"/>
        <v>6109</v>
      </c>
      <c r="P95" s="155"/>
      <c r="Q95" s="174">
        <v>42339</v>
      </c>
      <c r="R95" s="156" t="s">
        <v>474</v>
      </c>
      <c r="S95" s="174">
        <v>42735</v>
      </c>
      <c r="T95" s="155"/>
      <c r="U95" s="409"/>
      <c r="V95" s="405">
        <v>43220</v>
      </c>
      <c r="W95" s="405">
        <v>43585</v>
      </c>
      <c r="X95" s="405">
        <v>44104</v>
      </c>
      <c r="Y95" s="409"/>
      <c r="Z95" s="409"/>
      <c r="AA95" s="409"/>
      <c r="AB95" s="409"/>
      <c r="AC95" s="409"/>
      <c r="AD95" s="409"/>
      <c r="AE95" s="361">
        <f t="shared" si="69"/>
        <v>0</v>
      </c>
      <c r="AF95" s="361">
        <f t="shared" si="60"/>
        <v>0.67123287671232879</v>
      </c>
      <c r="AG95" s="361">
        <f t="shared" si="61"/>
        <v>0.67123287671232879</v>
      </c>
      <c r="AH95" s="361">
        <f t="shared" si="62"/>
        <v>0.25205479452054796</v>
      </c>
      <c r="AI95" s="361">
        <f t="shared" si="63"/>
        <v>0</v>
      </c>
      <c r="AJ95" s="361">
        <f t="shared" si="64"/>
        <v>0</v>
      </c>
      <c r="AK95" s="361">
        <f t="shared" si="65"/>
        <v>0</v>
      </c>
      <c r="AL95" s="361">
        <f t="shared" si="66"/>
        <v>0</v>
      </c>
      <c r="AM95" s="361">
        <f t="shared" si="67"/>
        <v>0</v>
      </c>
      <c r="AN95" s="361">
        <f t="shared" si="68"/>
        <v>0</v>
      </c>
    </row>
    <row r="96" spans="1:40" hidden="1" outlineLevel="1" x14ac:dyDescent="0.2">
      <c r="A96" s="156">
        <f t="shared" si="73"/>
        <v>88</v>
      </c>
      <c r="B96" s="173" t="s">
        <v>495</v>
      </c>
      <c r="C96" s="407"/>
      <c r="D96" s="408"/>
      <c r="E96" s="408"/>
      <c r="F96" s="408">
        <v>506</v>
      </c>
      <c r="G96" s="408">
        <v>754</v>
      </c>
      <c r="H96" s="408"/>
      <c r="I96" s="408"/>
      <c r="J96" s="408"/>
      <c r="K96" s="408"/>
      <c r="L96" s="408"/>
      <c r="M96" s="408"/>
      <c r="N96" s="408"/>
      <c r="O96" s="155">
        <f t="shared" si="74"/>
        <v>1260</v>
      </c>
      <c r="P96" s="155"/>
      <c r="Q96" s="174">
        <v>42339</v>
      </c>
      <c r="R96" s="156" t="s">
        <v>474</v>
      </c>
      <c r="S96" s="174">
        <v>42735</v>
      </c>
      <c r="T96" s="155"/>
      <c r="U96" s="409"/>
      <c r="V96" s="405">
        <v>43220</v>
      </c>
      <c r="W96" s="405">
        <v>43585</v>
      </c>
      <c r="X96" s="409"/>
      <c r="Y96" s="409"/>
      <c r="Z96" s="409"/>
      <c r="AA96" s="409"/>
      <c r="AB96" s="409"/>
      <c r="AC96" s="409"/>
      <c r="AD96" s="409"/>
      <c r="AE96" s="361">
        <f t="shared" si="69"/>
        <v>0</v>
      </c>
      <c r="AF96" s="361">
        <f t="shared" si="60"/>
        <v>0.67123287671232879</v>
      </c>
      <c r="AG96" s="361">
        <f t="shared" si="61"/>
        <v>0.67123287671232879</v>
      </c>
      <c r="AH96" s="361">
        <f t="shared" si="62"/>
        <v>0</v>
      </c>
      <c r="AI96" s="361">
        <f t="shared" si="63"/>
        <v>0</v>
      </c>
      <c r="AJ96" s="361">
        <f t="shared" si="64"/>
        <v>0</v>
      </c>
      <c r="AK96" s="361">
        <f t="shared" si="65"/>
        <v>0</v>
      </c>
      <c r="AL96" s="361">
        <f t="shared" si="66"/>
        <v>0</v>
      </c>
      <c r="AM96" s="361">
        <f t="shared" si="67"/>
        <v>0</v>
      </c>
      <c r="AN96" s="361">
        <f t="shared" si="68"/>
        <v>0</v>
      </c>
    </row>
    <row r="97" spans="1:40" ht="15" hidden="1" outlineLevel="1" x14ac:dyDescent="0.25">
      <c r="A97" s="156">
        <f t="shared" si="73"/>
        <v>89</v>
      </c>
      <c r="B97" s="172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55">
        <f t="shared" si="74"/>
        <v>0</v>
      </c>
      <c r="P97" s="155"/>
      <c r="Q97" s="174">
        <v>42887</v>
      </c>
      <c r="R97" s="156"/>
      <c r="S97" s="174">
        <v>43100</v>
      </c>
      <c r="T97" s="155"/>
      <c r="U97" s="409"/>
      <c r="V97" s="409"/>
      <c r="W97" s="409"/>
      <c r="X97" s="409"/>
      <c r="Y97" s="409"/>
      <c r="Z97" s="409"/>
      <c r="AA97" s="409"/>
      <c r="AB97" s="409"/>
      <c r="AC97" s="409"/>
      <c r="AD97" s="409"/>
      <c r="AE97" s="361">
        <f t="shared" si="69"/>
        <v>0</v>
      </c>
      <c r="AF97" s="361">
        <f t="shared" si="60"/>
        <v>0</v>
      </c>
      <c r="AG97" s="361">
        <f t="shared" si="61"/>
        <v>0</v>
      </c>
      <c r="AH97" s="361">
        <f t="shared" si="62"/>
        <v>0</v>
      </c>
      <c r="AI97" s="361">
        <f t="shared" si="63"/>
        <v>0</v>
      </c>
      <c r="AJ97" s="361">
        <f t="shared" si="64"/>
        <v>0</v>
      </c>
      <c r="AK97" s="361">
        <f t="shared" si="65"/>
        <v>0</v>
      </c>
      <c r="AL97" s="361">
        <f t="shared" si="66"/>
        <v>0</v>
      </c>
      <c r="AM97" s="361">
        <f t="shared" si="67"/>
        <v>0</v>
      </c>
      <c r="AN97" s="361">
        <f t="shared" si="68"/>
        <v>0</v>
      </c>
    </row>
    <row r="98" spans="1:40" ht="15" hidden="1" outlineLevel="1" x14ac:dyDescent="0.25">
      <c r="A98" s="156">
        <f t="shared" si="73"/>
        <v>90</v>
      </c>
      <c r="B98" s="172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55">
        <f t="shared" si="74"/>
        <v>0</v>
      </c>
      <c r="P98" s="155"/>
      <c r="Q98" s="174"/>
      <c r="R98" s="156"/>
      <c r="S98" s="174" t="s">
        <v>496</v>
      </c>
      <c r="T98" s="155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361">
        <f t="shared" si="69"/>
        <v>0</v>
      </c>
      <c r="AF98" s="361">
        <f t="shared" si="60"/>
        <v>0</v>
      </c>
      <c r="AG98" s="361">
        <f t="shared" si="61"/>
        <v>0</v>
      </c>
      <c r="AH98" s="361">
        <f t="shared" si="62"/>
        <v>0</v>
      </c>
      <c r="AI98" s="361">
        <f t="shared" si="63"/>
        <v>0</v>
      </c>
      <c r="AJ98" s="361">
        <f t="shared" si="64"/>
        <v>0</v>
      </c>
      <c r="AK98" s="361">
        <f t="shared" si="65"/>
        <v>0</v>
      </c>
      <c r="AL98" s="361">
        <f t="shared" si="66"/>
        <v>0</v>
      </c>
      <c r="AM98" s="361">
        <f t="shared" si="67"/>
        <v>0</v>
      </c>
      <c r="AN98" s="361">
        <f t="shared" si="68"/>
        <v>0</v>
      </c>
    </row>
    <row r="99" spans="1:40" ht="15" hidden="1" outlineLevel="1" x14ac:dyDescent="0.25">
      <c r="A99" s="156">
        <f t="shared" si="73"/>
        <v>91</v>
      </c>
      <c r="B99" s="172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55">
        <f t="shared" si="74"/>
        <v>0</v>
      </c>
      <c r="P99" s="155"/>
      <c r="Q99" s="174"/>
      <c r="R99" s="156"/>
      <c r="S99" s="174">
        <v>43830</v>
      </c>
      <c r="T99" s="155"/>
      <c r="U99" s="409"/>
      <c r="V99" s="409"/>
      <c r="W99" s="409"/>
      <c r="X99" s="409"/>
      <c r="Y99" s="409"/>
      <c r="Z99" s="409"/>
      <c r="AA99" s="409"/>
      <c r="AB99" s="409"/>
      <c r="AC99" s="409"/>
      <c r="AD99" s="409"/>
      <c r="AE99" s="361">
        <f t="shared" si="69"/>
        <v>0</v>
      </c>
      <c r="AF99" s="361">
        <f t="shared" si="60"/>
        <v>0</v>
      </c>
      <c r="AG99" s="361">
        <f t="shared" si="61"/>
        <v>0</v>
      </c>
      <c r="AH99" s="361">
        <f t="shared" si="62"/>
        <v>0</v>
      </c>
      <c r="AI99" s="361">
        <f t="shared" si="63"/>
        <v>0</v>
      </c>
      <c r="AJ99" s="361">
        <f t="shared" si="64"/>
        <v>0</v>
      </c>
      <c r="AK99" s="361">
        <f t="shared" si="65"/>
        <v>0</v>
      </c>
      <c r="AL99" s="361">
        <f t="shared" si="66"/>
        <v>0</v>
      </c>
      <c r="AM99" s="361">
        <f t="shared" si="67"/>
        <v>0</v>
      </c>
      <c r="AN99" s="361">
        <f t="shared" si="68"/>
        <v>0</v>
      </c>
    </row>
    <row r="100" spans="1:40" hidden="1" outlineLevel="1" x14ac:dyDescent="0.2">
      <c r="A100" s="156">
        <f t="shared" si="73"/>
        <v>92</v>
      </c>
      <c r="B100" s="173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55"/>
      <c r="Q100" s="174"/>
      <c r="S100" s="174"/>
      <c r="T100" s="155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361">
        <f t="shared" si="69"/>
        <v>0</v>
      </c>
      <c r="AF100" s="361">
        <f t="shared" si="60"/>
        <v>0</v>
      </c>
      <c r="AG100" s="361">
        <f t="shared" si="61"/>
        <v>0</v>
      </c>
      <c r="AH100" s="361">
        <f t="shared" si="62"/>
        <v>0</v>
      </c>
      <c r="AI100" s="361">
        <f t="shared" si="63"/>
        <v>0</v>
      </c>
      <c r="AJ100" s="361">
        <f t="shared" si="64"/>
        <v>0</v>
      </c>
      <c r="AK100" s="361">
        <f t="shared" si="65"/>
        <v>0</v>
      </c>
      <c r="AL100" s="361">
        <f t="shared" si="66"/>
        <v>0</v>
      </c>
      <c r="AM100" s="361">
        <f t="shared" si="67"/>
        <v>0</v>
      </c>
      <c r="AN100" s="361">
        <f t="shared" si="68"/>
        <v>0</v>
      </c>
    </row>
    <row r="101" spans="1:40" s="183" customFormat="1" ht="15" collapsed="1" x14ac:dyDescent="0.25">
      <c r="A101" s="179">
        <f t="shared" si="73"/>
        <v>93</v>
      </c>
      <c r="B101" s="180" t="s">
        <v>494</v>
      </c>
      <c r="C101" s="181">
        <f>C102+C137</f>
        <v>1472</v>
      </c>
      <c r="D101" s="181">
        <f t="shared" ref="D101:N101" si="75">D102+D137</f>
        <v>3732</v>
      </c>
      <c r="E101" s="181">
        <f t="shared" si="75"/>
        <v>1885</v>
      </c>
      <c r="F101" s="181">
        <f t="shared" si="75"/>
        <v>23690</v>
      </c>
      <c r="G101" s="181">
        <f t="shared" si="75"/>
        <v>6568</v>
      </c>
      <c r="H101" s="181">
        <f t="shared" si="75"/>
        <v>7072</v>
      </c>
      <c r="I101" s="181">
        <f t="shared" si="75"/>
        <v>4641</v>
      </c>
      <c r="J101" s="181">
        <f t="shared" si="75"/>
        <v>475</v>
      </c>
      <c r="K101" s="181">
        <f t="shared" si="75"/>
        <v>0</v>
      </c>
      <c r="L101" s="181">
        <f t="shared" si="75"/>
        <v>0</v>
      </c>
      <c r="M101" s="181">
        <f t="shared" si="75"/>
        <v>0</v>
      </c>
      <c r="N101" s="181">
        <f t="shared" si="75"/>
        <v>0</v>
      </c>
      <c r="O101" s="181">
        <f>SUM(C101:N101)</f>
        <v>49535</v>
      </c>
      <c r="P101" s="182"/>
      <c r="Q101" s="185"/>
      <c r="S101" s="185"/>
      <c r="T101" s="182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363">
        <f t="shared" si="69"/>
        <v>0</v>
      </c>
      <c r="AF101" s="363">
        <f t="shared" si="60"/>
        <v>0</v>
      </c>
      <c r="AG101" s="363">
        <f t="shared" si="61"/>
        <v>0</v>
      </c>
      <c r="AH101" s="363">
        <f t="shared" si="62"/>
        <v>0</v>
      </c>
      <c r="AI101" s="363">
        <f t="shared" si="63"/>
        <v>0</v>
      </c>
      <c r="AJ101" s="363">
        <f t="shared" si="64"/>
        <v>0</v>
      </c>
      <c r="AK101" s="363">
        <f t="shared" si="65"/>
        <v>0</v>
      </c>
      <c r="AL101" s="363">
        <f t="shared" si="66"/>
        <v>0</v>
      </c>
      <c r="AM101" s="363">
        <f t="shared" si="67"/>
        <v>0</v>
      </c>
      <c r="AN101" s="363">
        <f t="shared" si="68"/>
        <v>0</v>
      </c>
    </row>
    <row r="102" spans="1:40" s="385" customFormat="1" ht="15" x14ac:dyDescent="0.25">
      <c r="A102" s="380">
        <f t="shared" si="73"/>
        <v>94</v>
      </c>
      <c r="B102" s="387" t="s">
        <v>493</v>
      </c>
      <c r="C102" s="382">
        <f>+SUM(C103:C136)</f>
        <v>1472</v>
      </c>
      <c r="D102" s="382">
        <f>+SUM(D103:D136)</f>
        <v>3732</v>
      </c>
      <c r="E102" s="382">
        <f t="shared" ref="E102:N102" si="76">+SUM(E103:E136)</f>
        <v>1885</v>
      </c>
      <c r="F102" s="382">
        <f t="shared" si="76"/>
        <v>20140</v>
      </c>
      <c r="G102" s="382">
        <f t="shared" si="76"/>
        <v>5707</v>
      </c>
      <c r="H102" s="382">
        <f t="shared" si="76"/>
        <v>2250</v>
      </c>
      <c r="I102" s="382">
        <f t="shared" si="76"/>
        <v>0</v>
      </c>
      <c r="J102" s="382">
        <f t="shared" si="76"/>
        <v>0</v>
      </c>
      <c r="K102" s="382">
        <f t="shared" si="76"/>
        <v>0</v>
      </c>
      <c r="L102" s="382">
        <f t="shared" si="76"/>
        <v>0</v>
      </c>
      <c r="M102" s="382">
        <f t="shared" si="76"/>
        <v>0</v>
      </c>
      <c r="N102" s="382">
        <f t="shared" si="76"/>
        <v>0</v>
      </c>
      <c r="O102" s="382">
        <f t="shared" ref="O102:O136" si="77">SUM(C102:N102)</f>
        <v>35186</v>
      </c>
      <c r="P102" s="383"/>
      <c r="Q102" s="384"/>
      <c r="S102" s="384"/>
      <c r="T102" s="383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386">
        <f t="shared" si="69"/>
        <v>0</v>
      </c>
      <c r="AF102" s="386">
        <f t="shared" si="60"/>
        <v>0</v>
      </c>
      <c r="AG102" s="386">
        <f t="shared" si="61"/>
        <v>0</v>
      </c>
      <c r="AH102" s="386">
        <f t="shared" si="62"/>
        <v>0</v>
      </c>
      <c r="AI102" s="386">
        <f t="shared" si="63"/>
        <v>0</v>
      </c>
      <c r="AJ102" s="386">
        <f t="shared" si="64"/>
        <v>0</v>
      </c>
      <c r="AK102" s="386">
        <f t="shared" si="65"/>
        <v>0</v>
      </c>
      <c r="AL102" s="386">
        <f t="shared" si="66"/>
        <v>0</v>
      </c>
      <c r="AM102" s="386">
        <f t="shared" si="67"/>
        <v>0</v>
      </c>
      <c r="AN102" s="386">
        <f t="shared" si="68"/>
        <v>0</v>
      </c>
    </row>
    <row r="103" spans="1:40" hidden="1" outlineLevel="1" x14ac:dyDescent="0.2">
      <c r="A103" s="156">
        <f t="shared" si="73"/>
        <v>95</v>
      </c>
      <c r="B103" s="173" t="s">
        <v>492</v>
      </c>
      <c r="C103" s="376">
        <v>74</v>
      </c>
      <c r="D103" s="376"/>
      <c r="E103" s="376">
        <v>89</v>
      </c>
      <c r="F103" s="376"/>
      <c r="G103" s="376"/>
      <c r="H103" s="376"/>
      <c r="I103" s="376"/>
      <c r="J103" s="376"/>
      <c r="K103" s="376"/>
      <c r="L103" s="376"/>
      <c r="M103" s="376"/>
      <c r="N103" s="376"/>
      <c r="O103" s="155">
        <f t="shared" si="77"/>
        <v>163</v>
      </c>
      <c r="P103" s="155"/>
      <c r="Q103" s="174">
        <v>42714</v>
      </c>
      <c r="R103" s="156"/>
      <c r="S103" s="174">
        <v>42735</v>
      </c>
      <c r="T103" s="155"/>
      <c r="U103" s="405">
        <v>42855</v>
      </c>
      <c r="V103" s="409"/>
      <c r="W103" s="409"/>
      <c r="X103" s="409"/>
      <c r="Y103" s="409"/>
      <c r="Z103" s="409"/>
      <c r="AA103" s="409"/>
      <c r="AB103" s="409"/>
      <c r="AC103" s="409"/>
      <c r="AD103" s="409"/>
      <c r="AE103" s="361">
        <f t="shared" si="69"/>
        <v>0.67123287671232879</v>
      </c>
      <c r="AF103" s="361">
        <f t="shared" si="60"/>
        <v>0</v>
      </c>
      <c r="AG103" s="361">
        <f t="shared" si="61"/>
        <v>0</v>
      </c>
      <c r="AH103" s="361">
        <f t="shared" si="62"/>
        <v>0</v>
      </c>
      <c r="AI103" s="361">
        <f t="shared" si="63"/>
        <v>0</v>
      </c>
      <c r="AJ103" s="361">
        <f t="shared" si="64"/>
        <v>0</v>
      </c>
      <c r="AK103" s="361">
        <f t="shared" si="65"/>
        <v>0</v>
      </c>
      <c r="AL103" s="361">
        <f t="shared" si="66"/>
        <v>0</v>
      </c>
      <c r="AM103" s="361">
        <f t="shared" si="67"/>
        <v>0</v>
      </c>
      <c r="AN103" s="361">
        <f t="shared" si="68"/>
        <v>0</v>
      </c>
    </row>
    <row r="104" spans="1:40" hidden="1" outlineLevel="1" x14ac:dyDescent="0.2">
      <c r="A104" s="156">
        <f t="shared" si="73"/>
        <v>96</v>
      </c>
      <c r="B104" s="173" t="s">
        <v>491</v>
      </c>
      <c r="C104" s="377"/>
      <c r="D104" s="376"/>
      <c r="E104" s="376"/>
      <c r="F104" s="376">
        <v>3754</v>
      </c>
      <c r="G104" s="376">
        <v>109</v>
      </c>
      <c r="H104" s="376"/>
      <c r="I104" s="376"/>
      <c r="J104" s="376"/>
      <c r="K104" s="376"/>
      <c r="L104" s="376"/>
      <c r="M104" s="376"/>
      <c r="N104" s="376"/>
      <c r="O104" s="155">
        <f t="shared" si="77"/>
        <v>3863</v>
      </c>
      <c r="P104" s="155"/>
      <c r="Q104" s="174">
        <v>42825</v>
      </c>
      <c r="R104" s="156" t="s">
        <v>474</v>
      </c>
      <c r="S104" s="174">
        <v>43220</v>
      </c>
      <c r="T104" s="155"/>
      <c r="U104" s="409"/>
      <c r="V104" s="405">
        <v>43220</v>
      </c>
      <c r="W104" s="405">
        <v>43585</v>
      </c>
      <c r="X104" s="409"/>
      <c r="Y104" s="409"/>
      <c r="Z104" s="409"/>
      <c r="AA104" s="409"/>
      <c r="AB104" s="409"/>
      <c r="AC104" s="409"/>
      <c r="AD104" s="409"/>
      <c r="AE104" s="361">
        <f t="shared" si="69"/>
        <v>0</v>
      </c>
      <c r="AF104" s="361">
        <f t="shared" si="60"/>
        <v>0.67123287671232879</v>
      </c>
      <c r="AG104" s="361">
        <f t="shared" si="61"/>
        <v>0.67123287671232879</v>
      </c>
      <c r="AH104" s="361">
        <f t="shared" si="62"/>
        <v>0</v>
      </c>
      <c r="AI104" s="361">
        <f t="shared" si="63"/>
        <v>0</v>
      </c>
      <c r="AJ104" s="361">
        <f t="shared" si="64"/>
        <v>0</v>
      </c>
      <c r="AK104" s="361">
        <f t="shared" si="65"/>
        <v>0</v>
      </c>
      <c r="AL104" s="361">
        <f t="shared" si="66"/>
        <v>0</v>
      </c>
      <c r="AM104" s="361">
        <f t="shared" si="67"/>
        <v>0</v>
      </c>
      <c r="AN104" s="361">
        <f t="shared" si="68"/>
        <v>0</v>
      </c>
    </row>
    <row r="105" spans="1:40" hidden="1" outlineLevel="1" x14ac:dyDescent="0.2">
      <c r="A105" s="156">
        <f t="shared" si="73"/>
        <v>97</v>
      </c>
      <c r="B105" s="173" t="s">
        <v>490</v>
      </c>
      <c r="C105" s="377"/>
      <c r="D105" s="376"/>
      <c r="E105" s="376"/>
      <c r="F105" s="376">
        <v>3394</v>
      </c>
      <c r="G105" s="376">
        <v>680</v>
      </c>
      <c r="H105" s="376"/>
      <c r="I105" s="376"/>
      <c r="J105" s="376"/>
      <c r="K105" s="376"/>
      <c r="L105" s="376"/>
      <c r="M105" s="376"/>
      <c r="N105" s="376"/>
      <c r="O105" s="155">
        <f t="shared" si="77"/>
        <v>4074</v>
      </c>
      <c r="P105" s="155"/>
      <c r="Q105" s="174">
        <v>43101</v>
      </c>
      <c r="R105" s="156" t="s">
        <v>474</v>
      </c>
      <c r="S105" s="174">
        <v>43281</v>
      </c>
      <c r="T105" s="155"/>
      <c r="U105" s="409"/>
      <c r="V105" s="405">
        <v>43220</v>
      </c>
      <c r="W105" s="405">
        <v>43585</v>
      </c>
      <c r="X105" s="409"/>
      <c r="Y105" s="409"/>
      <c r="Z105" s="409"/>
      <c r="AA105" s="409"/>
      <c r="AB105" s="409"/>
      <c r="AC105" s="409"/>
      <c r="AD105" s="409"/>
      <c r="AE105" s="361">
        <f t="shared" si="69"/>
        <v>0</v>
      </c>
      <c r="AF105" s="361">
        <f t="shared" si="60"/>
        <v>0.67123287671232879</v>
      </c>
      <c r="AG105" s="361">
        <f t="shared" si="61"/>
        <v>0.67123287671232879</v>
      </c>
      <c r="AH105" s="361">
        <f t="shared" si="62"/>
        <v>0</v>
      </c>
      <c r="AI105" s="361">
        <f t="shared" si="63"/>
        <v>0</v>
      </c>
      <c r="AJ105" s="361">
        <f t="shared" si="64"/>
        <v>0</v>
      </c>
      <c r="AK105" s="361">
        <f t="shared" si="65"/>
        <v>0</v>
      </c>
      <c r="AL105" s="361">
        <f t="shared" si="66"/>
        <v>0</v>
      </c>
      <c r="AM105" s="361">
        <f t="shared" si="67"/>
        <v>0</v>
      </c>
      <c r="AN105" s="361">
        <f t="shared" si="68"/>
        <v>0</v>
      </c>
    </row>
    <row r="106" spans="1:40" hidden="1" outlineLevel="1" x14ac:dyDescent="0.2">
      <c r="A106" s="156">
        <f t="shared" si="73"/>
        <v>98</v>
      </c>
      <c r="B106" s="173" t="s">
        <v>489</v>
      </c>
      <c r="C106" s="377"/>
      <c r="D106" s="376"/>
      <c r="E106" s="376"/>
      <c r="F106" s="376">
        <v>3756</v>
      </c>
      <c r="G106" s="376">
        <v>0</v>
      </c>
      <c r="H106" s="376"/>
      <c r="I106" s="376"/>
      <c r="J106" s="376"/>
      <c r="K106" s="376"/>
      <c r="L106" s="376"/>
      <c r="M106" s="376"/>
      <c r="N106" s="376"/>
      <c r="O106" s="155">
        <f t="shared" si="77"/>
        <v>3756</v>
      </c>
      <c r="P106" s="155"/>
      <c r="Q106" s="174">
        <v>43101</v>
      </c>
      <c r="R106" s="156" t="s">
        <v>474</v>
      </c>
      <c r="S106" s="174">
        <v>43342</v>
      </c>
      <c r="T106" s="155"/>
      <c r="U106" s="409"/>
      <c r="V106" s="405">
        <v>43220</v>
      </c>
      <c r="W106" s="409"/>
      <c r="X106" s="409"/>
      <c r="Y106" s="409"/>
      <c r="Z106" s="409"/>
      <c r="AA106" s="409"/>
      <c r="AB106" s="409"/>
      <c r="AC106" s="409"/>
      <c r="AD106" s="409"/>
      <c r="AE106" s="361">
        <f t="shared" si="69"/>
        <v>0</v>
      </c>
      <c r="AF106" s="361">
        <f t="shared" si="60"/>
        <v>0.67123287671232879</v>
      </c>
      <c r="AG106" s="361">
        <f t="shared" si="61"/>
        <v>0</v>
      </c>
      <c r="AH106" s="361">
        <f t="shared" si="62"/>
        <v>0</v>
      </c>
      <c r="AI106" s="361">
        <f t="shared" si="63"/>
        <v>0</v>
      </c>
      <c r="AJ106" s="361">
        <f t="shared" si="64"/>
        <v>0</v>
      </c>
      <c r="AK106" s="361">
        <f t="shared" si="65"/>
        <v>0</v>
      </c>
      <c r="AL106" s="361">
        <f t="shared" si="66"/>
        <v>0</v>
      </c>
      <c r="AM106" s="361">
        <f t="shared" si="67"/>
        <v>0</v>
      </c>
      <c r="AN106" s="361">
        <f t="shared" si="68"/>
        <v>0</v>
      </c>
    </row>
    <row r="107" spans="1:40" hidden="1" outlineLevel="1" x14ac:dyDescent="0.2">
      <c r="A107" s="156">
        <f t="shared" si="73"/>
        <v>99</v>
      </c>
      <c r="B107" s="173" t="s">
        <v>488</v>
      </c>
      <c r="C107" s="376">
        <v>81</v>
      </c>
      <c r="D107" s="376">
        <v>846</v>
      </c>
      <c r="E107" s="376">
        <v>102</v>
      </c>
      <c r="F107" s="376"/>
      <c r="G107" s="376"/>
      <c r="H107" s="376"/>
      <c r="I107" s="376"/>
      <c r="J107" s="376"/>
      <c r="K107" s="376"/>
      <c r="L107" s="376"/>
      <c r="M107" s="376"/>
      <c r="N107" s="376"/>
      <c r="O107" s="155">
        <f t="shared" si="77"/>
        <v>1029</v>
      </c>
      <c r="P107" s="155"/>
      <c r="Q107" s="174">
        <v>42674</v>
      </c>
      <c r="R107" s="156" t="s">
        <v>474</v>
      </c>
      <c r="S107" s="174">
        <v>42766</v>
      </c>
      <c r="T107" s="155"/>
      <c r="U107" s="405">
        <v>42855</v>
      </c>
      <c r="V107" s="409"/>
      <c r="W107" s="409"/>
      <c r="X107" s="409"/>
      <c r="Y107" s="409"/>
      <c r="Z107" s="409"/>
      <c r="AA107" s="409"/>
      <c r="AB107" s="409"/>
      <c r="AC107" s="409"/>
      <c r="AD107" s="409"/>
      <c r="AE107" s="361">
        <f t="shared" si="69"/>
        <v>0.67123287671232879</v>
      </c>
      <c r="AF107" s="361">
        <f t="shared" si="60"/>
        <v>0</v>
      </c>
      <c r="AG107" s="361">
        <f t="shared" si="61"/>
        <v>0</v>
      </c>
      <c r="AH107" s="361">
        <f t="shared" si="62"/>
        <v>0</v>
      </c>
      <c r="AI107" s="361">
        <f t="shared" si="63"/>
        <v>0</v>
      </c>
      <c r="AJ107" s="361">
        <f t="shared" si="64"/>
        <v>0</v>
      </c>
      <c r="AK107" s="361">
        <f t="shared" si="65"/>
        <v>0</v>
      </c>
      <c r="AL107" s="361">
        <f t="shared" si="66"/>
        <v>0</v>
      </c>
      <c r="AM107" s="361">
        <f t="shared" si="67"/>
        <v>0</v>
      </c>
      <c r="AN107" s="361">
        <f t="shared" si="68"/>
        <v>0</v>
      </c>
    </row>
    <row r="108" spans="1:40" hidden="1" outlineLevel="1" x14ac:dyDescent="0.2">
      <c r="A108" s="156">
        <f t="shared" si="73"/>
        <v>100</v>
      </c>
      <c r="B108" s="173" t="s">
        <v>607</v>
      </c>
      <c r="C108" s="376">
        <v>369</v>
      </c>
      <c r="D108" s="376">
        <v>1210</v>
      </c>
      <c r="E108" s="376">
        <v>275</v>
      </c>
      <c r="F108" s="376"/>
      <c r="G108" s="376"/>
      <c r="H108" s="376"/>
      <c r="I108" s="376"/>
      <c r="J108" s="376"/>
      <c r="K108" s="376"/>
      <c r="L108" s="376"/>
      <c r="M108" s="376"/>
      <c r="N108" s="376"/>
      <c r="O108" s="155">
        <f t="shared" si="77"/>
        <v>1854</v>
      </c>
      <c r="P108" s="155"/>
      <c r="Q108" s="174">
        <v>41893</v>
      </c>
      <c r="R108" s="156" t="s">
        <v>474</v>
      </c>
      <c r="S108" s="174">
        <v>42735</v>
      </c>
      <c r="T108" s="155"/>
      <c r="U108" s="405">
        <v>42855</v>
      </c>
      <c r="V108" s="409"/>
      <c r="W108" s="409"/>
      <c r="X108" s="409"/>
      <c r="Y108" s="409"/>
      <c r="Z108" s="409"/>
      <c r="AA108" s="409"/>
      <c r="AB108" s="409"/>
      <c r="AC108" s="409"/>
      <c r="AD108" s="409"/>
      <c r="AE108" s="361">
        <f t="shared" si="69"/>
        <v>0.67123287671232879</v>
      </c>
      <c r="AF108" s="361">
        <f t="shared" si="60"/>
        <v>0</v>
      </c>
      <c r="AG108" s="361">
        <f t="shared" si="61"/>
        <v>0</v>
      </c>
      <c r="AH108" s="361">
        <f t="shared" si="62"/>
        <v>0</v>
      </c>
      <c r="AI108" s="361">
        <f t="shared" si="63"/>
        <v>0</v>
      </c>
      <c r="AJ108" s="361">
        <f t="shared" si="64"/>
        <v>0</v>
      </c>
      <c r="AK108" s="361">
        <f t="shared" si="65"/>
        <v>0</v>
      </c>
      <c r="AL108" s="361">
        <f t="shared" si="66"/>
        <v>0</v>
      </c>
      <c r="AM108" s="361">
        <f t="shared" si="67"/>
        <v>0</v>
      </c>
      <c r="AN108" s="361">
        <f t="shared" si="68"/>
        <v>0</v>
      </c>
    </row>
    <row r="109" spans="1:40" hidden="1" outlineLevel="1" x14ac:dyDescent="0.2">
      <c r="A109" s="156">
        <f t="shared" si="73"/>
        <v>101</v>
      </c>
      <c r="B109" s="173" t="s">
        <v>487</v>
      </c>
      <c r="C109" s="376">
        <v>948</v>
      </c>
      <c r="D109" s="376">
        <v>105</v>
      </c>
      <c r="E109" s="376"/>
      <c r="F109" s="376">
        <v>0</v>
      </c>
      <c r="G109" s="376"/>
      <c r="H109" s="376"/>
      <c r="I109" s="376"/>
      <c r="J109" s="376"/>
      <c r="K109" s="376"/>
      <c r="L109" s="376"/>
      <c r="M109" s="376"/>
      <c r="N109" s="376"/>
      <c r="O109" s="155">
        <f t="shared" si="77"/>
        <v>1053</v>
      </c>
      <c r="P109" s="155"/>
      <c r="Q109" s="174">
        <v>42032</v>
      </c>
      <c r="R109" s="156" t="s">
        <v>474</v>
      </c>
      <c r="S109" s="174">
        <v>42735</v>
      </c>
      <c r="T109" s="155"/>
      <c r="U109" s="409"/>
      <c r="V109" s="405">
        <v>43220</v>
      </c>
      <c r="W109" s="409"/>
      <c r="X109" s="409"/>
      <c r="Y109" s="409"/>
      <c r="Z109" s="409"/>
      <c r="AA109" s="409"/>
      <c r="AB109" s="409"/>
      <c r="AC109" s="409"/>
      <c r="AD109" s="409"/>
      <c r="AE109" s="361">
        <f t="shared" si="69"/>
        <v>0</v>
      </c>
      <c r="AF109" s="361">
        <f t="shared" si="60"/>
        <v>0.67123287671232879</v>
      </c>
      <c r="AG109" s="361">
        <f t="shared" si="61"/>
        <v>0</v>
      </c>
      <c r="AH109" s="361">
        <f t="shared" si="62"/>
        <v>0</v>
      </c>
      <c r="AI109" s="361">
        <f t="shared" si="63"/>
        <v>0</v>
      </c>
      <c r="AJ109" s="361">
        <f t="shared" si="64"/>
        <v>0</v>
      </c>
      <c r="AK109" s="361">
        <f t="shared" si="65"/>
        <v>0</v>
      </c>
      <c r="AL109" s="361">
        <f t="shared" si="66"/>
        <v>0</v>
      </c>
      <c r="AM109" s="361">
        <f t="shared" si="67"/>
        <v>0</v>
      </c>
      <c r="AN109" s="361">
        <f t="shared" si="68"/>
        <v>0</v>
      </c>
    </row>
    <row r="110" spans="1:40" hidden="1" outlineLevel="1" x14ac:dyDescent="0.2">
      <c r="A110" s="156">
        <f t="shared" si="73"/>
        <v>102</v>
      </c>
      <c r="B110" s="173" t="s">
        <v>486</v>
      </c>
      <c r="C110" s="376"/>
      <c r="D110" s="376"/>
      <c r="E110" s="376"/>
      <c r="F110" s="377">
        <v>1506</v>
      </c>
      <c r="G110" s="376"/>
      <c r="H110" s="376"/>
      <c r="I110" s="376"/>
      <c r="J110" s="376"/>
      <c r="K110" s="376"/>
      <c r="L110" s="376"/>
      <c r="M110" s="376"/>
      <c r="N110" s="376"/>
      <c r="O110" s="155">
        <f t="shared" si="77"/>
        <v>1506</v>
      </c>
      <c r="P110" s="155"/>
      <c r="Q110" s="174">
        <v>43131</v>
      </c>
      <c r="R110" s="156" t="s">
        <v>474</v>
      </c>
      <c r="S110" s="174">
        <v>42735</v>
      </c>
      <c r="T110" s="155"/>
      <c r="U110" s="409"/>
      <c r="V110" s="405">
        <v>43220</v>
      </c>
      <c r="W110" s="409"/>
      <c r="X110" s="409"/>
      <c r="Y110" s="409"/>
      <c r="Z110" s="409"/>
      <c r="AA110" s="409"/>
      <c r="AB110" s="409"/>
      <c r="AC110" s="409"/>
      <c r="AD110" s="409"/>
      <c r="AE110" s="361">
        <f t="shared" si="69"/>
        <v>0</v>
      </c>
      <c r="AF110" s="361">
        <f t="shared" si="60"/>
        <v>0.67123287671232879</v>
      </c>
      <c r="AG110" s="361">
        <f t="shared" si="61"/>
        <v>0</v>
      </c>
      <c r="AH110" s="361">
        <f t="shared" si="62"/>
        <v>0</v>
      </c>
      <c r="AI110" s="361">
        <f t="shared" si="63"/>
        <v>0</v>
      </c>
      <c r="AJ110" s="361">
        <f t="shared" si="64"/>
        <v>0</v>
      </c>
      <c r="AK110" s="361">
        <f t="shared" si="65"/>
        <v>0</v>
      </c>
      <c r="AL110" s="361">
        <f t="shared" si="66"/>
        <v>0</v>
      </c>
      <c r="AM110" s="361">
        <f t="shared" si="67"/>
        <v>0</v>
      </c>
      <c r="AN110" s="361">
        <f t="shared" si="68"/>
        <v>0</v>
      </c>
    </row>
    <row r="111" spans="1:40" hidden="1" outlineLevel="1" x14ac:dyDescent="0.2">
      <c r="A111" s="156">
        <f t="shared" si="73"/>
        <v>103</v>
      </c>
      <c r="B111" s="173" t="s">
        <v>485</v>
      </c>
      <c r="C111" s="376"/>
      <c r="D111" s="376"/>
      <c r="E111" s="376"/>
      <c r="F111" s="377">
        <v>360</v>
      </c>
      <c r="G111" s="376">
        <v>530</v>
      </c>
      <c r="H111" s="376"/>
      <c r="I111" s="376"/>
      <c r="J111" s="376"/>
      <c r="K111" s="376"/>
      <c r="L111" s="376"/>
      <c r="M111" s="376"/>
      <c r="N111" s="376"/>
      <c r="O111" s="155">
        <f t="shared" si="77"/>
        <v>890</v>
      </c>
      <c r="P111" s="155"/>
      <c r="Q111" s="174">
        <v>43131</v>
      </c>
      <c r="R111" s="156" t="s">
        <v>474</v>
      </c>
      <c r="S111" s="174">
        <v>43830</v>
      </c>
      <c r="T111" s="155"/>
      <c r="U111" s="409"/>
      <c r="V111" s="405">
        <v>43220</v>
      </c>
      <c r="W111" s="405">
        <v>43585</v>
      </c>
      <c r="X111" s="409"/>
      <c r="Y111" s="409"/>
      <c r="Z111" s="409"/>
      <c r="AA111" s="409"/>
      <c r="AB111" s="409"/>
      <c r="AC111" s="409"/>
      <c r="AD111" s="409"/>
      <c r="AE111" s="361">
        <f t="shared" si="69"/>
        <v>0</v>
      </c>
      <c r="AF111" s="361">
        <f t="shared" si="60"/>
        <v>0.67123287671232879</v>
      </c>
      <c r="AG111" s="361">
        <f t="shared" si="61"/>
        <v>0.67123287671232879</v>
      </c>
      <c r="AH111" s="361">
        <f t="shared" si="62"/>
        <v>0</v>
      </c>
      <c r="AI111" s="361">
        <f t="shared" si="63"/>
        <v>0</v>
      </c>
      <c r="AJ111" s="361">
        <f t="shared" si="64"/>
        <v>0</v>
      </c>
      <c r="AK111" s="361">
        <f t="shared" si="65"/>
        <v>0</v>
      </c>
      <c r="AL111" s="361">
        <f t="shared" si="66"/>
        <v>0</v>
      </c>
      <c r="AM111" s="361">
        <f t="shared" si="67"/>
        <v>0</v>
      </c>
      <c r="AN111" s="361">
        <f t="shared" si="68"/>
        <v>0</v>
      </c>
    </row>
    <row r="112" spans="1:40" hidden="1" outlineLevel="1" x14ac:dyDescent="0.2">
      <c r="A112" s="156">
        <f t="shared" si="73"/>
        <v>104</v>
      </c>
      <c r="B112" s="173" t="s">
        <v>484</v>
      </c>
      <c r="C112" s="376"/>
      <c r="D112" s="376"/>
      <c r="E112" s="376">
        <v>300</v>
      </c>
      <c r="F112" s="376">
        <v>712</v>
      </c>
      <c r="G112" s="376">
        <v>488</v>
      </c>
      <c r="H112" s="376"/>
      <c r="I112" s="376"/>
      <c r="J112" s="376"/>
      <c r="K112" s="376"/>
      <c r="L112" s="376"/>
      <c r="M112" s="376"/>
      <c r="N112" s="376"/>
      <c r="O112" s="155">
        <f t="shared" si="77"/>
        <v>1500</v>
      </c>
      <c r="P112" s="155"/>
      <c r="Q112" s="174" t="s">
        <v>483</v>
      </c>
      <c r="R112" s="156"/>
      <c r="S112" s="174">
        <v>43465</v>
      </c>
      <c r="T112" s="155"/>
      <c r="U112" s="405">
        <v>42855</v>
      </c>
      <c r="V112" s="405">
        <v>43220</v>
      </c>
      <c r="W112" s="405">
        <v>43585</v>
      </c>
      <c r="X112" s="409"/>
      <c r="Y112" s="409"/>
      <c r="Z112" s="409"/>
      <c r="AA112" s="409"/>
      <c r="AB112" s="409"/>
      <c r="AC112" s="409"/>
      <c r="AD112" s="409"/>
      <c r="AE112" s="361">
        <f t="shared" si="69"/>
        <v>0.67123287671232879</v>
      </c>
      <c r="AF112" s="361">
        <f t="shared" si="60"/>
        <v>0.67123287671232879</v>
      </c>
      <c r="AG112" s="361">
        <f t="shared" si="61"/>
        <v>0.67123287671232879</v>
      </c>
      <c r="AH112" s="361">
        <f t="shared" si="62"/>
        <v>0</v>
      </c>
      <c r="AI112" s="361">
        <f t="shared" si="63"/>
        <v>0</v>
      </c>
      <c r="AJ112" s="361">
        <f t="shared" si="64"/>
        <v>0</v>
      </c>
      <c r="AK112" s="361">
        <f t="shared" si="65"/>
        <v>0</v>
      </c>
      <c r="AL112" s="361">
        <f t="shared" si="66"/>
        <v>0</v>
      </c>
      <c r="AM112" s="361">
        <f t="shared" si="67"/>
        <v>0</v>
      </c>
      <c r="AN112" s="361">
        <f t="shared" si="68"/>
        <v>0</v>
      </c>
    </row>
    <row r="113" spans="1:40" hidden="1" outlineLevel="1" x14ac:dyDescent="0.2">
      <c r="A113" s="156">
        <f t="shared" si="73"/>
        <v>105</v>
      </c>
      <c r="B113" s="173" t="s">
        <v>608</v>
      </c>
      <c r="C113" s="376"/>
      <c r="D113" s="376"/>
      <c r="E113" s="376">
        <v>71</v>
      </c>
      <c r="F113" s="376">
        <v>250</v>
      </c>
      <c r="G113" s="376"/>
      <c r="H113" s="376"/>
      <c r="I113" s="376"/>
      <c r="J113" s="376"/>
      <c r="K113" s="376"/>
      <c r="L113" s="376"/>
      <c r="M113" s="376"/>
      <c r="N113" s="376"/>
      <c r="O113" s="155">
        <f t="shared" si="77"/>
        <v>321</v>
      </c>
      <c r="P113" s="155"/>
      <c r="Q113" s="174">
        <v>42339</v>
      </c>
      <c r="R113" s="156" t="s">
        <v>474</v>
      </c>
      <c r="S113" s="174">
        <v>43100</v>
      </c>
      <c r="T113" s="155"/>
      <c r="U113" s="405">
        <v>42855</v>
      </c>
      <c r="V113" s="405">
        <v>43220</v>
      </c>
      <c r="W113" s="409"/>
      <c r="X113" s="409"/>
      <c r="Y113" s="409"/>
      <c r="Z113" s="409"/>
      <c r="AA113" s="409"/>
      <c r="AB113" s="409"/>
      <c r="AC113" s="409"/>
      <c r="AD113" s="409"/>
      <c r="AE113" s="361">
        <f t="shared" si="69"/>
        <v>0.67123287671232879</v>
      </c>
      <c r="AF113" s="361">
        <f t="shared" si="60"/>
        <v>0.67123287671232879</v>
      </c>
      <c r="AG113" s="361">
        <f t="shared" si="61"/>
        <v>0</v>
      </c>
      <c r="AH113" s="361">
        <f t="shared" si="62"/>
        <v>0</v>
      </c>
      <c r="AI113" s="361">
        <f t="shared" si="63"/>
        <v>0</v>
      </c>
      <c r="AJ113" s="361">
        <f t="shared" si="64"/>
        <v>0</v>
      </c>
      <c r="AK113" s="361">
        <f t="shared" si="65"/>
        <v>0</v>
      </c>
      <c r="AL113" s="361">
        <f t="shared" si="66"/>
        <v>0</v>
      </c>
      <c r="AM113" s="361">
        <f t="shared" si="67"/>
        <v>0</v>
      </c>
      <c r="AN113" s="361">
        <f t="shared" si="68"/>
        <v>0</v>
      </c>
    </row>
    <row r="114" spans="1:40" hidden="1" outlineLevel="1" x14ac:dyDescent="0.2">
      <c r="A114" s="156">
        <f t="shared" si="73"/>
        <v>106</v>
      </c>
      <c r="B114" s="173" t="s">
        <v>482</v>
      </c>
      <c r="C114" s="376"/>
      <c r="D114" s="376"/>
      <c r="E114" s="376">
        <v>70</v>
      </c>
      <c r="F114" s="376">
        <v>146</v>
      </c>
      <c r="G114" s="376">
        <v>93</v>
      </c>
      <c r="H114" s="376"/>
      <c r="I114" s="376"/>
      <c r="J114" s="376"/>
      <c r="K114" s="376"/>
      <c r="L114" s="376"/>
      <c r="M114" s="376"/>
      <c r="N114" s="376"/>
      <c r="O114" s="155">
        <f t="shared" si="77"/>
        <v>309</v>
      </c>
      <c r="P114" s="155"/>
      <c r="Q114" s="174">
        <v>42339</v>
      </c>
      <c r="R114" s="156" t="s">
        <v>474</v>
      </c>
      <c r="S114" s="174">
        <v>43465</v>
      </c>
      <c r="T114" s="155"/>
      <c r="U114" s="405">
        <v>42855</v>
      </c>
      <c r="V114" s="405">
        <v>43220</v>
      </c>
      <c r="W114" s="405">
        <v>43585</v>
      </c>
      <c r="X114" s="409"/>
      <c r="Y114" s="409"/>
      <c r="Z114" s="409"/>
      <c r="AA114" s="409"/>
      <c r="AB114" s="409"/>
      <c r="AC114" s="409"/>
      <c r="AD114" s="409"/>
      <c r="AE114" s="361">
        <f t="shared" si="69"/>
        <v>0.67123287671232879</v>
      </c>
      <c r="AF114" s="361">
        <f t="shared" si="60"/>
        <v>0.67123287671232879</v>
      </c>
      <c r="AG114" s="361">
        <f t="shared" si="61"/>
        <v>0.67123287671232879</v>
      </c>
      <c r="AH114" s="361">
        <f t="shared" si="62"/>
        <v>0</v>
      </c>
      <c r="AI114" s="361">
        <f t="shared" si="63"/>
        <v>0</v>
      </c>
      <c r="AJ114" s="361">
        <f t="shared" si="64"/>
        <v>0</v>
      </c>
      <c r="AK114" s="361">
        <f t="shared" si="65"/>
        <v>0</v>
      </c>
      <c r="AL114" s="361">
        <f t="shared" si="66"/>
        <v>0</v>
      </c>
      <c r="AM114" s="361">
        <f t="shared" si="67"/>
        <v>0</v>
      </c>
      <c r="AN114" s="361">
        <f t="shared" si="68"/>
        <v>0</v>
      </c>
    </row>
    <row r="115" spans="1:40" hidden="1" outlineLevel="1" x14ac:dyDescent="0.2">
      <c r="A115" s="156">
        <f t="shared" si="73"/>
        <v>107</v>
      </c>
      <c r="B115" s="173" t="s">
        <v>481</v>
      </c>
      <c r="C115" s="376"/>
      <c r="D115" s="376"/>
      <c r="E115" s="376">
        <v>70</v>
      </c>
      <c r="F115" s="376">
        <v>300</v>
      </c>
      <c r="G115" s="376"/>
      <c r="H115" s="376"/>
      <c r="I115" s="376"/>
      <c r="J115" s="376"/>
      <c r="K115" s="376"/>
      <c r="L115" s="376"/>
      <c r="M115" s="376"/>
      <c r="N115" s="376"/>
      <c r="O115" s="155">
        <f t="shared" si="77"/>
        <v>370</v>
      </c>
      <c r="P115" s="155"/>
      <c r="Q115" s="174">
        <v>42339</v>
      </c>
      <c r="R115" s="156" t="s">
        <v>474</v>
      </c>
      <c r="S115" s="174">
        <v>43465</v>
      </c>
      <c r="T115" s="155"/>
      <c r="U115" s="405">
        <v>42855</v>
      </c>
      <c r="V115" s="405">
        <v>43220</v>
      </c>
      <c r="W115" s="409"/>
      <c r="X115" s="409"/>
      <c r="Y115" s="409"/>
      <c r="Z115" s="409"/>
      <c r="AA115" s="409"/>
      <c r="AB115" s="409"/>
      <c r="AC115" s="409"/>
      <c r="AD115" s="409"/>
      <c r="AE115" s="361">
        <f t="shared" si="69"/>
        <v>0.67123287671232879</v>
      </c>
      <c r="AF115" s="361">
        <f t="shared" si="60"/>
        <v>0.67123287671232879</v>
      </c>
      <c r="AG115" s="361">
        <f t="shared" si="61"/>
        <v>0</v>
      </c>
      <c r="AH115" s="361">
        <f t="shared" si="62"/>
        <v>0</v>
      </c>
      <c r="AI115" s="361">
        <f t="shared" si="63"/>
        <v>0</v>
      </c>
      <c r="AJ115" s="361">
        <f t="shared" si="64"/>
        <v>0</v>
      </c>
      <c r="AK115" s="361">
        <f t="shared" si="65"/>
        <v>0</v>
      </c>
      <c r="AL115" s="361">
        <f t="shared" si="66"/>
        <v>0</v>
      </c>
      <c r="AM115" s="361">
        <f t="shared" si="67"/>
        <v>0</v>
      </c>
      <c r="AN115" s="361">
        <f t="shared" si="68"/>
        <v>0</v>
      </c>
    </row>
    <row r="116" spans="1:40" hidden="1" outlineLevel="1" x14ac:dyDescent="0.2">
      <c r="A116" s="156">
        <f t="shared" si="73"/>
        <v>108</v>
      </c>
      <c r="B116" s="173" t="s">
        <v>480</v>
      </c>
      <c r="C116" s="376"/>
      <c r="D116" s="376"/>
      <c r="E116" s="376">
        <v>50</v>
      </c>
      <c r="F116" s="376">
        <v>186</v>
      </c>
      <c r="G116" s="376"/>
      <c r="H116" s="376"/>
      <c r="I116" s="376"/>
      <c r="J116" s="376"/>
      <c r="K116" s="376"/>
      <c r="L116" s="376"/>
      <c r="M116" s="376"/>
      <c r="N116" s="376"/>
      <c r="O116" s="155">
        <f t="shared" si="77"/>
        <v>236</v>
      </c>
      <c r="P116" s="155"/>
      <c r="Q116" s="174">
        <v>42705</v>
      </c>
      <c r="R116" s="156" t="s">
        <v>474</v>
      </c>
      <c r="S116" s="174">
        <v>43465</v>
      </c>
      <c r="T116" s="155"/>
      <c r="U116" s="405">
        <v>42855</v>
      </c>
      <c r="V116" s="405">
        <v>43220</v>
      </c>
      <c r="W116" s="409"/>
      <c r="X116" s="409"/>
      <c r="Y116" s="409"/>
      <c r="Z116" s="409"/>
      <c r="AA116" s="409"/>
      <c r="AB116" s="409"/>
      <c r="AC116" s="409"/>
      <c r="AD116" s="409"/>
      <c r="AE116" s="361">
        <f t="shared" si="69"/>
        <v>0.67123287671232879</v>
      </c>
      <c r="AF116" s="361">
        <f t="shared" si="60"/>
        <v>0.67123287671232879</v>
      </c>
      <c r="AG116" s="361">
        <f t="shared" si="61"/>
        <v>0</v>
      </c>
      <c r="AH116" s="361">
        <f t="shared" si="62"/>
        <v>0</v>
      </c>
      <c r="AI116" s="361">
        <f t="shared" si="63"/>
        <v>0</v>
      </c>
      <c r="AJ116" s="361">
        <f t="shared" si="64"/>
        <v>0</v>
      </c>
      <c r="AK116" s="361">
        <f t="shared" si="65"/>
        <v>0</v>
      </c>
      <c r="AL116" s="361">
        <f t="shared" si="66"/>
        <v>0</v>
      </c>
      <c r="AM116" s="361">
        <f t="shared" si="67"/>
        <v>0</v>
      </c>
      <c r="AN116" s="361">
        <f t="shared" si="68"/>
        <v>0</v>
      </c>
    </row>
    <row r="117" spans="1:40" hidden="1" outlineLevel="1" x14ac:dyDescent="0.2">
      <c r="A117" s="156">
        <f t="shared" si="73"/>
        <v>109</v>
      </c>
      <c r="B117" s="173" t="s">
        <v>479</v>
      </c>
      <c r="C117" s="376"/>
      <c r="D117" s="376"/>
      <c r="E117" s="377">
        <v>50</v>
      </c>
      <c r="F117" s="376">
        <v>253</v>
      </c>
      <c r="G117" s="376"/>
      <c r="H117" s="376"/>
      <c r="I117" s="376"/>
      <c r="J117" s="376"/>
      <c r="K117" s="376"/>
      <c r="L117" s="376"/>
      <c r="M117" s="376"/>
      <c r="N117" s="376"/>
      <c r="O117" s="155">
        <f t="shared" si="77"/>
        <v>303</v>
      </c>
      <c r="P117" s="155"/>
      <c r="Q117" s="174">
        <v>42705</v>
      </c>
      <c r="R117" s="156" t="s">
        <v>474</v>
      </c>
      <c r="S117" s="174">
        <v>43465</v>
      </c>
      <c r="T117" s="155"/>
      <c r="U117" s="405">
        <v>42855</v>
      </c>
      <c r="V117" s="405">
        <v>43220</v>
      </c>
      <c r="W117" s="409"/>
      <c r="X117" s="409"/>
      <c r="Y117" s="409"/>
      <c r="Z117" s="409"/>
      <c r="AA117" s="409"/>
      <c r="AB117" s="409"/>
      <c r="AC117" s="409"/>
      <c r="AD117" s="409"/>
      <c r="AE117" s="361">
        <f t="shared" si="69"/>
        <v>0.67123287671232879</v>
      </c>
      <c r="AF117" s="361">
        <f t="shared" si="60"/>
        <v>0.67123287671232879</v>
      </c>
      <c r="AG117" s="361">
        <f t="shared" si="61"/>
        <v>0</v>
      </c>
      <c r="AH117" s="361">
        <f t="shared" si="62"/>
        <v>0</v>
      </c>
      <c r="AI117" s="361">
        <f t="shared" si="63"/>
        <v>0</v>
      </c>
      <c r="AJ117" s="361">
        <f t="shared" si="64"/>
        <v>0</v>
      </c>
      <c r="AK117" s="361">
        <f t="shared" si="65"/>
        <v>0</v>
      </c>
      <c r="AL117" s="361">
        <f t="shared" si="66"/>
        <v>0</v>
      </c>
      <c r="AM117" s="361">
        <f t="shared" si="67"/>
        <v>0</v>
      </c>
      <c r="AN117" s="361">
        <f t="shared" si="68"/>
        <v>0</v>
      </c>
    </row>
    <row r="118" spans="1:40" hidden="1" outlineLevel="1" x14ac:dyDescent="0.2">
      <c r="A118" s="156">
        <f t="shared" ref="A118:A153" si="78">+A117+1</f>
        <v>110</v>
      </c>
      <c r="B118" s="173" t="s">
        <v>478</v>
      </c>
      <c r="C118" s="376"/>
      <c r="D118" s="376"/>
      <c r="E118" s="376"/>
      <c r="F118" s="376">
        <v>63</v>
      </c>
      <c r="G118" s="376">
        <v>64</v>
      </c>
      <c r="H118" s="376"/>
      <c r="I118" s="376"/>
      <c r="J118" s="376"/>
      <c r="K118" s="376"/>
      <c r="L118" s="376"/>
      <c r="M118" s="376"/>
      <c r="N118" s="376"/>
      <c r="O118" s="155">
        <f t="shared" si="77"/>
        <v>127</v>
      </c>
      <c r="P118" s="155"/>
      <c r="Q118" s="174">
        <v>42339</v>
      </c>
      <c r="R118" s="156" t="s">
        <v>474</v>
      </c>
      <c r="S118" s="174">
        <v>42735</v>
      </c>
      <c r="T118" s="155"/>
      <c r="U118" s="409"/>
      <c r="V118" s="405">
        <v>43220</v>
      </c>
      <c r="W118" s="405">
        <v>43585</v>
      </c>
      <c r="X118" s="409"/>
      <c r="Y118" s="409"/>
      <c r="Z118" s="409"/>
      <c r="AA118" s="409"/>
      <c r="AB118" s="409"/>
      <c r="AC118" s="409"/>
      <c r="AD118" s="409"/>
      <c r="AE118" s="361">
        <f t="shared" si="69"/>
        <v>0</v>
      </c>
      <c r="AF118" s="361">
        <f t="shared" si="60"/>
        <v>0.67123287671232879</v>
      </c>
      <c r="AG118" s="361">
        <f t="shared" si="61"/>
        <v>0.67123287671232879</v>
      </c>
      <c r="AH118" s="361">
        <f t="shared" si="62"/>
        <v>0</v>
      </c>
      <c r="AI118" s="361">
        <f t="shared" si="63"/>
        <v>0</v>
      </c>
      <c r="AJ118" s="361">
        <f t="shared" si="64"/>
        <v>0</v>
      </c>
      <c r="AK118" s="361">
        <f t="shared" si="65"/>
        <v>0</v>
      </c>
      <c r="AL118" s="361">
        <f t="shared" si="66"/>
        <v>0</v>
      </c>
      <c r="AM118" s="361">
        <f t="shared" si="67"/>
        <v>0</v>
      </c>
      <c r="AN118" s="361">
        <f t="shared" si="68"/>
        <v>0</v>
      </c>
    </row>
    <row r="119" spans="1:40" hidden="1" outlineLevel="1" x14ac:dyDescent="0.2">
      <c r="A119" s="156">
        <f t="shared" si="78"/>
        <v>111</v>
      </c>
      <c r="B119" s="173" t="s">
        <v>477</v>
      </c>
      <c r="C119" s="376"/>
      <c r="D119" s="376"/>
      <c r="E119" s="376"/>
      <c r="F119" s="376">
        <v>150</v>
      </c>
      <c r="G119" s="376"/>
      <c r="H119" s="376"/>
      <c r="I119" s="376"/>
      <c r="J119" s="376"/>
      <c r="K119" s="376"/>
      <c r="L119" s="376"/>
      <c r="M119" s="376"/>
      <c r="N119" s="376"/>
      <c r="O119" s="155">
        <f t="shared" si="77"/>
        <v>150</v>
      </c>
      <c r="P119" s="155"/>
      <c r="Q119" s="174">
        <v>42705</v>
      </c>
      <c r="R119" s="156" t="s">
        <v>474</v>
      </c>
      <c r="S119" s="174">
        <v>43100</v>
      </c>
      <c r="T119" s="155"/>
      <c r="U119" s="409"/>
      <c r="V119" s="405">
        <v>43220</v>
      </c>
      <c r="W119" s="409"/>
      <c r="X119" s="409"/>
      <c r="Y119" s="409"/>
      <c r="Z119" s="409"/>
      <c r="AA119" s="409"/>
      <c r="AB119" s="409"/>
      <c r="AC119" s="409"/>
      <c r="AD119" s="409"/>
      <c r="AE119" s="361">
        <f t="shared" si="69"/>
        <v>0</v>
      </c>
      <c r="AF119" s="361">
        <f t="shared" si="60"/>
        <v>0.67123287671232879</v>
      </c>
      <c r="AG119" s="361">
        <f t="shared" si="61"/>
        <v>0</v>
      </c>
      <c r="AH119" s="361">
        <f t="shared" si="62"/>
        <v>0</v>
      </c>
      <c r="AI119" s="361">
        <f t="shared" si="63"/>
        <v>0</v>
      </c>
      <c r="AJ119" s="361">
        <f t="shared" si="64"/>
        <v>0</v>
      </c>
      <c r="AK119" s="361">
        <f t="shared" si="65"/>
        <v>0</v>
      </c>
      <c r="AL119" s="361">
        <f t="shared" si="66"/>
        <v>0</v>
      </c>
      <c r="AM119" s="361">
        <f t="shared" si="67"/>
        <v>0</v>
      </c>
      <c r="AN119" s="361">
        <f t="shared" si="68"/>
        <v>0</v>
      </c>
    </row>
    <row r="120" spans="1:40" hidden="1" outlineLevel="1" x14ac:dyDescent="0.2">
      <c r="A120" s="156">
        <f t="shared" si="78"/>
        <v>112</v>
      </c>
      <c r="B120" s="173" t="s">
        <v>476</v>
      </c>
      <c r="C120" s="376"/>
      <c r="D120" s="376"/>
      <c r="E120" s="376"/>
      <c r="F120" s="376">
        <v>160</v>
      </c>
      <c r="G120" s="376"/>
      <c r="H120" s="376"/>
      <c r="I120" s="376"/>
      <c r="J120" s="376"/>
      <c r="K120" s="376"/>
      <c r="L120" s="376"/>
      <c r="M120" s="376"/>
      <c r="N120" s="376"/>
      <c r="O120" s="155">
        <f t="shared" si="77"/>
        <v>160</v>
      </c>
      <c r="P120" s="155"/>
      <c r="Q120" s="174">
        <v>43131</v>
      </c>
      <c r="R120" s="156"/>
      <c r="S120" s="174">
        <v>43465</v>
      </c>
      <c r="T120" s="155"/>
      <c r="U120" s="409"/>
      <c r="V120" s="405">
        <v>43220</v>
      </c>
      <c r="W120" s="409"/>
      <c r="X120" s="409"/>
      <c r="Y120" s="409"/>
      <c r="Z120" s="409"/>
      <c r="AA120" s="409"/>
      <c r="AB120" s="409"/>
      <c r="AC120" s="409"/>
      <c r="AD120" s="409"/>
      <c r="AE120" s="361">
        <f t="shared" si="69"/>
        <v>0</v>
      </c>
      <c r="AF120" s="361">
        <f t="shared" si="60"/>
        <v>0.67123287671232879</v>
      </c>
      <c r="AG120" s="361">
        <f t="shared" si="61"/>
        <v>0</v>
      </c>
      <c r="AH120" s="361">
        <f t="shared" si="62"/>
        <v>0</v>
      </c>
      <c r="AI120" s="361">
        <f t="shared" si="63"/>
        <v>0</v>
      </c>
      <c r="AJ120" s="361">
        <f t="shared" si="64"/>
        <v>0</v>
      </c>
      <c r="AK120" s="361">
        <f t="shared" si="65"/>
        <v>0</v>
      </c>
      <c r="AL120" s="361">
        <f t="shared" si="66"/>
        <v>0</v>
      </c>
      <c r="AM120" s="361">
        <f t="shared" si="67"/>
        <v>0</v>
      </c>
      <c r="AN120" s="361">
        <f t="shared" si="68"/>
        <v>0</v>
      </c>
    </row>
    <row r="121" spans="1:40" hidden="1" outlineLevel="1" x14ac:dyDescent="0.2">
      <c r="A121" s="156">
        <f t="shared" si="78"/>
        <v>113</v>
      </c>
      <c r="B121" s="173" t="s">
        <v>609</v>
      </c>
      <c r="C121" s="376"/>
      <c r="D121" s="376"/>
      <c r="E121" s="376"/>
      <c r="F121" s="376">
        <v>750</v>
      </c>
      <c r="G121" s="376">
        <v>750</v>
      </c>
      <c r="H121" s="376">
        <v>750</v>
      </c>
      <c r="I121" s="376"/>
      <c r="J121" s="376"/>
      <c r="K121" s="376"/>
      <c r="L121" s="376"/>
      <c r="M121" s="376"/>
      <c r="N121" s="376"/>
      <c r="O121" s="155">
        <f t="shared" si="77"/>
        <v>2250</v>
      </c>
      <c r="P121" s="155"/>
      <c r="Q121" s="174">
        <v>42339</v>
      </c>
      <c r="R121" s="156" t="s">
        <v>474</v>
      </c>
      <c r="S121" s="174">
        <v>42735</v>
      </c>
      <c r="T121" s="155"/>
      <c r="U121" s="409"/>
      <c r="V121" s="405">
        <v>43220</v>
      </c>
      <c r="W121" s="405">
        <v>43585</v>
      </c>
      <c r="X121" s="405">
        <v>44104</v>
      </c>
      <c r="Y121" s="409"/>
      <c r="Z121" s="409"/>
      <c r="AA121" s="409"/>
      <c r="AB121" s="409"/>
      <c r="AC121" s="409"/>
      <c r="AD121" s="409"/>
      <c r="AE121" s="361">
        <f t="shared" si="69"/>
        <v>0</v>
      </c>
      <c r="AF121" s="361">
        <f t="shared" si="60"/>
        <v>0.67123287671232879</v>
      </c>
      <c r="AG121" s="361">
        <f t="shared" si="61"/>
        <v>0.67123287671232879</v>
      </c>
      <c r="AH121" s="361">
        <f t="shared" si="62"/>
        <v>0.25205479452054796</v>
      </c>
      <c r="AI121" s="361">
        <f t="shared" si="63"/>
        <v>0</v>
      </c>
      <c r="AJ121" s="361">
        <f t="shared" si="64"/>
        <v>0</v>
      </c>
      <c r="AK121" s="361">
        <f t="shared" si="65"/>
        <v>0</v>
      </c>
      <c r="AL121" s="361">
        <f t="shared" si="66"/>
        <v>0</v>
      </c>
      <c r="AM121" s="361">
        <f t="shared" si="67"/>
        <v>0</v>
      </c>
      <c r="AN121" s="361">
        <f t="shared" si="68"/>
        <v>0</v>
      </c>
    </row>
    <row r="122" spans="1:40" hidden="1" outlineLevel="1" x14ac:dyDescent="0.2">
      <c r="A122" s="156">
        <f t="shared" si="78"/>
        <v>114</v>
      </c>
      <c r="B122" s="173" t="s">
        <v>610</v>
      </c>
      <c r="C122" s="376"/>
      <c r="D122" s="376"/>
      <c r="E122" s="376"/>
      <c r="F122" s="376">
        <v>210</v>
      </c>
      <c r="G122" s="376"/>
      <c r="H122" s="376"/>
      <c r="I122" s="376"/>
      <c r="J122" s="376"/>
      <c r="K122" s="376"/>
      <c r="L122" s="376"/>
      <c r="M122" s="376"/>
      <c r="N122" s="376"/>
      <c r="O122" s="155">
        <f t="shared" si="77"/>
        <v>210</v>
      </c>
      <c r="P122" s="155"/>
      <c r="Q122" s="174">
        <v>42339</v>
      </c>
      <c r="R122" s="156" t="s">
        <v>474</v>
      </c>
      <c r="S122" s="174">
        <v>43100</v>
      </c>
      <c r="T122" s="155"/>
      <c r="U122" s="409"/>
      <c r="V122" s="405">
        <v>43220</v>
      </c>
      <c r="W122" s="409"/>
      <c r="X122" s="409"/>
      <c r="Y122" s="409"/>
      <c r="Z122" s="409"/>
      <c r="AA122" s="409"/>
      <c r="AB122" s="409"/>
      <c r="AC122" s="409"/>
      <c r="AD122" s="409"/>
      <c r="AE122" s="361">
        <f t="shared" si="69"/>
        <v>0</v>
      </c>
      <c r="AF122" s="361">
        <f t="shared" si="60"/>
        <v>0.67123287671232879</v>
      </c>
      <c r="AG122" s="361">
        <f t="shared" si="61"/>
        <v>0</v>
      </c>
      <c r="AH122" s="361">
        <f t="shared" si="62"/>
        <v>0</v>
      </c>
      <c r="AI122" s="361">
        <f t="shared" si="63"/>
        <v>0</v>
      </c>
      <c r="AJ122" s="361">
        <f t="shared" si="64"/>
        <v>0</v>
      </c>
      <c r="AK122" s="361">
        <f t="shared" si="65"/>
        <v>0</v>
      </c>
      <c r="AL122" s="361">
        <f t="shared" si="66"/>
        <v>0</v>
      </c>
      <c r="AM122" s="361">
        <f t="shared" si="67"/>
        <v>0</v>
      </c>
      <c r="AN122" s="361">
        <f t="shared" si="68"/>
        <v>0</v>
      </c>
    </row>
    <row r="123" spans="1:40" hidden="1" outlineLevel="1" x14ac:dyDescent="0.2">
      <c r="A123" s="156">
        <f t="shared" si="78"/>
        <v>115</v>
      </c>
      <c r="B123" s="173" t="s">
        <v>611</v>
      </c>
      <c r="C123" s="376"/>
      <c r="D123" s="376"/>
      <c r="E123" s="376">
        <v>90</v>
      </c>
      <c r="F123" s="376"/>
      <c r="G123" s="376"/>
      <c r="H123" s="376"/>
      <c r="I123" s="376"/>
      <c r="J123" s="376"/>
      <c r="K123" s="376"/>
      <c r="L123" s="376"/>
      <c r="M123" s="376"/>
      <c r="N123" s="376"/>
      <c r="O123" s="155">
        <f t="shared" si="77"/>
        <v>90</v>
      </c>
      <c r="P123" s="155"/>
      <c r="Q123" s="178" t="s">
        <v>475</v>
      </c>
      <c r="R123" s="156" t="s">
        <v>474</v>
      </c>
      <c r="S123" s="174">
        <v>43465</v>
      </c>
      <c r="T123" s="155"/>
      <c r="U123" s="405">
        <v>42855</v>
      </c>
      <c r="V123" s="409"/>
      <c r="W123" s="409"/>
      <c r="X123" s="409"/>
      <c r="Y123" s="409"/>
      <c r="Z123" s="409"/>
      <c r="AA123" s="409"/>
      <c r="AB123" s="409"/>
      <c r="AC123" s="409"/>
      <c r="AD123" s="409"/>
      <c r="AE123" s="361">
        <f t="shared" si="69"/>
        <v>0.67123287671232879</v>
      </c>
      <c r="AF123" s="361">
        <f t="shared" si="60"/>
        <v>0</v>
      </c>
      <c r="AG123" s="361">
        <f t="shared" si="61"/>
        <v>0</v>
      </c>
      <c r="AH123" s="361">
        <f t="shared" si="62"/>
        <v>0</v>
      </c>
      <c r="AI123" s="361">
        <f t="shared" si="63"/>
        <v>0</v>
      </c>
      <c r="AJ123" s="361">
        <f t="shared" si="64"/>
        <v>0</v>
      </c>
      <c r="AK123" s="361">
        <f t="shared" si="65"/>
        <v>0</v>
      </c>
      <c r="AL123" s="361">
        <f t="shared" si="66"/>
        <v>0</v>
      </c>
      <c r="AM123" s="361">
        <f t="shared" si="67"/>
        <v>0</v>
      </c>
      <c r="AN123" s="361">
        <f t="shared" si="68"/>
        <v>0</v>
      </c>
    </row>
    <row r="124" spans="1:40" hidden="1" outlineLevel="1" x14ac:dyDescent="0.2">
      <c r="A124" s="156">
        <f t="shared" si="78"/>
        <v>116</v>
      </c>
      <c r="B124" s="173" t="s">
        <v>473</v>
      </c>
      <c r="C124" s="376"/>
      <c r="D124" s="376"/>
      <c r="E124" s="376">
        <v>79</v>
      </c>
      <c r="F124" s="376">
        <v>97</v>
      </c>
      <c r="G124" s="376"/>
      <c r="H124" s="376"/>
      <c r="I124" s="376"/>
      <c r="J124" s="376"/>
      <c r="K124" s="376"/>
      <c r="L124" s="376"/>
      <c r="M124" s="376"/>
      <c r="N124" s="376"/>
      <c r="O124" s="155">
        <f t="shared" si="77"/>
        <v>176</v>
      </c>
      <c r="P124" s="155"/>
      <c r="Q124" s="174">
        <v>42705</v>
      </c>
      <c r="R124" s="156" t="s">
        <v>474</v>
      </c>
      <c r="S124" s="174">
        <v>43465</v>
      </c>
      <c r="T124" s="155"/>
      <c r="U124" s="405">
        <v>42855</v>
      </c>
      <c r="V124" s="405">
        <v>43220</v>
      </c>
      <c r="W124" s="409"/>
      <c r="X124" s="409"/>
      <c r="Y124" s="409"/>
      <c r="Z124" s="409"/>
      <c r="AA124" s="409"/>
      <c r="AB124" s="409"/>
      <c r="AC124" s="409"/>
      <c r="AD124" s="409"/>
      <c r="AE124" s="361">
        <f t="shared" si="69"/>
        <v>0.67123287671232879</v>
      </c>
      <c r="AF124" s="361">
        <f t="shared" si="60"/>
        <v>0.67123287671232879</v>
      </c>
      <c r="AG124" s="361">
        <f t="shared" si="61"/>
        <v>0</v>
      </c>
      <c r="AH124" s="361">
        <f t="shared" si="62"/>
        <v>0</v>
      </c>
      <c r="AI124" s="361">
        <f t="shared" si="63"/>
        <v>0</v>
      </c>
      <c r="AJ124" s="361">
        <f t="shared" si="64"/>
        <v>0</v>
      </c>
      <c r="AK124" s="361">
        <f t="shared" si="65"/>
        <v>0</v>
      </c>
      <c r="AL124" s="361">
        <f t="shared" si="66"/>
        <v>0</v>
      </c>
      <c r="AM124" s="361">
        <f t="shared" si="67"/>
        <v>0</v>
      </c>
      <c r="AN124" s="361">
        <f t="shared" si="68"/>
        <v>0</v>
      </c>
    </row>
    <row r="125" spans="1:40" hidden="1" outlineLevel="1" x14ac:dyDescent="0.2">
      <c r="A125" s="156">
        <f t="shared" si="78"/>
        <v>117</v>
      </c>
      <c r="B125" s="173" t="s">
        <v>472</v>
      </c>
      <c r="C125" s="376"/>
      <c r="D125" s="376"/>
      <c r="E125" s="376"/>
      <c r="F125" s="376">
        <v>600</v>
      </c>
      <c r="G125" s="376">
        <v>600</v>
      </c>
      <c r="H125" s="376"/>
      <c r="I125" s="376"/>
      <c r="J125" s="376"/>
      <c r="K125" s="376"/>
      <c r="L125" s="376"/>
      <c r="M125" s="376"/>
      <c r="N125" s="376"/>
      <c r="O125" s="155">
        <f t="shared" si="77"/>
        <v>1200</v>
      </c>
      <c r="P125" s="155"/>
      <c r="Q125" s="174"/>
      <c r="R125" s="156"/>
      <c r="S125" s="174">
        <v>43465</v>
      </c>
      <c r="T125" s="155"/>
      <c r="U125" s="409"/>
      <c r="V125" s="405">
        <v>43220</v>
      </c>
      <c r="W125" s="405">
        <v>43585</v>
      </c>
      <c r="X125" s="409"/>
      <c r="Y125" s="409"/>
      <c r="Z125" s="409"/>
      <c r="AA125" s="409"/>
      <c r="AB125" s="409"/>
      <c r="AC125" s="409"/>
      <c r="AD125" s="409"/>
      <c r="AE125" s="361">
        <f t="shared" si="69"/>
        <v>0</v>
      </c>
      <c r="AF125" s="361">
        <f t="shared" si="60"/>
        <v>0.67123287671232879</v>
      </c>
      <c r="AG125" s="361">
        <f t="shared" si="61"/>
        <v>0.67123287671232879</v>
      </c>
      <c r="AH125" s="361">
        <f t="shared" si="62"/>
        <v>0</v>
      </c>
      <c r="AI125" s="361">
        <f t="shared" si="63"/>
        <v>0</v>
      </c>
      <c r="AJ125" s="361">
        <f t="shared" si="64"/>
        <v>0</v>
      </c>
      <c r="AK125" s="361">
        <f t="shared" si="65"/>
        <v>0</v>
      </c>
      <c r="AL125" s="361">
        <f t="shared" si="66"/>
        <v>0</v>
      </c>
      <c r="AM125" s="361">
        <f t="shared" si="67"/>
        <v>0</v>
      </c>
      <c r="AN125" s="361">
        <f t="shared" si="68"/>
        <v>0</v>
      </c>
    </row>
    <row r="126" spans="1:40" hidden="1" outlineLevel="1" x14ac:dyDescent="0.2">
      <c r="A126" s="156">
        <f t="shared" si="78"/>
        <v>118</v>
      </c>
      <c r="B126" s="173" t="s">
        <v>471</v>
      </c>
      <c r="C126" s="376"/>
      <c r="D126" s="376">
        <v>921</v>
      </c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155">
        <f t="shared" si="77"/>
        <v>921</v>
      </c>
      <c r="P126" s="155"/>
      <c r="Q126" s="174" t="s">
        <v>431</v>
      </c>
      <c r="R126" s="156"/>
      <c r="S126" s="174">
        <v>43830</v>
      </c>
      <c r="T126" s="155"/>
      <c r="U126" s="409"/>
      <c r="V126" s="409"/>
      <c r="W126" s="409"/>
      <c r="X126" s="409"/>
      <c r="Y126" s="409"/>
      <c r="Z126" s="409"/>
      <c r="AA126" s="409"/>
      <c r="AB126" s="409"/>
      <c r="AC126" s="409"/>
      <c r="AD126" s="409"/>
      <c r="AE126" s="361">
        <f t="shared" si="69"/>
        <v>0</v>
      </c>
      <c r="AF126" s="361">
        <f t="shared" si="60"/>
        <v>0</v>
      </c>
      <c r="AG126" s="361">
        <f t="shared" si="61"/>
        <v>0</v>
      </c>
      <c r="AH126" s="361">
        <f t="shared" si="62"/>
        <v>0</v>
      </c>
      <c r="AI126" s="361">
        <f t="shared" si="63"/>
        <v>0</v>
      </c>
      <c r="AJ126" s="361">
        <f t="shared" si="64"/>
        <v>0</v>
      </c>
      <c r="AK126" s="361">
        <f t="shared" si="65"/>
        <v>0</v>
      </c>
      <c r="AL126" s="361">
        <f t="shared" si="66"/>
        <v>0</v>
      </c>
      <c r="AM126" s="361">
        <f t="shared" si="67"/>
        <v>0</v>
      </c>
      <c r="AN126" s="361">
        <f t="shared" si="68"/>
        <v>0</v>
      </c>
    </row>
    <row r="127" spans="1:40" hidden="1" outlineLevel="1" x14ac:dyDescent="0.2">
      <c r="A127" s="156">
        <f t="shared" si="78"/>
        <v>119</v>
      </c>
      <c r="B127" s="173" t="s">
        <v>470</v>
      </c>
      <c r="C127" s="376"/>
      <c r="D127" s="376">
        <v>155</v>
      </c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155">
        <f t="shared" si="77"/>
        <v>155</v>
      </c>
      <c r="P127" s="155"/>
      <c r="Q127" s="174">
        <v>41609</v>
      </c>
      <c r="R127" s="156" t="s">
        <v>446</v>
      </c>
      <c r="S127" s="174">
        <v>42735</v>
      </c>
      <c r="T127" s="155"/>
      <c r="U127" s="409"/>
      <c r="V127" s="409"/>
      <c r="W127" s="409"/>
      <c r="X127" s="409"/>
      <c r="Y127" s="409"/>
      <c r="Z127" s="409"/>
      <c r="AA127" s="409"/>
      <c r="AB127" s="409"/>
      <c r="AC127" s="409"/>
      <c r="AD127" s="409"/>
      <c r="AE127" s="361">
        <f t="shared" si="69"/>
        <v>0</v>
      </c>
      <c r="AF127" s="361">
        <f t="shared" si="60"/>
        <v>0</v>
      </c>
      <c r="AG127" s="361">
        <f t="shared" si="61"/>
        <v>0</v>
      </c>
      <c r="AH127" s="361">
        <f t="shared" si="62"/>
        <v>0</v>
      </c>
      <c r="AI127" s="361">
        <f t="shared" si="63"/>
        <v>0</v>
      </c>
      <c r="AJ127" s="361">
        <f t="shared" si="64"/>
        <v>0</v>
      </c>
      <c r="AK127" s="361">
        <f t="shared" si="65"/>
        <v>0</v>
      </c>
      <c r="AL127" s="361">
        <f t="shared" si="66"/>
        <v>0</v>
      </c>
      <c r="AM127" s="361">
        <f t="shared" si="67"/>
        <v>0</v>
      </c>
      <c r="AN127" s="361">
        <f t="shared" si="68"/>
        <v>0</v>
      </c>
    </row>
    <row r="128" spans="1:40" hidden="1" outlineLevel="1" x14ac:dyDescent="0.2">
      <c r="A128" s="156">
        <f t="shared" si="78"/>
        <v>120</v>
      </c>
      <c r="B128" s="173" t="s">
        <v>468</v>
      </c>
      <c r="C128" s="376"/>
      <c r="D128" s="376">
        <v>288</v>
      </c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155">
        <f t="shared" si="77"/>
        <v>288</v>
      </c>
      <c r="P128" s="155"/>
      <c r="Q128" s="174" t="s">
        <v>469</v>
      </c>
      <c r="R128" s="156"/>
      <c r="S128" s="174">
        <v>42735</v>
      </c>
      <c r="T128" s="155"/>
      <c r="U128" s="409"/>
      <c r="V128" s="409"/>
      <c r="W128" s="409"/>
      <c r="X128" s="409"/>
      <c r="Y128" s="409"/>
      <c r="Z128" s="409"/>
      <c r="AA128" s="409"/>
      <c r="AB128" s="409"/>
      <c r="AC128" s="409"/>
      <c r="AD128" s="409"/>
      <c r="AE128" s="361">
        <f t="shared" si="69"/>
        <v>0</v>
      </c>
      <c r="AF128" s="361">
        <f t="shared" si="60"/>
        <v>0</v>
      </c>
      <c r="AG128" s="361">
        <f t="shared" si="61"/>
        <v>0</v>
      </c>
      <c r="AH128" s="361">
        <f t="shared" si="62"/>
        <v>0</v>
      </c>
      <c r="AI128" s="361">
        <f t="shared" si="63"/>
        <v>0</v>
      </c>
      <c r="AJ128" s="361">
        <f t="shared" si="64"/>
        <v>0</v>
      </c>
      <c r="AK128" s="361">
        <f t="shared" si="65"/>
        <v>0</v>
      </c>
      <c r="AL128" s="361">
        <f t="shared" si="66"/>
        <v>0</v>
      </c>
      <c r="AM128" s="361">
        <f t="shared" si="67"/>
        <v>0</v>
      </c>
      <c r="AN128" s="361">
        <f t="shared" si="68"/>
        <v>0</v>
      </c>
    </row>
    <row r="129" spans="1:40" hidden="1" outlineLevel="1" x14ac:dyDescent="0.2">
      <c r="A129" s="156">
        <f t="shared" si="78"/>
        <v>121</v>
      </c>
      <c r="B129" s="173" t="s">
        <v>467</v>
      </c>
      <c r="C129" s="376"/>
      <c r="D129" s="376"/>
      <c r="E129" s="376"/>
      <c r="F129" s="376">
        <v>193</v>
      </c>
      <c r="G129" s="376">
        <v>93</v>
      </c>
      <c r="H129" s="376"/>
      <c r="I129" s="376"/>
      <c r="J129" s="376"/>
      <c r="K129" s="376"/>
      <c r="L129" s="376"/>
      <c r="M129" s="376"/>
      <c r="N129" s="376"/>
      <c r="O129" s="155">
        <f t="shared" si="77"/>
        <v>286</v>
      </c>
      <c r="P129" s="155"/>
      <c r="Q129" s="174"/>
      <c r="R129" s="156" t="s">
        <v>444</v>
      </c>
      <c r="S129" s="174">
        <v>42735</v>
      </c>
      <c r="T129" s="155"/>
      <c r="U129" s="409"/>
      <c r="V129" s="405">
        <v>43220</v>
      </c>
      <c r="W129" s="405">
        <v>43585</v>
      </c>
      <c r="X129" s="409"/>
      <c r="Y129" s="409"/>
      <c r="Z129" s="409"/>
      <c r="AA129" s="409"/>
      <c r="AB129" s="409"/>
      <c r="AC129" s="409"/>
      <c r="AD129" s="409"/>
      <c r="AE129" s="361">
        <f t="shared" si="69"/>
        <v>0</v>
      </c>
      <c r="AF129" s="361">
        <f t="shared" si="60"/>
        <v>0.67123287671232879</v>
      </c>
      <c r="AG129" s="361">
        <f t="shared" si="61"/>
        <v>0.67123287671232879</v>
      </c>
      <c r="AH129" s="361">
        <f t="shared" si="62"/>
        <v>0</v>
      </c>
      <c r="AI129" s="361">
        <f t="shared" si="63"/>
        <v>0</v>
      </c>
      <c r="AJ129" s="361">
        <f t="shared" si="64"/>
        <v>0</v>
      </c>
      <c r="AK129" s="361">
        <f t="shared" si="65"/>
        <v>0</v>
      </c>
      <c r="AL129" s="361">
        <f t="shared" si="66"/>
        <v>0</v>
      </c>
      <c r="AM129" s="361">
        <f t="shared" si="67"/>
        <v>0</v>
      </c>
      <c r="AN129" s="361">
        <f t="shared" si="68"/>
        <v>0</v>
      </c>
    </row>
    <row r="130" spans="1:40" hidden="1" outlineLevel="1" x14ac:dyDescent="0.2">
      <c r="A130" s="156">
        <f t="shared" si="78"/>
        <v>122</v>
      </c>
      <c r="B130" s="173" t="s">
        <v>466</v>
      </c>
      <c r="C130" s="376"/>
      <c r="D130" s="376"/>
      <c r="E130" s="376">
        <v>0</v>
      </c>
      <c r="F130" s="376">
        <v>400</v>
      </c>
      <c r="G130" s="376"/>
      <c r="H130" s="376"/>
      <c r="I130" s="376"/>
      <c r="J130" s="376"/>
      <c r="K130" s="376"/>
      <c r="L130" s="376"/>
      <c r="M130" s="376"/>
      <c r="N130" s="376"/>
      <c r="O130" s="155">
        <f t="shared" si="77"/>
        <v>400</v>
      </c>
      <c r="P130" s="155"/>
      <c r="Q130" s="174"/>
      <c r="R130" s="156"/>
      <c r="S130" s="174">
        <v>43830</v>
      </c>
      <c r="T130" s="155"/>
      <c r="U130" s="409"/>
      <c r="V130" s="405">
        <v>43220</v>
      </c>
      <c r="W130" s="409"/>
      <c r="X130" s="409"/>
      <c r="Y130" s="409"/>
      <c r="Z130" s="409"/>
      <c r="AA130" s="409"/>
      <c r="AB130" s="409"/>
      <c r="AC130" s="409"/>
      <c r="AD130" s="409"/>
      <c r="AE130" s="361">
        <f t="shared" si="69"/>
        <v>0</v>
      </c>
      <c r="AF130" s="361">
        <f t="shared" si="60"/>
        <v>0.67123287671232879</v>
      </c>
      <c r="AG130" s="361">
        <f t="shared" si="61"/>
        <v>0</v>
      </c>
      <c r="AH130" s="361">
        <f t="shared" si="62"/>
        <v>0</v>
      </c>
      <c r="AI130" s="361">
        <f t="shared" si="63"/>
        <v>0</v>
      </c>
      <c r="AJ130" s="361">
        <f t="shared" si="64"/>
        <v>0</v>
      </c>
      <c r="AK130" s="361">
        <f t="shared" si="65"/>
        <v>0</v>
      </c>
      <c r="AL130" s="361">
        <f t="shared" si="66"/>
        <v>0</v>
      </c>
      <c r="AM130" s="361">
        <f t="shared" si="67"/>
        <v>0</v>
      </c>
      <c r="AN130" s="361">
        <f t="shared" si="68"/>
        <v>0</v>
      </c>
    </row>
    <row r="131" spans="1:40" hidden="1" outlineLevel="1" x14ac:dyDescent="0.2">
      <c r="A131" s="156">
        <f t="shared" si="78"/>
        <v>123</v>
      </c>
      <c r="B131" s="173" t="s">
        <v>465</v>
      </c>
      <c r="C131" s="376"/>
      <c r="D131" s="376"/>
      <c r="E131" s="376"/>
      <c r="F131" s="376">
        <v>150</v>
      </c>
      <c r="G131" s="376"/>
      <c r="H131" s="376"/>
      <c r="I131" s="376"/>
      <c r="J131" s="376"/>
      <c r="K131" s="376"/>
      <c r="L131" s="376"/>
      <c r="M131" s="376"/>
      <c r="N131" s="376"/>
      <c r="O131" s="155">
        <f t="shared" si="77"/>
        <v>150</v>
      </c>
      <c r="P131" s="155"/>
      <c r="Q131" s="174">
        <v>41974</v>
      </c>
      <c r="R131" s="156" t="s">
        <v>446</v>
      </c>
      <c r="S131" s="174">
        <v>43100</v>
      </c>
      <c r="T131" s="155"/>
      <c r="U131" s="409"/>
      <c r="V131" s="405">
        <v>43220</v>
      </c>
      <c r="W131" s="409"/>
      <c r="X131" s="409"/>
      <c r="Y131" s="409"/>
      <c r="Z131" s="409"/>
      <c r="AA131" s="409"/>
      <c r="AB131" s="409"/>
      <c r="AC131" s="409"/>
      <c r="AD131" s="409"/>
      <c r="AE131" s="361">
        <f t="shared" si="69"/>
        <v>0</v>
      </c>
      <c r="AF131" s="361">
        <f t="shared" si="60"/>
        <v>0.67123287671232879</v>
      </c>
      <c r="AG131" s="361">
        <f t="shared" si="61"/>
        <v>0</v>
      </c>
      <c r="AH131" s="361">
        <f t="shared" si="62"/>
        <v>0</v>
      </c>
      <c r="AI131" s="361">
        <f t="shared" si="63"/>
        <v>0</v>
      </c>
      <c r="AJ131" s="361">
        <f t="shared" si="64"/>
        <v>0</v>
      </c>
      <c r="AK131" s="361">
        <f t="shared" si="65"/>
        <v>0</v>
      </c>
      <c r="AL131" s="361">
        <f t="shared" si="66"/>
        <v>0</v>
      </c>
      <c r="AM131" s="361">
        <f t="shared" si="67"/>
        <v>0</v>
      </c>
      <c r="AN131" s="361">
        <f t="shared" si="68"/>
        <v>0</v>
      </c>
    </row>
    <row r="132" spans="1:40" hidden="1" outlineLevel="1" x14ac:dyDescent="0.2">
      <c r="A132" s="156">
        <f t="shared" si="78"/>
        <v>124</v>
      </c>
      <c r="B132" s="173" t="s">
        <v>464</v>
      </c>
      <c r="C132" s="377"/>
      <c r="D132" s="376"/>
      <c r="E132" s="377"/>
      <c r="F132" s="377">
        <v>400</v>
      </c>
      <c r="G132" s="377">
        <v>300</v>
      </c>
      <c r="H132" s="377"/>
      <c r="I132" s="377"/>
      <c r="J132" s="377"/>
      <c r="K132" s="377"/>
      <c r="L132" s="377"/>
      <c r="M132" s="377"/>
      <c r="N132" s="377"/>
      <c r="O132" s="155">
        <f t="shared" si="77"/>
        <v>700</v>
      </c>
      <c r="S132" s="174">
        <v>43465</v>
      </c>
      <c r="U132" s="409"/>
      <c r="V132" s="405">
        <v>43220</v>
      </c>
      <c r="W132" s="405">
        <v>43585</v>
      </c>
      <c r="X132" s="409"/>
      <c r="Y132" s="409"/>
      <c r="Z132" s="409"/>
      <c r="AA132" s="409"/>
      <c r="AB132" s="409"/>
      <c r="AC132" s="409"/>
      <c r="AD132" s="409"/>
      <c r="AE132" s="361">
        <f t="shared" si="69"/>
        <v>0</v>
      </c>
      <c r="AF132" s="361">
        <f t="shared" si="60"/>
        <v>0.67123287671232879</v>
      </c>
      <c r="AG132" s="361">
        <f t="shared" si="61"/>
        <v>0.67123287671232879</v>
      </c>
      <c r="AH132" s="361">
        <f t="shared" si="62"/>
        <v>0</v>
      </c>
      <c r="AI132" s="361">
        <f t="shared" si="63"/>
        <v>0</v>
      </c>
      <c r="AJ132" s="361">
        <f t="shared" si="64"/>
        <v>0</v>
      </c>
      <c r="AK132" s="361">
        <f t="shared" si="65"/>
        <v>0</v>
      </c>
      <c r="AL132" s="361">
        <f t="shared" si="66"/>
        <v>0</v>
      </c>
      <c r="AM132" s="361">
        <f t="shared" si="67"/>
        <v>0</v>
      </c>
      <c r="AN132" s="361">
        <f t="shared" si="68"/>
        <v>0</v>
      </c>
    </row>
    <row r="133" spans="1:40" hidden="1" outlineLevel="1" x14ac:dyDescent="0.2">
      <c r="A133" s="156">
        <f t="shared" si="78"/>
        <v>125</v>
      </c>
      <c r="B133" s="173" t="s">
        <v>463</v>
      </c>
      <c r="C133" s="376"/>
      <c r="D133" s="376">
        <v>207</v>
      </c>
      <c r="E133" s="376">
        <v>139</v>
      </c>
      <c r="F133" s="376"/>
      <c r="G133" s="376"/>
      <c r="H133" s="376"/>
      <c r="I133" s="376"/>
      <c r="J133" s="376"/>
      <c r="K133" s="376"/>
      <c r="L133" s="376"/>
      <c r="M133" s="376"/>
      <c r="N133" s="376"/>
      <c r="O133" s="155">
        <f t="shared" si="77"/>
        <v>346</v>
      </c>
      <c r="P133" s="155"/>
      <c r="Q133" s="174"/>
      <c r="R133" s="156"/>
      <c r="S133" s="174">
        <v>43465</v>
      </c>
      <c r="T133" s="155"/>
      <c r="U133" s="405">
        <v>42855</v>
      </c>
      <c r="V133" s="409"/>
      <c r="W133" s="409"/>
      <c r="X133" s="409"/>
      <c r="Y133" s="409"/>
      <c r="Z133" s="409"/>
      <c r="AA133" s="409"/>
      <c r="AB133" s="409"/>
      <c r="AC133" s="409"/>
      <c r="AD133" s="409"/>
      <c r="AE133" s="361">
        <f t="shared" si="69"/>
        <v>0.67123287671232879</v>
      </c>
      <c r="AF133" s="361">
        <f t="shared" si="60"/>
        <v>0</v>
      </c>
      <c r="AG133" s="361">
        <f t="shared" si="61"/>
        <v>0</v>
      </c>
      <c r="AH133" s="361">
        <f t="shared" si="62"/>
        <v>0</v>
      </c>
      <c r="AI133" s="361">
        <f t="shared" si="63"/>
        <v>0</v>
      </c>
      <c r="AJ133" s="361">
        <f t="shared" si="64"/>
        <v>0</v>
      </c>
      <c r="AK133" s="361">
        <f t="shared" si="65"/>
        <v>0</v>
      </c>
      <c r="AL133" s="361">
        <f t="shared" si="66"/>
        <v>0</v>
      </c>
      <c r="AM133" s="361">
        <f t="shared" si="67"/>
        <v>0</v>
      </c>
      <c r="AN133" s="361">
        <f t="shared" si="68"/>
        <v>0</v>
      </c>
    </row>
    <row r="134" spans="1:40" hidden="1" outlineLevel="1" x14ac:dyDescent="0.2">
      <c r="A134" s="156">
        <f t="shared" si="78"/>
        <v>126</v>
      </c>
      <c r="B134" s="173" t="s">
        <v>462</v>
      </c>
      <c r="C134" s="376"/>
      <c r="D134" s="376"/>
      <c r="E134" s="376">
        <v>500</v>
      </c>
      <c r="F134" s="376">
        <v>500</v>
      </c>
      <c r="G134" s="376">
        <v>500</v>
      </c>
      <c r="H134" s="376"/>
      <c r="I134" s="376"/>
      <c r="J134" s="376"/>
      <c r="K134" s="376"/>
      <c r="L134" s="376"/>
      <c r="M134" s="376"/>
      <c r="N134" s="376"/>
      <c r="O134" s="155">
        <f t="shared" si="77"/>
        <v>1500</v>
      </c>
      <c r="P134" s="155"/>
      <c r="Q134" s="174">
        <v>42339</v>
      </c>
      <c r="R134" s="156" t="s">
        <v>446</v>
      </c>
      <c r="S134" s="174">
        <v>43100</v>
      </c>
      <c r="T134" s="155"/>
      <c r="U134" s="405">
        <v>42855</v>
      </c>
      <c r="V134" s="405">
        <v>43220</v>
      </c>
      <c r="W134" s="405">
        <v>43585</v>
      </c>
      <c r="X134" s="409"/>
      <c r="Y134" s="409"/>
      <c r="Z134" s="409"/>
      <c r="AA134" s="409"/>
      <c r="AB134" s="409"/>
      <c r="AC134" s="409"/>
      <c r="AD134" s="409"/>
      <c r="AE134" s="361">
        <f t="shared" si="69"/>
        <v>0.67123287671232879</v>
      </c>
      <c r="AF134" s="361">
        <f t="shared" si="60"/>
        <v>0.67123287671232879</v>
      </c>
      <c r="AG134" s="361">
        <f t="shared" si="61"/>
        <v>0.67123287671232879</v>
      </c>
      <c r="AH134" s="361">
        <f t="shared" si="62"/>
        <v>0</v>
      </c>
      <c r="AI134" s="361">
        <f t="shared" si="63"/>
        <v>0</v>
      </c>
      <c r="AJ134" s="361">
        <f t="shared" si="64"/>
        <v>0</v>
      </c>
      <c r="AK134" s="361">
        <f t="shared" si="65"/>
        <v>0</v>
      </c>
      <c r="AL134" s="361">
        <f t="shared" si="66"/>
        <v>0</v>
      </c>
      <c r="AM134" s="361">
        <f t="shared" si="67"/>
        <v>0</v>
      </c>
      <c r="AN134" s="361">
        <f t="shared" si="68"/>
        <v>0</v>
      </c>
    </row>
    <row r="135" spans="1:40" hidden="1" outlineLevel="1" x14ac:dyDescent="0.2">
      <c r="A135" s="156">
        <f t="shared" si="78"/>
        <v>127</v>
      </c>
      <c r="B135" s="173" t="s">
        <v>461</v>
      </c>
      <c r="C135" s="376"/>
      <c r="D135" s="376"/>
      <c r="E135" s="376"/>
      <c r="F135" s="376">
        <v>350</v>
      </c>
      <c r="G135" s="376"/>
      <c r="H135" s="376"/>
      <c r="I135" s="376"/>
      <c r="J135" s="376"/>
      <c r="K135" s="376"/>
      <c r="L135" s="376"/>
      <c r="M135" s="376"/>
      <c r="N135" s="376"/>
      <c r="O135" s="155">
        <f t="shared" si="77"/>
        <v>350</v>
      </c>
      <c r="P135" s="155"/>
      <c r="Q135" s="174">
        <v>43131</v>
      </c>
      <c r="R135" s="156" t="s">
        <v>431</v>
      </c>
      <c r="S135" s="174">
        <v>43830</v>
      </c>
      <c r="T135" s="155"/>
      <c r="U135" s="409"/>
      <c r="V135" s="405">
        <v>43220</v>
      </c>
      <c r="W135" s="409"/>
      <c r="X135" s="409"/>
      <c r="Y135" s="409"/>
      <c r="Z135" s="409"/>
      <c r="AA135" s="409"/>
      <c r="AB135" s="409"/>
      <c r="AC135" s="409"/>
      <c r="AD135" s="409"/>
      <c r="AE135" s="361">
        <f t="shared" si="69"/>
        <v>0</v>
      </c>
      <c r="AF135" s="361">
        <f t="shared" si="60"/>
        <v>0.67123287671232879</v>
      </c>
      <c r="AG135" s="361">
        <f t="shared" si="61"/>
        <v>0</v>
      </c>
      <c r="AH135" s="361">
        <f t="shared" si="62"/>
        <v>0</v>
      </c>
      <c r="AI135" s="361">
        <f t="shared" si="63"/>
        <v>0</v>
      </c>
      <c r="AJ135" s="361">
        <f t="shared" si="64"/>
        <v>0</v>
      </c>
      <c r="AK135" s="361">
        <f t="shared" si="65"/>
        <v>0</v>
      </c>
      <c r="AL135" s="361">
        <f t="shared" si="66"/>
        <v>0</v>
      </c>
      <c r="AM135" s="361">
        <f t="shared" si="67"/>
        <v>0</v>
      </c>
      <c r="AN135" s="361">
        <f t="shared" si="68"/>
        <v>0</v>
      </c>
    </row>
    <row r="136" spans="1:40" hidden="1" outlineLevel="1" x14ac:dyDescent="0.2">
      <c r="A136" s="156">
        <f t="shared" si="78"/>
        <v>128</v>
      </c>
      <c r="B136" s="173" t="s">
        <v>460</v>
      </c>
      <c r="C136" s="376"/>
      <c r="D136" s="376"/>
      <c r="E136" s="376"/>
      <c r="F136" s="376">
        <v>1500</v>
      </c>
      <c r="G136" s="376">
        <v>1500</v>
      </c>
      <c r="H136" s="376">
        <v>1500</v>
      </c>
      <c r="I136" s="376"/>
      <c r="J136" s="376"/>
      <c r="K136" s="376"/>
      <c r="L136" s="376"/>
      <c r="M136" s="376"/>
      <c r="N136" s="376"/>
      <c r="O136" s="155">
        <f t="shared" si="77"/>
        <v>4500</v>
      </c>
      <c r="P136" s="155"/>
      <c r="Q136" s="174"/>
      <c r="S136" s="174">
        <v>43465</v>
      </c>
      <c r="T136" s="155"/>
      <c r="U136" s="409"/>
      <c r="V136" s="405">
        <v>43220</v>
      </c>
      <c r="W136" s="405">
        <v>43585</v>
      </c>
      <c r="X136" s="405">
        <v>44104</v>
      </c>
      <c r="Y136" s="409"/>
      <c r="Z136" s="409"/>
      <c r="AA136" s="409"/>
      <c r="AB136" s="409"/>
      <c r="AC136" s="409"/>
      <c r="AD136" s="409"/>
      <c r="AE136" s="361">
        <f t="shared" si="69"/>
        <v>0</v>
      </c>
      <c r="AF136" s="361">
        <f t="shared" si="60"/>
        <v>0.67123287671232879</v>
      </c>
      <c r="AG136" s="361">
        <f t="shared" si="61"/>
        <v>0.67123287671232879</v>
      </c>
      <c r="AH136" s="361">
        <f t="shared" si="62"/>
        <v>0.25205479452054796</v>
      </c>
      <c r="AI136" s="361">
        <f t="shared" si="63"/>
        <v>0</v>
      </c>
      <c r="AJ136" s="361">
        <f t="shared" si="64"/>
        <v>0</v>
      </c>
      <c r="AK136" s="361">
        <f t="shared" si="65"/>
        <v>0</v>
      </c>
      <c r="AL136" s="361">
        <f t="shared" si="66"/>
        <v>0</v>
      </c>
      <c r="AM136" s="361">
        <f t="shared" si="67"/>
        <v>0</v>
      </c>
      <c r="AN136" s="361">
        <f t="shared" si="68"/>
        <v>0</v>
      </c>
    </row>
    <row r="137" spans="1:40" s="390" customFormat="1" ht="15" collapsed="1" x14ac:dyDescent="0.25">
      <c r="A137" s="381">
        <f t="shared" si="78"/>
        <v>129</v>
      </c>
      <c r="B137" s="387" t="s">
        <v>612</v>
      </c>
      <c r="C137" s="382">
        <f>+SUM(C138:C141)</f>
        <v>0</v>
      </c>
      <c r="D137" s="382">
        <f t="shared" ref="D137:N137" si="79">+SUM(D138:D141)</f>
        <v>0</v>
      </c>
      <c r="E137" s="382">
        <f t="shared" si="79"/>
        <v>0</v>
      </c>
      <c r="F137" s="382">
        <f t="shared" si="79"/>
        <v>3550</v>
      </c>
      <c r="G137" s="382">
        <f t="shared" si="79"/>
        <v>861</v>
      </c>
      <c r="H137" s="382">
        <f t="shared" si="79"/>
        <v>4822</v>
      </c>
      <c r="I137" s="382">
        <f t="shared" si="79"/>
        <v>4641</v>
      </c>
      <c r="J137" s="382">
        <f t="shared" si="79"/>
        <v>475</v>
      </c>
      <c r="K137" s="382">
        <f t="shared" si="79"/>
        <v>0</v>
      </c>
      <c r="L137" s="382">
        <f t="shared" si="79"/>
        <v>0</v>
      </c>
      <c r="M137" s="382">
        <f t="shared" si="79"/>
        <v>0</v>
      </c>
      <c r="N137" s="382">
        <f t="shared" si="79"/>
        <v>0</v>
      </c>
      <c r="O137" s="382">
        <f t="shared" ref="O137" si="80">SUM(C137:M137)</f>
        <v>14349</v>
      </c>
      <c r="P137" s="382"/>
      <c r="Q137" s="388"/>
      <c r="R137" s="381"/>
      <c r="S137" s="388">
        <v>43830</v>
      </c>
      <c r="T137" s="382"/>
      <c r="U137" s="413"/>
      <c r="V137" s="413"/>
      <c r="W137" s="413"/>
      <c r="X137" s="413"/>
      <c r="Y137" s="413"/>
      <c r="Z137" s="413"/>
      <c r="AA137" s="413"/>
      <c r="AB137" s="413"/>
      <c r="AC137" s="413"/>
      <c r="AD137" s="413"/>
      <c r="AE137" s="389">
        <f t="shared" si="69"/>
        <v>0</v>
      </c>
      <c r="AF137" s="389">
        <f t="shared" si="60"/>
        <v>0</v>
      </c>
      <c r="AG137" s="389">
        <f t="shared" si="61"/>
        <v>0</v>
      </c>
      <c r="AH137" s="389">
        <f t="shared" si="62"/>
        <v>0</v>
      </c>
      <c r="AI137" s="389">
        <f t="shared" si="63"/>
        <v>0</v>
      </c>
      <c r="AJ137" s="389">
        <f t="shared" si="64"/>
        <v>0</v>
      </c>
      <c r="AK137" s="389">
        <f t="shared" si="65"/>
        <v>0</v>
      </c>
      <c r="AL137" s="389">
        <f t="shared" si="66"/>
        <v>0</v>
      </c>
      <c r="AM137" s="389">
        <f t="shared" si="67"/>
        <v>0</v>
      </c>
      <c r="AN137" s="389">
        <f t="shared" si="68"/>
        <v>0</v>
      </c>
    </row>
    <row r="138" spans="1:40" outlineLevel="1" x14ac:dyDescent="0.2">
      <c r="A138" s="156">
        <f t="shared" si="78"/>
        <v>130</v>
      </c>
      <c r="B138" s="173" t="s">
        <v>613</v>
      </c>
      <c r="C138" s="376"/>
      <c r="D138" s="376"/>
      <c r="E138" s="376"/>
      <c r="F138" s="376"/>
      <c r="G138" s="376">
        <v>20</v>
      </c>
      <c r="H138" s="376">
        <v>950</v>
      </c>
      <c r="I138" s="376">
        <v>3308</v>
      </c>
      <c r="J138" s="376">
        <v>475</v>
      </c>
      <c r="K138" s="376"/>
      <c r="L138" s="376"/>
      <c r="M138" s="376"/>
      <c r="N138" s="376"/>
      <c r="O138" s="155"/>
      <c r="P138" s="155"/>
      <c r="Q138" s="174"/>
      <c r="R138" s="156"/>
      <c r="S138" s="174"/>
      <c r="T138" s="155"/>
      <c r="U138" s="409"/>
      <c r="V138" s="409"/>
      <c r="W138" s="405">
        <v>43585</v>
      </c>
      <c r="X138" s="405">
        <v>44104</v>
      </c>
      <c r="Y138" s="405">
        <v>44469</v>
      </c>
      <c r="Z138" s="405">
        <v>44834</v>
      </c>
      <c r="AA138" s="409"/>
      <c r="AB138" s="409"/>
      <c r="AC138" s="409"/>
      <c r="AD138" s="409"/>
      <c r="AE138" s="361">
        <f t="shared" si="69"/>
        <v>0</v>
      </c>
      <c r="AF138" s="361">
        <f t="shared" si="60"/>
        <v>0</v>
      </c>
      <c r="AG138" s="361">
        <f t="shared" si="61"/>
        <v>0.67123287671232879</v>
      </c>
      <c r="AH138" s="361">
        <f t="shared" si="62"/>
        <v>0.25205479452054796</v>
      </c>
      <c r="AI138" s="361">
        <f t="shared" si="63"/>
        <v>0.25205479452054796</v>
      </c>
      <c r="AJ138" s="361">
        <f t="shared" si="64"/>
        <v>0.25205479452054796</v>
      </c>
      <c r="AK138" s="361">
        <f t="shared" si="65"/>
        <v>0</v>
      </c>
      <c r="AL138" s="361">
        <f t="shared" si="66"/>
        <v>0</v>
      </c>
      <c r="AM138" s="361">
        <f t="shared" si="67"/>
        <v>0</v>
      </c>
      <c r="AN138" s="361">
        <f t="shared" si="68"/>
        <v>0</v>
      </c>
    </row>
    <row r="139" spans="1:40" outlineLevel="1" x14ac:dyDescent="0.2">
      <c r="A139" s="156">
        <f t="shared" si="78"/>
        <v>131</v>
      </c>
      <c r="B139" s="173" t="s">
        <v>614</v>
      </c>
      <c r="C139" s="376"/>
      <c r="D139" s="376"/>
      <c r="E139" s="376"/>
      <c r="F139" s="376">
        <v>2293</v>
      </c>
      <c r="G139" s="376"/>
      <c r="H139" s="376">
        <v>2986</v>
      </c>
      <c r="I139" s="376">
        <v>565</v>
      </c>
      <c r="J139" s="376"/>
      <c r="K139" s="376"/>
      <c r="L139" s="376"/>
      <c r="M139" s="376"/>
      <c r="N139" s="376"/>
      <c r="O139" s="155"/>
      <c r="P139" s="155"/>
      <c r="Q139" s="174"/>
      <c r="R139" s="156"/>
      <c r="S139" s="174"/>
      <c r="T139" s="155"/>
      <c r="U139" s="409"/>
      <c r="V139" s="405">
        <v>43220</v>
      </c>
      <c r="W139" s="409"/>
      <c r="X139" s="405">
        <v>44104</v>
      </c>
      <c r="Y139" s="405">
        <v>44469</v>
      </c>
      <c r="Z139" s="409"/>
      <c r="AA139" s="409"/>
      <c r="AB139" s="409"/>
      <c r="AC139" s="409"/>
      <c r="AD139" s="409"/>
      <c r="AE139" s="361">
        <f t="shared" si="69"/>
        <v>0</v>
      </c>
      <c r="AF139" s="361">
        <f t="shared" si="60"/>
        <v>0.67123287671232879</v>
      </c>
      <c r="AG139" s="361">
        <f t="shared" si="61"/>
        <v>0</v>
      </c>
      <c r="AH139" s="361">
        <f t="shared" si="62"/>
        <v>0.25205479452054796</v>
      </c>
      <c r="AI139" s="361">
        <f t="shared" si="63"/>
        <v>0.25205479452054796</v>
      </c>
      <c r="AJ139" s="361">
        <f t="shared" si="64"/>
        <v>0</v>
      </c>
      <c r="AK139" s="361">
        <f t="shared" si="65"/>
        <v>0</v>
      </c>
      <c r="AL139" s="361">
        <f t="shared" si="66"/>
        <v>0</v>
      </c>
      <c r="AM139" s="361">
        <f t="shared" si="67"/>
        <v>0</v>
      </c>
      <c r="AN139" s="361">
        <f t="shared" si="68"/>
        <v>0</v>
      </c>
    </row>
    <row r="140" spans="1:40" outlineLevel="1" x14ac:dyDescent="0.2">
      <c r="A140" s="156">
        <f t="shared" si="78"/>
        <v>132</v>
      </c>
      <c r="B140" s="173" t="s">
        <v>615</v>
      </c>
      <c r="C140" s="376"/>
      <c r="D140" s="376"/>
      <c r="E140" s="376"/>
      <c r="F140" s="376">
        <v>1257</v>
      </c>
      <c r="G140" s="376">
        <v>668</v>
      </c>
      <c r="H140" s="376">
        <v>667</v>
      </c>
      <c r="I140" s="376">
        <v>565</v>
      </c>
      <c r="J140" s="376"/>
      <c r="K140" s="376"/>
      <c r="L140" s="376"/>
      <c r="M140" s="376"/>
      <c r="N140" s="376"/>
      <c r="O140" s="155"/>
      <c r="P140" s="155"/>
      <c r="Q140" s="174"/>
      <c r="R140" s="156"/>
      <c r="S140" s="174"/>
      <c r="T140" s="155"/>
      <c r="U140" s="409"/>
      <c r="V140" s="405">
        <v>43220</v>
      </c>
      <c r="W140" s="405">
        <v>43585</v>
      </c>
      <c r="X140" s="405">
        <v>44104</v>
      </c>
      <c r="Y140" s="405">
        <v>44469</v>
      </c>
      <c r="Z140" s="409"/>
      <c r="AA140" s="409"/>
      <c r="AB140" s="409"/>
      <c r="AC140" s="409"/>
      <c r="AD140" s="409"/>
      <c r="AE140" s="361">
        <f t="shared" si="69"/>
        <v>0</v>
      </c>
      <c r="AF140" s="361">
        <f t="shared" ref="AF140:AF170" si="81">IF(ISBLANK(V140),,(DATE(AF$6,12,31)-V140)/365)</f>
        <v>0.67123287671232879</v>
      </c>
      <c r="AG140" s="361">
        <f t="shared" ref="AG140:AG170" si="82">IF(ISBLANK(W140),,(DATE(AG$6,12,31)-W140)/365)</f>
        <v>0.67123287671232879</v>
      </c>
      <c r="AH140" s="361">
        <f t="shared" ref="AH140:AH170" si="83">IF(ISBLANK(X140),,(DATE(AH$6,12,31)-X140)/365)</f>
        <v>0.25205479452054796</v>
      </c>
      <c r="AI140" s="361">
        <f t="shared" ref="AI140:AI170" si="84">IF(ISBLANK(Y140),,(DATE(AI$6,12,31)-Y140)/365)</f>
        <v>0.25205479452054796</v>
      </c>
      <c r="AJ140" s="361">
        <f t="shared" ref="AJ140:AJ170" si="85">IF(ISBLANK(Z140),,(DATE(AJ$6,12,31)-Z140)/365)</f>
        <v>0</v>
      </c>
      <c r="AK140" s="361">
        <f t="shared" ref="AK140:AK170" si="86">IF(ISBLANK(AA140),,(DATE(AK$6,12,31)-AA140)/365)</f>
        <v>0</v>
      </c>
      <c r="AL140" s="361">
        <f t="shared" ref="AL140:AL170" si="87">IF(ISBLANK(AB140),,(DATE(AL$6,12,31)-AB140)/365)</f>
        <v>0</v>
      </c>
      <c r="AM140" s="361">
        <f t="shared" ref="AM140:AM170" si="88">IF(ISBLANK(AC140),,(DATE(AM$6,12,31)-AC140)/365)</f>
        <v>0</v>
      </c>
      <c r="AN140" s="361">
        <f t="shared" ref="AN140:AN170" si="89">IF(ISBLANK(AD140),,(DATE(AN$6,12,31)-AD140)/365)</f>
        <v>0</v>
      </c>
    </row>
    <row r="141" spans="1:40" ht="15" customHeight="1" outlineLevel="1" x14ac:dyDescent="0.2">
      <c r="A141" s="156">
        <f t="shared" si="78"/>
        <v>133</v>
      </c>
      <c r="B141" s="173" t="s">
        <v>616</v>
      </c>
      <c r="C141" s="376"/>
      <c r="D141" s="376"/>
      <c r="E141" s="376"/>
      <c r="F141" s="376"/>
      <c r="G141" s="376">
        <v>173</v>
      </c>
      <c r="H141" s="376">
        <v>219</v>
      </c>
      <c r="I141" s="376">
        <v>203</v>
      </c>
      <c r="J141" s="376"/>
      <c r="K141" s="376"/>
      <c r="L141" s="376"/>
      <c r="M141" s="376"/>
      <c r="N141" s="376"/>
      <c r="O141" s="155"/>
      <c r="P141" s="155"/>
      <c r="Q141" s="174"/>
      <c r="R141" s="156"/>
      <c r="S141" s="174"/>
      <c r="T141" s="155"/>
      <c r="U141" s="409"/>
      <c r="V141" s="409"/>
      <c r="W141" s="405">
        <v>43585</v>
      </c>
      <c r="X141" s="405">
        <v>44104</v>
      </c>
      <c r="Y141" s="405">
        <v>44469</v>
      </c>
      <c r="Z141" s="409"/>
      <c r="AA141" s="409"/>
      <c r="AB141" s="409"/>
      <c r="AC141" s="409"/>
      <c r="AD141" s="409"/>
      <c r="AE141" s="361">
        <f t="shared" ref="AE141:AE170" si="90">IF(ISBLANK(U141),,(DATE(AE$6,12,31)-U141)/365)</f>
        <v>0</v>
      </c>
      <c r="AF141" s="361">
        <f t="shared" si="81"/>
        <v>0</v>
      </c>
      <c r="AG141" s="361">
        <f t="shared" si="82"/>
        <v>0.67123287671232879</v>
      </c>
      <c r="AH141" s="361">
        <f t="shared" si="83"/>
        <v>0.25205479452054796</v>
      </c>
      <c r="AI141" s="361">
        <f t="shared" si="84"/>
        <v>0.25205479452054796</v>
      </c>
      <c r="AJ141" s="361">
        <f t="shared" si="85"/>
        <v>0</v>
      </c>
      <c r="AK141" s="361">
        <f t="shared" si="86"/>
        <v>0</v>
      </c>
      <c r="AL141" s="361">
        <f t="shared" si="87"/>
        <v>0</v>
      </c>
      <c r="AM141" s="361">
        <f t="shared" si="88"/>
        <v>0</v>
      </c>
      <c r="AN141" s="361">
        <f t="shared" si="89"/>
        <v>0</v>
      </c>
    </row>
    <row r="142" spans="1:40" outlineLevel="1" x14ac:dyDescent="0.2">
      <c r="A142" s="156">
        <f t="shared" si="78"/>
        <v>134</v>
      </c>
      <c r="B142" s="173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155"/>
      <c r="P142" s="155"/>
      <c r="Q142" s="174"/>
      <c r="R142" s="156"/>
      <c r="S142" s="174"/>
      <c r="T142" s="155"/>
      <c r="U142" s="409"/>
      <c r="V142" s="409"/>
      <c r="W142" s="409"/>
      <c r="X142" s="409"/>
      <c r="Y142" s="409"/>
      <c r="Z142" s="409"/>
      <c r="AA142" s="409"/>
      <c r="AB142" s="409"/>
      <c r="AC142" s="409"/>
      <c r="AD142" s="409"/>
      <c r="AE142" s="361">
        <f t="shared" si="90"/>
        <v>0</v>
      </c>
      <c r="AF142" s="361">
        <f t="shared" si="81"/>
        <v>0</v>
      </c>
      <c r="AG142" s="361">
        <f t="shared" si="82"/>
        <v>0</v>
      </c>
      <c r="AH142" s="361">
        <f t="shared" si="83"/>
        <v>0</v>
      </c>
      <c r="AI142" s="361">
        <f t="shared" si="84"/>
        <v>0</v>
      </c>
      <c r="AJ142" s="361">
        <f t="shared" si="85"/>
        <v>0</v>
      </c>
      <c r="AK142" s="361">
        <f t="shared" si="86"/>
        <v>0</v>
      </c>
      <c r="AL142" s="361">
        <f t="shared" si="87"/>
        <v>0</v>
      </c>
      <c r="AM142" s="361">
        <f t="shared" si="88"/>
        <v>0</v>
      </c>
      <c r="AN142" s="361">
        <f t="shared" si="89"/>
        <v>0</v>
      </c>
    </row>
    <row r="143" spans="1:40" s="385" customFormat="1" ht="15" x14ac:dyDescent="0.25">
      <c r="A143" s="380">
        <f>+A142+1</f>
        <v>135</v>
      </c>
      <c r="B143" s="381" t="s">
        <v>459</v>
      </c>
      <c r="C143" s="382">
        <f t="shared" ref="C143:N143" si="91">SUM(C144:C158)</f>
        <v>407</v>
      </c>
      <c r="D143" s="382">
        <f t="shared" si="91"/>
        <v>3952</v>
      </c>
      <c r="E143" s="382">
        <f t="shared" si="91"/>
        <v>4052</v>
      </c>
      <c r="F143" s="382">
        <f t="shared" si="91"/>
        <v>6327</v>
      </c>
      <c r="G143" s="382">
        <f t="shared" si="91"/>
        <v>2078</v>
      </c>
      <c r="H143" s="382">
        <f t="shared" si="91"/>
        <v>2849</v>
      </c>
      <c r="I143" s="382">
        <f t="shared" si="91"/>
        <v>0</v>
      </c>
      <c r="J143" s="382">
        <f t="shared" si="91"/>
        <v>0</v>
      </c>
      <c r="K143" s="382">
        <f t="shared" si="91"/>
        <v>0</v>
      </c>
      <c r="L143" s="382">
        <f t="shared" si="91"/>
        <v>0</v>
      </c>
      <c r="M143" s="382">
        <f t="shared" si="91"/>
        <v>0</v>
      </c>
      <c r="N143" s="382">
        <f t="shared" si="91"/>
        <v>0</v>
      </c>
      <c r="O143" s="382">
        <f>SUM(C143:N143)</f>
        <v>19665</v>
      </c>
      <c r="P143" s="383"/>
      <c r="Q143" s="384"/>
      <c r="S143" s="384"/>
      <c r="T143" s="383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386">
        <f t="shared" si="90"/>
        <v>0</v>
      </c>
      <c r="AF143" s="386">
        <f t="shared" si="81"/>
        <v>0</v>
      </c>
      <c r="AG143" s="386">
        <f t="shared" si="82"/>
        <v>0</v>
      </c>
      <c r="AH143" s="386">
        <f t="shared" si="83"/>
        <v>0</v>
      </c>
      <c r="AI143" s="386">
        <f t="shared" si="84"/>
        <v>0</v>
      </c>
      <c r="AJ143" s="386">
        <f t="shared" si="85"/>
        <v>0</v>
      </c>
      <c r="AK143" s="386">
        <f t="shared" si="86"/>
        <v>0</v>
      </c>
      <c r="AL143" s="386">
        <f t="shared" si="87"/>
        <v>0</v>
      </c>
      <c r="AM143" s="386">
        <f t="shared" si="88"/>
        <v>0</v>
      </c>
      <c r="AN143" s="386">
        <f t="shared" si="89"/>
        <v>0</v>
      </c>
    </row>
    <row r="144" spans="1:40" outlineLevel="1" x14ac:dyDescent="0.2">
      <c r="A144" s="156">
        <f t="shared" si="78"/>
        <v>136</v>
      </c>
      <c r="B144" s="173" t="s">
        <v>458</v>
      </c>
      <c r="C144" s="376">
        <v>407</v>
      </c>
      <c r="D144" s="376">
        <v>3029</v>
      </c>
      <c r="E144" s="376">
        <v>633</v>
      </c>
      <c r="F144" s="376"/>
      <c r="G144" s="376"/>
      <c r="H144" s="376"/>
      <c r="I144" s="376"/>
      <c r="J144" s="376"/>
      <c r="K144" s="376"/>
      <c r="L144" s="376"/>
      <c r="M144" s="376"/>
      <c r="N144" s="376"/>
      <c r="O144" s="155">
        <f>SUM(C144:N144)</f>
        <v>4069</v>
      </c>
      <c r="P144" s="155"/>
      <c r="Q144" s="174">
        <v>42582</v>
      </c>
      <c r="R144" s="156" t="s">
        <v>446</v>
      </c>
      <c r="S144" s="174">
        <v>42947</v>
      </c>
      <c r="T144" s="155"/>
      <c r="U144" s="405">
        <v>42855</v>
      </c>
      <c r="V144" s="409"/>
      <c r="W144" s="409"/>
      <c r="X144" s="409"/>
      <c r="Y144" s="409"/>
      <c r="Z144" s="409"/>
      <c r="AA144" s="409"/>
      <c r="AB144" s="409"/>
      <c r="AC144" s="409"/>
      <c r="AD144" s="409"/>
      <c r="AE144" s="361">
        <f t="shared" si="90"/>
        <v>0.67123287671232879</v>
      </c>
      <c r="AF144" s="361">
        <f t="shared" si="81"/>
        <v>0</v>
      </c>
      <c r="AG144" s="361">
        <f t="shared" si="82"/>
        <v>0</v>
      </c>
      <c r="AH144" s="361">
        <f t="shared" si="83"/>
        <v>0</v>
      </c>
      <c r="AI144" s="361">
        <f t="shared" si="84"/>
        <v>0</v>
      </c>
      <c r="AJ144" s="361">
        <f t="shared" si="85"/>
        <v>0</v>
      </c>
      <c r="AK144" s="361">
        <f t="shared" si="86"/>
        <v>0</v>
      </c>
      <c r="AL144" s="361">
        <f t="shared" si="87"/>
        <v>0</v>
      </c>
      <c r="AM144" s="361">
        <f t="shared" si="88"/>
        <v>0</v>
      </c>
      <c r="AN144" s="361">
        <f t="shared" si="89"/>
        <v>0</v>
      </c>
    </row>
    <row r="145" spans="1:40" outlineLevel="1" x14ac:dyDescent="0.2">
      <c r="A145" s="156">
        <f t="shared" si="78"/>
        <v>137</v>
      </c>
      <c r="B145" s="173" t="s">
        <v>457</v>
      </c>
      <c r="C145" s="377"/>
      <c r="D145" s="376">
        <v>407</v>
      </c>
      <c r="E145" s="376">
        <v>2768</v>
      </c>
      <c r="F145" s="376">
        <v>894</v>
      </c>
      <c r="G145" s="376"/>
      <c r="H145" s="376"/>
      <c r="I145" s="376"/>
      <c r="J145" s="376"/>
      <c r="K145" s="376"/>
      <c r="L145" s="376"/>
      <c r="M145" s="376"/>
      <c r="N145" s="376"/>
      <c r="O145" s="155">
        <f t="shared" ref="O145:O158" si="92">SUM(C145:N145)</f>
        <v>4069</v>
      </c>
      <c r="P145" s="155"/>
      <c r="Q145" s="174">
        <v>42582</v>
      </c>
      <c r="R145" s="156" t="s">
        <v>446</v>
      </c>
      <c r="S145" s="174">
        <v>42947</v>
      </c>
      <c r="T145" s="155"/>
      <c r="U145" s="405">
        <v>42855</v>
      </c>
      <c r="V145" s="405">
        <v>43220</v>
      </c>
      <c r="W145" s="409"/>
      <c r="X145" s="409"/>
      <c r="Y145" s="409"/>
      <c r="Z145" s="409"/>
      <c r="AA145" s="409"/>
      <c r="AB145" s="409"/>
      <c r="AC145" s="409"/>
      <c r="AD145" s="409"/>
      <c r="AE145" s="361">
        <f t="shared" si="90"/>
        <v>0.67123287671232879</v>
      </c>
      <c r="AF145" s="361">
        <f t="shared" si="81"/>
        <v>0.67123287671232879</v>
      </c>
      <c r="AG145" s="361">
        <f t="shared" si="82"/>
        <v>0</v>
      </c>
      <c r="AH145" s="361">
        <f t="shared" si="83"/>
        <v>0</v>
      </c>
      <c r="AI145" s="361">
        <f t="shared" si="84"/>
        <v>0</v>
      </c>
      <c r="AJ145" s="361">
        <f t="shared" si="85"/>
        <v>0</v>
      </c>
      <c r="AK145" s="361">
        <f t="shared" si="86"/>
        <v>0</v>
      </c>
      <c r="AL145" s="361">
        <f t="shared" si="87"/>
        <v>0</v>
      </c>
      <c r="AM145" s="361">
        <f t="shared" si="88"/>
        <v>0</v>
      </c>
      <c r="AN145" s="361">
        <f t="shared" si="89"/>
        <v>0</v>
      </c>
    </row>
    <row r="146" spans="1:40" outlineLevel="1" x14ac:dyDescent="0.2">
      <c r="A146" s="156">
        <f t="shared" si="78"/>
        <v>138</v>
      </c>
      <c r="B146" s="173" t="s">
        <v>456</v>
      </c>
      <c r="C146" s="376"/>
      <c r="D146" s="376"/>
      <c r="E146" s="376"/>
      <c r="F146" s="376">
        <v>3746</v>
      </c>
      <c r="G146" s="376">
        <v>323</v>
      </c>
      <c r="H146" s="376"/>
      <c r="I146" s="376"/>
      <c r="J146" s="376"/>
      <c r="K146" s="376"/>
      <c r="L146" s="376"/>
      <c r="M146" s="376"/>
      <c r="N146" s="376"/>
      <c r="O146" s="155">
        <f t="shared" si="92"/>
        <v>4069</v>
      </c>
      <c r="P146" s="155"/>
      <c r="Q146" s="174">
        <v>42551</v>
      </c>
      <c r="R146" s="156" t="s">
        <v>446</v>
      </c>
      <c r="S146" s="174">
        <v>42582</v>
      </c>
      <c r="T146" s="155"/>
      <c r="U146" s="409"/>
      <c r="V146" s="405">
        <v>43220</v>
      </c>
      <c r="W146" s="405">
        <v>43585</v>
      </c>
      <c r="X146" s="409"/>
      <c r="Y146" s="409"/>
      <c r="Z146" s="409"/>
      <c r="AA146" s="409"/>
      <c r="AB146" s="409"/>
      <c r="AC146" s="409"/>
      <c r="AD146" s="409"/>
      <c r="AE146" s="361">
        <f t="shared" si="90"/>
        <v>0</v>
      </c>
      <c r="AF146" s="361">
        <f t="shared" si="81"/>
        <v>0.67123287671232879</v>
      </c>
      <c r="AG146" s="361">
        <f t="shared" si="82"/>
        <v>0.67123287671232879</v>
      </c>
      <c r="AH146" s="361">
        <f t="shared" si="83"/>
        <v>0</v>
      </c>
      <c r="AI146" s="361">
        <f t="shared" si="84"/>
        <v>0</v>
      </c>
      <c r="AJ146" s="361">
        <f t="shared" si="85"/>
        <v>0</v>
      </c>
      <c r="AK146" s="361">
        <f t="shared" si="86"/>
        <v>0</v>
      </c>
      <c r="AL146" s="361">
        <f t="shared" si="87"/>
        <v>0</v>
      </c>
      <c r="AM146" s="361">
        <f t="shared" si="88"/>
        <v>0</v>
      </c>
      <c r="AN146" s="361">
        <f t="shared" si="89"/>
        <v>0</v>
      </c>
    </row>
    <row r="147" spans="1:40" outlineLevel="1" x14ac:dyDescent="0.2">
      <c r="A147" s="156">
        <f t="shared" si="78"/>
        <v>139</v>
      </c>
      <c r="B147" s="173" t="s">
        <v>455</v>
      </c>
      <c r="C147" s="377"/>
      <c r="D147" s="376"/>
      <c r="E147" s="376"/>
      <c r="F147" s="376">
        <v>0</v>
      </c>
      <c r="G147" s="376">
        <v>1220</v>
      </c>
      <c r="H147" s="377">
        <v>2849</v>
      </c>
      <c r="I147" s="376"/>
      <c r="J147" s="376"/>
      <c r="K147" s="376"/>
      <c r="L147" s="376"/>
      <c r="M147" s="376"/>
      <c r="N147" s="376"/>
      <c r="O147" s="155">
        <f t="shared" si="92"/>
        <v>4069</v>
      </c>
      <c r="P147" s="155"/>
      <c r="Q147" s="174">
        <v>43831</v>
      </c>
      <c r="R147" s="156" t="s">
        <v>446</v>
      </c>
      <c r="S147" s="174">
        <v>43404</v>
      </c>
      <c r="T147" s="155"/>
      <c r="U147" s="409"/>
      <c r="V147" s="409"/>
      <c r="W147" s="405">
        <v>43585</v>
      </c>
      <c r="X147" s="405">
        <v>44104</v>
      </c>
      <c r="Y147" s="409"/>
      <c r="Z147" s="409"/>
      <c r="AA147" s="409"/>
      <c r="AB147" s="409"/>
      <c r="AC147" s="409"/>
      <c r="AD147" s="409"/>
      <c r="AE147" s="361">
        <f t="shared" si="90"/>
        <v>0</v>
      </c>
      <c r="AF147" s="361">
        <f t="shared" si="81"/>
        <v>0</v>
      </c>
      <c r="AG147" s="361">
        <f t="shared" si="82"/>
        <v>0.67123287671232879</v>
      </c>
      <c r="AH147" s="361">
        <f t="shared" si="83"/>
        <v>0.25205479452054796</v>
      </c>
      <c r="AI147" s="361">
        <f t="shared" si="84"/>
        <v>0</v>
      </c>
      <c r="AJ147" s="361">
        <f t="shared" si="85"/>
        <v>0</v>
      </c>
      <c r="AK147" s="361">
        <f t="shared" si="86"/>
        <v>0</v>
      </c>
      <c r="AL147" s="361">
        <f t="shared" si="87"/>
        <v>0</v>
      </c>
      <c r="AM147" s="361">
        <f t="shared" si="88"/>
        <v>0</v>
      </c>
      <c r="AN147" s="361">
        <f t="shared" si="89"/>
        <v>0</v>
      </c>
    </row>
    <row r="148" spans="1:40" outlineLevel="1" x14ac:dyDescent="0.2">
      <c r="A148" s="156">
        <f t="shared" si="78"/>
        <v>140</v>
      </c>
      <c r="B148" s="173" t="s">
        <v>617</v>
      </c>
      <c r="C148" s="377"/>
      <c r="D148" s="376">
        <v>385</v>
      </c>
      <c r="E148" s="376">
        <v>43</v>
      </c>
      <c r="F148" s="376"/>
      <c r="G148" s="376"/>
      <c r="H148" s="377"/>
      <c r="I148" s="376"/>
      <c r="J148" s="376"/>
      <c r="K148" s="376"/>
      <c r="L148" s="376"/>
      <c r="M148" s="376"/>
      <c r="N148" s="376"/>
      <c r="O148" s="155">
        <f t="shared" si="92"/>
        <v>428</v>
      </c>
      <c r="P148" s="155"/>
      <c r="Q148" s="174">
        <v>43831</v>
      </c>
      <c r="R148" s="156" t="s">
        <v>446</v>
      </c>
      <c r="S148" s="174">
        <v>43677</v>
      </c>
      <c r="T148" s="155"/>
      <c r="U148" s="405">
        <v>42855</v>
      </c>
      <c r="V148" s="409"/>
      <c r="W148" s="409"/>
      <c r="X148" s="409"/>
      <c r="Y148" s="409"/>
      <c r="Z148" s="409"/>
      <c r="AA148" s="409"/>
      <c r="AB148" s="409"/>
      <c r="AC148" s="409"/>
      <c r="AD148" s="409"/>
      <c r="AE148" s="361">
        <f t="shared" si="90"/>
        <v>0.67123287671232879</v>
      </c>
      <c r="AF148" s="361">
        <f t="shared" si="81"/>
        <v>0</v>
      </c>
      <c r="AG148" s="361">
        <f t="shared" si="82"/>
        <v>0</v>
      </c>
      <c r="AH148" s="361">
        <f t="shared" si="83"/>
        <v>0</v>
      </c>
      <c r="AI148" s="361">
        <f t="shared" si="84"/>
        <v>0</v>
      </c>
      <c r="AJ148" s="361">
        <f t="shared" si="85"/>
        <v>0</v>
      </c>
      <c r="AK148" s="361">
        <f t="shared" si="86"/>
        <v>0</v>
      </c>
      <c r="AL148" s="361">
        <f t="shared" si="87"/>
        <v>0</v>
      </c>
      <c r="AM148" s="361">
        <f t="shared" si="88"/>
        <v>0</v>
      </c>
      <c r="AN148" s="361">
        <f t="shared" si="89"/>
        <v>0</v>
      </c>
    </row>
    <row r="149" spans="1:40" outlineLevel="1" x14ac:dyDescent="0.2">
      <c r="A149" s="156">
        <f t="shared" si="78"/>
        <v>141</v>
      </c>
      <c r="B149" s="173" t="s">
        <v>618</v>
      </c>
      <c r="C149" s="377"/>
      <c r="D149" s="376"/>
      <c r="E149" s="376"/>
      <c r="F149" s="376">
        <v>350</v>
      </c>
      <c r="G149" s="376">
        <v>150</v>
      </c>
      <c r="H149" s="376"/>
      <c r="I149" s="376"/>
      <c r="J149" s="376"/>
      <c r="K149" s="376"/>
      <c r="L149" s="376"/>
      <c r="M149" s="376"/>
      <c r="N149" s="376"/>
      <c r="O149" s="155">
        <f t="shared" si="92"/>
        <v>500</v>
      </c>
      <c r="P149" s="155"/>
      <c r="Q149" s="174">
        <v>42032</v>
      </c>
      <c r="R149" s="156" t="s">
        <v>446</v>
      </c>
      <c r="S149" s="174">
        <v>43100</v>
      </c>
      <c r="T149" s="155"/>
      <c r="U149" s="409"/>
      <c r="V149" s="405">
        <v>43220</v>
      </c>
      <c r="W149" s="405">
        <v>43585</v>
      </c>
      <c r="X149" s="409"/>
      <c r="Y149" s="409"/>
      <c r="Z149" s="409"/>
      <c r="AA149" s="409"/>
      <c r="AB149" s="409"/>
      <c r="AC149" s="409"/>
      <c r="AD149" s="409"/>
      <c r="AE149" s="361">
        <f t="shared" si="90"/>
        <v>0</v>
      </c>
      <c r="AF149" s="361">
        <f t="shared" si="81"/>
        <v>0.67123287671232879</v>
      </c>
      <c r="AG149" s="361">
        <f t="shared" si="82"/>
        <v>0.67123287671232879</v>
      </c>
      <c r="AH149" s="361">
        <f t="shared" si="83"/>
        <v>0</v>
      </c>
      <c r="AI149" s="361">
        <f t="shared" si="84"/>
        <v>0</v>
      </c>
      <c r="AJ149" s="361">
        <f t="shared" si="85"/>
        <v>0</v>
      </c>
      <c r="AK149" s="361">
        <f t="shared" si="86"/>
        <v>0</v>
      </c>
      <c r="AL149" s="361">
        <f t="shared" si="87"/>
        <v>0</v>
      </c>
      <c r="AM149" s="361">
        <f t="shared" si="88"/>
        <v>0</v>
      </c>
      <c r="AN149" s="361">
        <f t="shared" si="89"/>
        <v>0</v>
      </c>
    </row>
    <row r="150" spans="1:40" outlineLevel="1" x14ac:dyDescent="0.2">
      <c r="A150" s="156">
        <f t="shared" si="78"/>
        <v>142</v>
      </c>
      <c r="B150" s="173" t="s">
        <v>454</v>
      </c>
      <c r="C150" s="377"/>
      <c r="D150" s="376"/>
      <c r="E150" s="377">
        <v>95</v>
      </c>
      <c r="F150" s="376"/>
      <c r="G150" s="376"/>
      <c r="H150" s="376"/>
      <c r="I150" s="376"/>
      <c r="J150" s="376"/>
      <c r="K150" s="376"/>
      <c r="L150" s="376"/>
      <c r="M150" s="376"/>
      <c r="N150" s="376"/>
      <c r="O150" s="155">
        <f t="shared" si="92"/>
        <v>95</v>
      </c>
      <c r="P150" s="155"/>
      <c r="Q150" s="174">
        <v>42032</v>
      </c>
      <c r="R150" s="156" t="s">
        <v>446</v>
      </c>
      <c r="S150" s="174">
        <v>43830</v>
      </c>
      <c r="T150" s="155"/>
      <c r="U150" s="405">
        <v>42855</v>
      </c>
      <c r="V150" s="409"/>
      <c r="W150" s="409"/>
      <c r="X150" s="409"/>
      <c r="Y150" s="409"/>
      <c r="Z150" s="409"/>
      <c r="AA150" s="409"/>
      <c r="AB150" s="409"/>
      <c r="AC150" s="409"/>
      <c r="AD150" s="409"/>
      <c r="AE150" s="361">
        <f t="shared" si="90"/>
        <v>0.67123287671232879</v>
      </c>
      <c r="AF150" s="361">
        <f t="shared" si="81"/>
        <v>0</v>
      </c>
      <c r="AG150" s="361">
        <f t="shared" si="82"/>
        <v>0</v>
      </c>
      <c r="AH150" s="361">
        <f t="shared" si="83"/>
        <v>0</v>
      </c>
      <c r="AI150" s="361">
        <f t="shared" si="84"/>
        <v>0</v>
      </c>
      <c r="AJ150" s="361">
        <f t="shared" si="85"/>
        <v>0</v>
      </c>
      <c r="AK150" s="361">
        <f t="shared" si="86"/>
        <v>0</v>
      </c>
      <c r="AL150" s="361">
        <f t="shared" si="87"/>
        <v>0</v>
      </c>
      <c r="AM150" s="361">
        <f t="shared" si="88"/>
        <v>0</v>
      </c>
      <c r="AN150" s="361">
        <f t="shared" si="89"/>
        <v>0</v>
      </c>
    </row>
    <row r="151" spans="1:40" outlineLevel="1" x14ac:dyDescent="0.2">
      <c r="A151" s="156">
        <f t="shared" si="78"/>
        <v>143</v>
      </c>
      <c r="B151" s="173" t="s">
        <v>453</v>
      </c>
      <c r="C151" s="376"/>
      <c r="D151" s="376"/>
      <c r="E151" s="376">
        <v>141</v>
      </c>
      <c r="F151" s="376"/>
      <c r="G151" s="376"/>
      <c r="H151" s="376"/>
      <c r="I151" s="376"/>
      <c r="J151" s="376"/>
      <c r="K151" s="376"/>
      <c r="L151" s="376"/>
      <c r="M151" s="376"/>
      <c r="N151" s="376"/>
      <c r="O151" s="155">
        <f t="shared" si="92"/>
        <v>141</v>
      </c>
      <c r="P151" s="155"/>
      <c r="Q151" s="174">
        <v>42705</v>
      </c>
      <c r="R151" s="156" t="s">
        <v>446</v>
      </c>
      <c r="S151" s="174">
        <v>43100</v>
      </c>
      <c r="T151" s="155"/>
      <c r="U151" s="405">
        <v>42855</v>
      </c>
      <c r="V151" s="409"/>
      <c r="W151" s="409"/>
      <c r="X151" s="409"/>
      <c r="Y151" s="409"/>
      <c r="Z151" s="409"/>
      <c r="AA151" s="409"/>
      <c r="AB151" s="409"/>
      <c r="AC151" s="409"/>
      <c r="AD151" s="409"/>
      <c r="AE151" s="361">
        <f t="shared" si="90"/>
        <v>0.67123287671232879</v>
      </c>
      <c r="AF151" s="361">
        <f t="shared" si="81"/>
        <v>0</v>
      </c>
      <c r="AG151" s="361">
        <f t="shared" si="82"/>
        <v>0</v>
      </c>
      <c r="AH151" s="361">
        <f t="shared" si="83"/>
        <v>0</v>
      </c>
      <c r="AI151" s="361">
        <f t="shared" si="84"/>
        <v>0</v>
      </c>
      <c r="AJ151" s="361">
        <f t="shared" si="85"/>
        <v>0</v>
      </c>
      <c r="AK151" s="361">
        <f t="shared" si="86"/>
        <v>0</v>
      </c>
      <c r="AL151" s="361">
        <f t="shared" si="87"/>
        <v>0</v>
      </c>
      <c r="AM151" s="361">
        <f t="shared" si="88"/>
        <v>0</v>
      </c>
      <c r="AN151" s="361">
        <f t="shared" si="89"/>
        <v>0</v>
      </c>
    </row>
    <row r="152" spans="1:40" outlineLevel="1" x14ac:dyDescent="0.2">
      <c r="A152" s="156">
        <f t="shared" si="78"/>
        <v>144</v>
      </c>
      <c r="B152" s="173" t="s">
        <v>452</v>
      </c>
      <c r="C152" s="376"/>
      <c r="D152" s="376">
        <v>36</v>
      </c>
      <c r="E152" s="376"/>
      <c r="F152" s="376">
        <v>12</v>
      </c>
      <c r="G152" s="376"/>
      <c r="H152" s="376"/>
      <c r="I152" s="376"/>
      <c r="J152" s="376"/>
      <c r="K152" s="376"/>
      <c r="L152" s="376"/>
      <c r="M152" s="376"/>
      <c r="N152" s="376"/>
      <c r="O152" s="155">
        <f t="shared" si="92"/>
        <v>48</v>
      </c>
      <c r="P152" s="155"/>
      <c r="Q152" s="174">
        <v>42705</v>
      </c>
      <c r="R152" s="156" t="s">
        <v>446</v>
      </c>
      <c r="S152" s="174">
        <v>43100</v>
      </c>
      <c r="T152" s="155"/>
      <c r="U152" s="409"/>
      <c r="V152" s="405">
        <v>43220</v>
      </c>
      <c r="W152" s="409"/>
      <c r="X152" s="409"/>
      <c r="Y152" s="409"/>
      <c r="Z152" s="409"/>
      <c r="AA152" s="409"/>
      <c r="AB152" s="409"/>
      <c r="AC152" s="409"/>
      <c r="AD152" s="409"/>
      <c r="AE152" s="361">
        <f t="shared" si="90"/>
        <v>0</v>
      </c>
      <c r="AF152" s="361">
        <f t="shared" si="81"/>
        <v>0.67123287671232879</v>
      </c>
      <c r="AG152" s="361">
        <f t="shared" si="82"/>
        <v>0</v>
      </c>
      <c r="AH152" s="361">
        <f t="shared" si="83"/>
        <v>0</v>
      </c>
      <c r="AI152" s="361">
        <f t="shared" si="84"/>
        <v>0</v>
      </c>
      <c r="AJ152" s="361">
        <f t="shared" si="85"/>
        <v>0</v>
      </c>
      <c r="AK152" s="361">
        <f t="shared" si="86"/>
        <v>0</v>
      </c>
      <c r="AL152" s="361">
        <f t="shared" si="87"/>
        <v>0</v>
      </c>
      <c r="AM152" s="361">
        <f t="shared" si="88"/>
        <v>0</v>
      </c>
      <c r="AN152" s="361">
        <f t="shared" si="89"/>
        <v>0</v>
      </c>
    </row>
    <row r="153" spans="1:40" outlineLevel="1" x14ac:dyDescent="0.2">
      <c r="A153" s="156">
        <f t="shared" si="78"/>
        <v>145</v>
      </c>
      <c r="B153" s="173" t="s">
        <v>619</v>
      </c>
      <c r="C153" s="376"/>
      <c r="D153" s="376"/>
      <c r="E153" s="376"/>
      <c r="F153" s="376">
        <v>88</v>
      </c>
      <c r="G153" s="376"/>
      <c r="H153" s="376"/>
      <c r="I153" s="376"/>
      <c r="J153" s="376"/>
      <c r="K153" s="376"/>
      <c r="L153" s="376"/>
      <c r="M153" s="376"/>
      <c r="N153" s="376"/>
      <c r="O153" s="155">
        <f t="shared" si="92"/>
        <v>88</v>
      </c>
      <c r="P153" s="155"/>
      <c r="Q153" s="174" t="s">
        <v>451</v>
      </c>
      <c r="R153" s="156" t="s">
        <v>446</v>
      </c>
      <c r="S153" s="174" t="s">
        <v>450</v>
      </c>
      <c r="T153" s="155"/>
      <c r="U153" s="409"/>
      <c r="V153" s="405">
        <v>43220</v>
      </c>
      <c r="W153" s="409"/>
      <c r="X153" s="409"/>
      <c r="Y153" s="409"/>
      <c r="Z153" s="409"/>
      <c r="AA153" s="409"/>
      <c r="AB153" s="409"/>
      <c r="AC153" s="409"/>
      <c r="AD153" s="409"/>
      <c r="AE153" s="361">
        <f t="shared" si="90"/>
        <v>0</v>
      </c>
      <c r="AF153" s="361">
        <f t="shared" si="81"/>
        <v>0.67123287671232879</v>
      </c>
      <c r="AG153" s="361">
        <f t="shared" si="82"/>
        <v>0</v>
      </c>
      <c r="AH153" s="361">
        <f t="shared" si="83"/>
        <v>0</v>
      </c>
      <c r="AI153" s="361">
        <f t="shared" si="84"/>
        <v>0</v>
      </c>
      <c r="AJ153" s="361">
        <f t="shared" si="85"/>
        <v>0</v>
      </c>
      <c r="AK153" s="361">
        <f t="shared" si="86"/>
        <v>0</v>
      </c>
      <c r="AL153" s="361">
        <f t="shared" si="87"/>
        <v>0</v>
      </c>
      <c r="AM153" s="361">
        <f t="shared" si="88"/>
        <v>0</v>
      </c>
      <c r="AN153" s="361">
        <f t="shared" si="89"/>
        <v>0</v>
      </c>
    </row>
    <row r="154" spans="1:40" outlineLevel="1" x14ac:dyDescent="0.2">
      <c r="A154" s="156">
        <f t="shared" ref="A154:A170" si="93">+A153+1</f>
        <v>146</v>
      </c>
      <c r="B154" s="173" t="s">
        <v>449</v>
      </c>
      <c r="C154" s="377"/>
      <c r="D154" s="376">
        <v>95</v>
      </c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55">
        <f t="shared" si="92"/>
        <v>95</v>
      </c>
      <c r="P154" s="155"/>
      <c r="Q154" s="174">
        <v>41974</v>
      </c>
      <c r="R154" s="156" t="s">
        <v>446</v>
      </c>
      <c r="S154" s="174">
        <v>43435</v>
      </c>
      <c r="T154" s="155"/>
      <c r="U154" s="409"/>
      <c r="V154" s="409"/>
      <c r="W154" s="409"/>
      <c r="X154" s="409"/>
      <c r="Y154" s="409"/>
      <c r="Z154" s="409"/>
      <c r="AA154" s="409"/>
      <c r="AB154" s="409"/>
      <c r="AC154" s="409"/>
      <c r="AD154" s="409"/>
      <c r="AE154" s="361">
        <f t="shared" si="90"/>
        <v>0</v>
      </c>
      <c r="AF154" s="361">
        <f t="shared" si="81"/>
        <v>0</v>
      </c>
      <c r="AG154" s="361">
        <f t="shared" si="82"/>
        <v>0</v>
      </c>
      <c r="AH154" s="361">
        <f t="shared" si="83"/>
        <v>0</v>
      </c>
      <c r="AI154" s="361">
        <f t="shared" si="84"/>
        <v>0</v>
      </c>
      <c r="AJ154" s="361">
        <f t="shared" si="85"/>
        <v>0</v>
      </c>
      <c r="AK154" s="361">
        <f t="shared" si="86"/>
        <v>0</v>
      </c>
      <c r="AL154" s="361">
        <f t="shared" si="87"/>
        <v>0</v>
      </c>
      <c r="AM154" s="361">
        <f t="shared" si="88"/>
        <v>0</v>
      </c>
      <c r="AN154" s="361">
        <f t="shared" si="89"/>
        <v>0</v>
      </c>
    </row>
    <row r="155" spans="1:40" outlineLevel="1" x14ac:dyDescent="0.2">
      <c r="A155" s="156">
        <f t="shared" si="93"/>
        <v>147</v>
      </c>
      <c r="B155" s="173" t="s">
        <v>448</v>
      </c>
      <c r="C155" s="376"/>
      <c r="D155" s="376"/>
      <c r="E155" s="376">
        <v>0</v>
      </c>
      <c r="F155" s="376">
        <v>56</v>
      </c>
      <c r="G155" s="376">
        <v>12</v>
      </c>
      <c r="H155" s="376"/>
      <c r="I155" s="376"/>
      <c r="J155" s="376"/>
      <c r="K155" s="376"/>
      <c r="L155" s="376"/>
      <c r="M155" s="376"/>
      <c r="N155" s="376"/>
      <c r="O155" s="155">
        <f t="shared" si="92"/>
        <v>68</v>
      </c>
      <c r="P155" s="155"/>
      <c r="Q155" s="174">
        <v>42339</v>
      </c>
      <c r="R155" s="156" t="s">
        <v>446</v>
      </c>
      <c r="S155" s="174">
        <v>42735</v>
      </c>
      <c r="T155" s="155"/>
      <c r="U155" s="409"/>
      <c r="V155" s="405">
        <v>43220</v>
      </c>
      <c r="W155" s="405">
        <v>43585</v>
      </c>
      <c r="X155" s="409"/>
      <c r="Y155" s="409"/>
      <c r="Z155" s="409"/>
      <c r="AA155" s="409"/>
      <c r="AB155" s="409"/>
      <c r="AC155" s="409"/>
      <c r="AD155" s="409"/>
      <c r="AE155" s="361">
        <f t="shared" si="90"/>
        <v>0</v>
      </c>
      <c r="AF155" s="361">
        <f t="shared" si="81"/>
        <v>0.67123287671232879</v>
      </c>
      <c r="AG155" s="361">
        <f t="shared" si="82"/>
        <v>0.67123287671232879</v>
      </c>
      <c r="AH155" s="361">
        <f t="shared" si="83"/>
        <v>0</v>
      </c>
      <c r="AI155" s="361">
        <f t="shared" si="84"/>
        <v>0</v>
      </c>
      <c r="AJ155" s="361">
        <f t="shared" si="85"/>
        <v>0</v>
      </c>
      <c r="AK155" s="361">
        <f t="shared" si="86"/>
        <v>0</v>
      </c>
      <c r="AL155" s="361">
        <f t="shared" si="87"/>
        <v>0</v>
      </c>
      <c r="AM155" s="361">
        <f t="shared" si="88"/>
        <v>0</v>
      </c>
      <c r="AN155" s="361">
        <f t="shared" si="89"/>
        <v>0</v>
      </c>
    </row>
    <row r="156" spans="1:40" outlineLevel="1" x14ac:dyDescent="0.2">
      <c r="A156" s="156">
        <f t="shared" si="93"/>
        <v>148</v>
      </c>
      <c r="B156" s="173" t="s">
        <v>447</v>
      </c>
      <c r="C156" s="376"/>
      <c r="D156" s="376"/>
      <c r="E156" s="376"/>
      <c r="F156" s="376">
        <v>809</v>
      </c>
      <c r="G156" s="376"/>
      <c r="H156" s="376"/>
      <c r="I156" s="376"/>
      <c r="J156" s="376"/>
      <c r="K156" s="376"/>
      <c r="L156" s="376"/>
      <c r="M156" s="376"/>
      <c r="N156" s="376"/>
      <c r="O156" s="155">
        <f t="shared" si="92"/>
        <v>809</v>
      </c>
      <c r="P156" s="155"/>
      <c r="Q156" s="174">
        <v>42705</v>
      </c>
      <c r="R156" s="156" t="s">
        <v>446</v>
      </c>
      <c r="S156" s="174">
        <v>43100</v>
      </c>
      <c r="T156" s="155"/>
      <c r="U156" s="409"/>
      <c r="V156" s="405">
        <v>43220</v>
      </c>
      <c r="W156" s="409"/>
      <c r="X156" s="409"/>
      <c r="Y156" s="409"/>
      <c r="Z156" s="409"/>
      <c r="AA156" s="409"/>
      <c r="AB156" s="409"/>
      <c r="AC156" s="409"/>
      <c r="AD156" s="409"/>
      <c r="AE156" s="361">
        <f t="shared" si="90"/>
        <v>0</v>
      </c>
      <c r="AF156" s="361">
        <f t="shared" si="81"/>
        <v>0.67123287671232879</v>
      </c>
      <c r="AG156" s="361">
        <f t="shared" si="82"/>
        <v>0</v>
      </c>
      <c r="AH156" s="361">
        <f t="shared" si="83"/>
        <v>0</v>
      </c>
      <c r="AI156" s="361">
        <f t="shared" si="84"/>
        <v>0</v>
      </c>
      <c r="AJ156" s="361">
        <f t="shared" si="85"/>
        <v>0</v>
      </c>
      <c r="AK156" s="361">
        <f t="shared" si="86"/>
        <v>0</v>
      </c>
      <c r="AL156" s="361">
        <f t="shared" si="87"/>
        <v>0</v>
      </c>
      <c r="AM156" s="361">
        <f t="shared" si="88"/>
        <v>0</v>
      </c>
      <c r="AN156" s="361">
        <f t="shared" si="89"/>
        <v>0</v>
      </c>
    </row>
    <row r="157" spans="1:40" outlineLevel="1" x14ac:dyDescent="0.2">
      <c r="A157" s="156">
        <f t="shared" si="93"/>
        <v>149</v>
      </c>
      <c r="B157" s="173" t="s">
        <v>445</v>
      </c>
      <c r="C157" s="377"/>
      <c r="D157" s="376"/>
      <c r="E157" s="376">
        <v>372</v>
      </c>
      <c r="F157" s="376">
        <v>372</v>
      </c>
      <c r="G157" s="376">
        <v>373</v>
      </c>
      <c r="H157" s="376"/>
      <c r="I157" s="376"/>
      <c r="J157" s="376"/>
      <c r="K157" s="376"/>
      <c r="L157" s="376"/>
      <c r="M157" s="376"/>
      <c r="N157" s="376"/>
      <c r="O157" s="155">
        <f t="shared" si="92"/>
        <v>1117</v>
      </c>
      <c r="P157" s="155"/>
      <c r="Q157" s="174">
        <v>41974</v>
      </c>
      <c r="R157" s="156" t="s">
        <v>446</v>
      </c>
      <c r="S157" s="174">
        <v>43465</v>
      </c>
      <c r="T157" s="155"/>
      <c r="U157" s="405">
        <v>42855</v>
      </c>
      <c r="V157" s="405">
        <v>43220</v>
      </c>
      <c r="W157" s="405">
        <v>43585</v>
      </c>
      <c r="X157" s="409"/>
      <c r="Y157" s="409"/>
      <c r="Z157" s="409"/>
      <c r="AA157" s="409"/>
      <c r="AB157" s="409"/>
      <c r="AC157" s="409"/>
      <c r="AD157" s="409"/>
      <c r="AE157" s="361">
        <f t="shared" si="90"/>
        <v>0.67123287671232879</v>
      </c>
      <c r="AF157" s="361">
        <f t="shared" si="81"/>
        <v>0.67123287671232879</v>
      </c>
      <c r="AG157" s="361">
        <f t="shared" si="82"/>
        <v>0.67123287671232879</v>
      </c>
      <c r="AH157" s="361">
        <f t="shared" si="83"/>
        <v>0</v>
      </c>
      <c r="AI157" s="361">
        <f t="shared" si="84"/>
        <v>0</v>
      </c>
      <c r="AJ157" s="361">
        <f t="shared" si="85"/>
        <v>0</v>
      </c>
      <c r="AK157" s="361">
        <f t="shared" si="86"/>
        <v>0</v>
      </c>
      <c r="AL157" s="361">
        <f t="shared" si="87"/>
        <v>0</v>
      </c>
      <c r="AM157" s="361">
        <f t="shared" si="88"/>
        <v>0</v>
      </c>
      <c r="AN157" s="361">
        <f t="shared" si="89"/>
        <v>0</v>
      </c>
    </row>
    <row r="158" spans="1:40" outlineLevel="1" x14ac:dyDescent="0.2">
      <c r="A158" s="156">
        <f t="shared" si="93"/>
        <v>150</v>
      </c>
      <c r="B158" s="173"/>
      <c r="D158" s="155"/>
      <c r="E158" s="155"/>
      <c r="F158" s="155"/>
      <c r="G158" s="155"/>
      <c r="I158" s="155"/>
      <c r="J158" s="155"/>
      <c r="K158" s="155"/>
      <c r="L158" s="155"/>
      <c r="M158" s="155"/>
      <c r="N158" s="155"/>
      <c r="O158" s="155">
        <f t="shared" si="92"/>
        <v>0</v>
      </c>
      <c r="P158" s="155"/>
      <c r="Q158" s="174"/>
      <c r="R158" s="156" t="s">
        <v>444</v>
      </c>
      <c r="S158" s="174" t="s">
        <v>443</v>
      </c>
      <c r="T158" s="155"/>
      <c r="U158" s="409"/>
      <c r="V158" s="409"/>
      <c r="W158" s="409"/>
      <c r="X158" s="409"/>
      <c r="Y158" s="409"/>
      <c r="Z158" s="409"/>
      <c r="AA158" s="409"/>
      <c r="AB158" s="409"/>
      <c r="AC158" s="409"/>
      <c r="AD158" s="409"/>
      <c r="AE158" s="361">
        <f t="shared" si="90"/>
        <v>0</v>
      </c>
      <c r="AF158" s="361">
        <f t="shared" si="81"/>
        <v>0</v>
      </c>
      <c r="AG158" s="361">
        <f t="shared" si="82"/>
        <v>0</v>
      </c>
      <c r="AH158" s="361">
        <f t="shared" si="83"/>
        <v>0</v>
      </c>
      <c r="AI158" s="361">
        <f t="shared" si="84"/>
        <v>0</v>
      </c>
      <c r="AJ158" s="361">
        <f t="shared" si="85"/>
        <v>0</v>
      </c>
      <c r="AK158" s="361">
        <f t="shared" si="86"/>
        <v>0</v>
      </c>
      <c r="AL158" s="361">
        <f t="shared" si="87"/>
        <v>0</v>
      </c>
      <c r="AM158" s="361">
        <f t="shared" si="88"/>
        <v>0</v>
      </c>
      <c r="AN158" s="361">
        <f t="shared" si="89"/>
        <v>0</v>
      </c>
    </row>
    <row r="159" spans="1:40" outlineLevel="1" x14ac:dyDescent="0.2">
      <c r="A159" s="156">
        <f t="shared" si="93"/>
        <v>151</v>
      </c>
      <c r="B159" s="173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74"/>
      <c r="R159" s="156"/>
      <c r="S159" s="174"/>
      <c r="T159" s="155"/>
      <c r="U159" s="409"/>
      <c r="V159" s="409"/>
      <c r="W159" s="409"/>
      <c r="X159" s="409"/>
      <c r="Y159" s="409"/>
      <c r="Z159" s="409"/>
      <c r="AA159" s="409"/>
      <c r="AB159" s="409"/>
      <c r="AC159" s="409"/>
      <c r="AD159" s="409"/>
      <c r="AE159" s="361">
        <f t="shared" si="90"/>
        <v>0</v>
      </c>
      <c r="AF159" s="361">
        <f t="shared" si="81"/>
        <v>0</v>
      </c>
      <c r="AG159" s="361">
        <f t="shared" si="82"/>
        <v>0</v>
      </c>
      <c r="AH159" s="361">
        <f t="shared" si="83"/>
        <v>0</v>
      </c>
      <c r="AI159" s="361">
        <f t="shared" si="84"/>
        <v>0</v>
      </c>
      <c r="AJ159" s="361">
        <f t="shared" si="85"/>
        <v>0</v>
      </c>
      <c r="AK159" s="361">
        <f t="shared" si="86"/>
        <v>0</v>
      </c>
      <c r="AL159" s="361">
        <f t="shared" si="87"/>
        <v>0</v>
      </c>
      <c r="AM159" s="361">
        <f t="shared" si="88"/>
        <v>0</v>
      </c>
      <c r="AN159" s="361">
        <f t="shared" si="89"/>
        <v>0</v>
      </c>
    </row>
    <row r="160" spans="1:40" s="183" customFormat="1" ht="15" x14ac:dyDescent="0.25">
      <c r="A160" s="179">
        <f t="shared" si="93"/>
        <v>152</v>
      </c>
      <c r="B160" s="180" t="s">
        <v>442</v>
      </c>
      <c r="C160" s="181">
        <f t="shared" ref="C160:N160" si="94">SUM(C161:C167)</f>
        <v>0</v>
      </c>
      <c r="D160" s="181">
        <f t="shared" si="94"/>
        <v>3364</v>
      </c>
      <c r="E160" s="181">
        <f t="shared" si="94"/>
        <v>6080</v>
      </c>
      <c r="F160" s="181">
        <f t="shared" si="94"/>
        <v>4767</v>
      </c>
      <c r="G160" s="181">
        <f t="shared" si="94"/>
        <v>4242</v>
      </c>
      <c r="H160" s="181">
        <f t="shared" si="94"/>
        <v>3951</v>
      </c>
      <c r="I160" s="181">
        <f t="shared" si="94"/>
        <v>4507</v>
      </c>
      <c r="J160" s="181">
        <f t="shared" si="94"/>
        <v>0</v>
      </c>
      <c r="K160" s="181">
        <f t="shared" si="94"/>
        <v>0</v>
      </c>
      <c r="L160" s="181">
        <f t="shared" si="94"/>
        <v>0</v>
      </c>
      <c r="M160" s="181">
        <f t="shared" si="94"/>
        <v>0</v>
      </c>
      <c r="N160" s="181">
        <f t="shared" si="94"/>
        <v>0</v>
      </c>
      <c r="O160" s="181">
        <f>SUM(C160:N160)</f>
        <v>26911</v>
      </c>
      <c r="P160" s="182"/>
      <c r="Q160" s="185"/>
      <c r="S160" s="185"/>
      <c r="T160" s="182"/>
      <c r="U160" s="411"/>
      <c r="V160" s="411"/>
      <c r="W160" s="411"/>
      <c r="X160" s="411"/>
      <c r="Y160" s="411"/>
      <c r="Z160" s="411"/>
      <c r="AA160" s="411"/>
      <c r="AB160" s="411"/>
      <c r="AC160" s="411"/>
      <c r="AD160" s="411"/>
      <c r="AE160" s="363">
        <f t="shared" si="90"/>
        <v>0</v>
      </c>
      <c r="AF160" s="363">
        <f t="shared" si="81"/>
        <v>0</v>
      </c>
      <c r="AG160" s="363">
        <f t="shared" si="82"/>
        <v>0</v>
      </c>
      <c r="AH160" s="363">
        <f t="shared" si="83"/>
        <v>0</v>
      </c>
      <c r="AI160" s="363">
        <f t="shared" si="84"/>
        <v>0</v>
      </c>
      <c r="AJ160" s="363">
        <f t="shared" si="85"/>
        <v>0</v>
      </c>
      <c r="AK160" s="363">
        <f t="shared" si="86"/>
        <v>0</v>
      </c>
      <c r="AL160" s="363">
        <f t="shared" si="87"/>
        <v>0</v>
      </c>
      <c r="AM160" s="363">
        <f t="shared" si="88"/>
        <v>0</v>
      </c>
      <c r="AN160" s="363">
        <f t="shared" si="89"/>
        <v>0</v>
      </c>
    </row>
    <row r="161" spans="1:40" hidden="1" outlineLevel="1" x14ac:dyDescent="0.2">
      <c r="A161" s="156">
        <f t="shared" si="93"/>
        <v>153</v>
      </c>
      <c r="B161" s="173" t="s">
        <v>441</v>
      </c>
      <c r="C161" s="376"/>
      <c r="D161" s="376"/>
      <c r="E161" s="376">
        <v>1600</v>
      </c>
      <c r="F161" s="376">
        <v>540</v>
      </c>
      <c r="G161" s="376">
        <v>540</v>
      </c>
      <c r="H161" s="376">
        <v>540</v>
      </c>
      <c r="I161" s="376">
        <v>540</v>
      </c>
      <c r="J161" s="376"/>
      <c r="K161" s="376"/>
      <c r="L161" s="376"/>
      <c r="M161" s="376"/>
      <c r="N161" s="376"/>
      <c r="O161" s="155">
        <f t="shared" ref="O161:O167" si="95">SUM(C161:N161)</f>
        <v>3760</v>
      </c>
      <c r="P161" s="155"/>
      <c r="Q161" s="174">
        <v>43070</v>
      </c>
      <c r="R161" s="156" t="s">
        <v>431</v>
      </c>
      <c r="S161" s="174" t="s">
        <v>440</v>
      </c>
      <c r="T161" s="155"/>
      <c r="U161" s="405">
        <v>42855</v>
      </c>
      <c r="V161" s="405">
        <v>43220</v>
      </c>
      <c r="W161" s="405">
        <v>43585</v>
      </c>
      <c r="X161" s="405">
        <v>44104</v>
      </c>
      <c r="Y161" s="405">
        <v>44469</v>
      </c>
      <c r="Z161" s="409"/>
      <c r="AA161" s="409"/>
      <c r="AB161" s="409"/>
      <c r="AC161" s="409"/>
      <c r="AD161" s="409"/>
      <c r="AE161" s="361">
        <f t="shared" si="90"/>
        <v>0.67123287671232879</v>
      </c>
      <c r="AF161" s="361">
        <f t="shared" si="81"/>
        <v>0.67123287671232879</v>
      </c>
      <c r="AG161" s="361">
        <f t="shared" si="82"/>
        <v>0.67123287671232879</v>
      </c>
      <c r="AH161" s="361">
        <f t="shared" si="83"/>
        <v>0.25205479452054796</v>
      </c>
      <c r="AI161" s="361">
        <f t="shared" si="84"/>
        <v>0.25205479452054796</v>
      </c>
      <c r="AJ161" s="361">
        <f t="shared" si="85"/>
        <v>0</v>
      </c>
      <c r="AK161" s="361">
        <f t="shared" si="86"/>
        <v>0</v>
      </c>
      <c r="AL161" s="361">
        <f t="shared" si="87"/>
        <v>0</v>
      </c>
      <c r="AM161" s="361">
        <f t="shared" si="88"/>
        <v>0</v>
      </c>
      <c r="AN161" s="361">
        <f t="shared" si="89"/>
        <v>0</v>
      </c>
    </row>
    <row r="162" spans="1:40" hidden="1" outlineLevel="1" x14ac:dyDescent="0.2">
      <c r="A162" s="156">
        <f t="shared" si="93"/>
        <v>154</v>
      </c>
      <c r="B162" s="173" t="s">
        <v>38</v>
      </c>
      <c r="C162" s="376"/>
      <c r="D162" s="376">
        <v>1739</v>
      </c>
      <c r="E162" s="376">
        <v>3600</v>
      </c>
      <c r="F162" s="376">
        <v>2650</v>
      </c>
      <c r="G162" s="376">
        <v>2560</v>
      </c>
      <c r="H162" s="376">
        <v>2560</v>
      </c>
      <c r="I162" s="376">
        <v>3030</v>
      </c>
      <c r="J162" s="376"/>
      <c r="K162" s="376"/>
      <c r="L162" s="376"/>
      <c r="M162" s="376"/>
      <c r="N162" s="376"/>
      <c r="O162" s="155">
        <f t="shared" si="95"/>
        <v>16139</v>
      </c>
      <c r="P162" s="155"/>
      <c r="Q162" s="174">
        <v>43070</v>
      </c>
      <c r="S162" s="174" t="s">
        <v>437</v>
      </c>
      <c r="T162" s="155"/>
      <c r="U162" s="405">
        <v>42855</v>
      </c>
      <c r="V162" s="405">
        <v>43220</v>
      </c>
      <c r="W162" s="405">
        <v>43585</v>
      </c>
      <c r="X162" s="405">
        <v>44104</v>
      </c>
      <c r="Y162" s="405">
        <v>44469</v>
      </c>
      <c r="Z162" s="409"/>
      <c r="AA162" s="409"/>
      <c r="AB162" s="409"/>
      <c r="AC162" s="409"/>
      <c r="AD162" s="409"/>
      <c r="AE162" s="361">
        <f t="shared" si="90"/>
        <v>0.67123287671232879</v>
      </c>
      <c r="AF162" s="361">
        <f t="shared" si="81"/>
        <v>0.67123287671232879</v>
      </c>
      <c r="AG162" s="361">
        <f t="shared" si="82"/>
        <v>0.67123287671232879</v>
      </c>
      <c r="AH162" s="361">
        <f t="shared" si="83"/>
        <v>0.25205479452054796</v>
      </c>
      <c r="AI162" s="361">
        <f t="shared" si="84"/>
        <v>0.25205479452054796</v>
      </c>
      <c r="AJ162" s="361">
        <f t="shared" si="85"/>
        <v>0</v>
      </c>
      <c r="AK162" s="361">
        <f t="shared" si="86"/>
        <v>0</v>
      </c>
      <c r="AL162" s="361">
        <f t="shared" si="87"/>
        <v>0</v>
      </c>
      <c r="AM162" s="361">
        <f t="shared" si="88"/>
        <v>0</v>
      </c>
      <c r="AN162" s="361">
        <f t="shared" si="89"/>
        <v>0</v>
      </c>
    </row>
    <row r="163" spans="1:40" hidden="1" outlineLevel="1" x14ac:dyDescent="0.2">
      <c r="A163" s="156">
        <f t="shared" si="93"/>
        <v>155</v>
      </c>
      <c r="B163" s="173" t="s">
        <v>439</v>
      </c>
      <c r="C163" s="376"/>
      <c r="D163" s="376">
        <v>1625</v>
      </c>
      <c r="E163" s="376">
        <v>880</v>
      </c>
      <c r="F163" s="376">
        <v>891</v>
      </c>
      <c r="G163" s="376">
        <v>818</v>
      </c>
      <c r="H163" s="376">
        <v>851</v>
      </c>
      <c r="I163" s="376">
        <v>937</v>
      </c>
      <c r="J163" s="376"/>
      <c r="K163" s="376"/>
      <c r="L163" s="376"/>
      <c r="M163" s="376"/>
      <c r="N163" s="376"/>
      <c r="O163" s="155">
        <f t="shared" si="95"/>
        <v>6002</v>
      </c>
      <c r="P163" s="155"/>
      <c r="Q163" s="174" t="s">
        <v>438</v>
      </c>
      <c r="S163" s="174" t="s">
        <v>437</v>
      </c>
      <c r="T163" s="155"/>
      <c r="U163" s="405">
        <v>42855</v>
      </c>
      <c r="V163" s="405">
        <v>43220</v>
      </c>
      <c r="W163" s="405">
        <v>43585</v>
      </c>
      <c r="X163" s="405">
        <v>44104</v>
      </c>
      <c r="Y163" s="405">
        <v>44469</v>
      </c>
      <c r="Z163" s="409"/>
      <c r="AA163" s="409"/>
      <c r="AB163" s="409"/>
      <c r="AC163" s="409"/>
      <c r="AD163" s="409"/>
      <c r="AE163" s="361">
        <f t="shared" si="90"/>
        <v>0.67123287671232879</v>
      </c>
      <c r="AF163" s="361">
        <f t="shared" si="81"/>
        <v>0.67123287671232879</v>
      </c>
      <c r="AG163" s="361">
        <f t="shared" si="82"/>
        <v>0.67123287671232879</v>
      </c>
      <c r="AH163" s="361">
        <f t="shared" si="83"/>
        <v>0.25205479452054796</v>
      </c>
      <c r="AI163" s="361">
        <f t="shared" si="84"/>
        <v>0.25205479452054796</v>
      </c>
      <c r="AJ163" s="361">
        <f t="shared" si="85"/>
        <v>0</v>
      </c>
      <c r="AK163" s="361">
        <f t="shared" si="86"/>
        <v>0</v>
      </c>
      <c r="AL163" s="361">
        <f t="shared" si="87"/>
        <v>0</v>
      </c>
      <c r="AM163" s="361">
        <f t="shared" si="88"/>
        <v>0</v>
      </c>
      <c r="AN163" s="361">
        <f t="shared" si="89"/>
        <v>0</v>
      </c>
    </row>
    <row r="164" spans="1:40" hidden="1" outlineLevel="1" x14ac:dyDescent="0.2">
      <c r="A164" s="156">
        <f t="shared" si="93"/>
        <v>156</v>
      </c>
      <c r="B164" s="173" t="s">
        <v>436</v>
      </c>
      <c r="C164" s="376"/>
      <c r="D164" s="376"/>
      <c r="E164" s="376"/>
      <c r="F164" s="376">
        <v>100</v>
      </c>
      <c r="G164" s="376">
        <v>165</v>
      </c>
      <c r="H164" s="376"/>
      <c r="I164" s="376"/>
      <c r="J164" s="376"/>
      <c r="K164" s="376"/>
      <c r="L164" s="376"/>
      <c r="M164" s="376"/>
      <c r="N164" s="376"/>
      <c r="O164" s="155">
        <f t="shared" si="95"/>
        <v>265</v>
      </c>
      <c r="P164" s="155"/>
      <c r="Q164" s="174"/>
      <c r="S164" s="174">
        <v>43830</v>
      </c>
      <c r="T164" s="155"/>
      <c r="U164" s="409"/>
      <c r="V164" s="405">
        <v>43220</v>
      </c>
      <c r="W164" s="405">
        <v>43585</v>
      </c>
      <c r="X164" s="409"/>
      <c r="Y164" s="409"/>
      <c r="Z164" s="409"/>
      <c r="AA164" s="409"/>
      <c r="AB164" s="409"/>
      <c r="AC164" s="409"/>
      <c r="AD164" s="409"/>
      <c r="AE164" s="361">
        <f t="shared" si="90"/>
        <v>0</v>
      </c>
      <c r="AF164" s="361">
        <f t="shared" si="81"/>
        <v>0.67123287671232879</v>
      </c>
      <c r="AG164" s="361">
        <f t="shared" si="82"/>
        <v>0.67123287671232879</v>
      </c>
      <c r="AH164" s="361">
        <f t="shared" si="83"/>
        <v>0</v>
      </c>
      <c r="AI164" s="361">
        <f t="shared" si="84"/>
        <v>0</v>
      </c>
      <c r="AJ164" s="361">
        <f t="shared" si="85"/>
        <v>0</v>
      </c>
      <c r="AK164" s="361">
        <f t="shared" si="86"/>
        <v>0</v>
      </c>
      <c r="AL164" s="361">
        <f t="shared" si="87"/>
        <v>0</v>
      </c>
      <c r="AM164" s="361">
        <f t="shared" si="88"/>
        <v>0</v>
      </c>
      <c r="AN164" s="361">
        <f t="shared" si="89"/>
        <v>0</v>
      </c>
    </row>
    <row r="165" spans="1:40" hidden="1" outlineLevel="1" x14ac:dyDescent="0.2">
      <c r="A165" s="156">
        <f t="shared" si="93"/>
        <v>157</v>
      </c>
      <c r="B165" s="173" t="s">
        <v>620</v>
      </c>
      <c r="C165" s="376"/>
      <c r="D165" s="376"/>
      <c r="E165" s="376"/>
      <c r="F165" s="376">
        <v>186</v>
      </c>
      <c r="G165" s="376">
        <v>79</v>
      </c>
      <c r="H165" s="376"/>
      <c r="I165" s="376"/>
      <c r="J165" s="376"/>
      <c r="K165" s="376"/>
      <c r="L165" s="376"/>
      <c r="M165" s="376"/>
      <c r="N165" s="376"/>
      <c r="O165" s="155">
        <f t="shared" si="95"/>
        <v>265</v>
      </c>
      <c r="P165" s="155"/>
      <c r="Q165" s="174"/>
      <c r="S165" s="174">
        <v>43830</v>
      </c>
      <c r="T165" s="155"/>
      <c r="U165" s="409"/>
      <c r="V165" s="405">
        <v>43220</v>
      </c>
      <c r="W165" s="405">
        <v>43585</v>
      </c>
      <c r="X165" s="409"/>
      <c r="Y165" s="409"/>
      <c r="Z165" s="409"/>
      <c r="AA165" s="409"/>
      <c r="AB165" s="409"/>
      <c r="AC165" s="409"/>
      <c r="AD165" s="409"/>
      <c r="AE165" s="361">
        <f t="shared" si="90"/>
        <v>0</v>
      </c>
      <c r="AF165" s="361">
        <f t="shared" si="81"/>
        <v>0.67123287671232879</v>
      </c>
      <c r="AG165" s="361">
        <f t="shared" si="82"/>
        <v>0.67123287671232879</v>
      </c>
      <c r="AH165" s="361">
        <f t="shared" si="83"/>
        <v>0</v>
      </c>
      <c r="AI165" s="361">
        <f t="shared" si="84"/>
        <v>0</v>
      </c>
      <c r="AJ165" s="361">
        <f t="shared" si="85"/>
        <v>0</v>
      </c>
      <c r="AK165" s="361">
        <f t="shared" si="86"/>
        <v>0</v>
      </c>
      <c r="AL165" s="361">
        <f t="shared" si="87"/>
        <v>0</v>
      </c>
      <c r="AM165" s="361">
        <f t="shared" si="88"/>
        <v>0</v>
      </c>
      <c r="AN165" s="361">
        <f t="shared" si="89"/>
        <v>0</v>
      </c>
    </row>
    <row r="166" spans="1:40" hidden="1" outlineLevel="1" x14ac:dyDescent="0.2">
      <c r="A166" s="156">
        <f t="shared" si="93"/>
        <v>158</v>
      </c>
      <c r="B166" s="173" t="s">
        <v>435</v>
      </c>
      <c r="C166" s="376"/>
      <c r="D166" s="376"/>
      <c r="E166" s="376"/>
      <c r="F166" s="376"/>
      <c r="G166" s="376">
        <v>80</v>
      </c>
      <c r="H166" s="376"/>
      <c r="I166" s="376"/>
      <c r="J166" s="376"/>
      <c r="K166" s="376"/>
      <c r="L166" s="376"/>
      <c r="M166" s="376"/>
      <c r="N166" s="376"/>
      <c r="O166" s="155">
        <f t="shared" si="95"/>
        <v>80</v>
      </c>
      <c r="P166" s="155"/>
      <c r="Q166" s="174"/>
      <c r="S166" s="174">
        <v>43830</v>
      </c>
      <c r="T166" s="155"/>
      <c r="U166" s="409"/>
      <c r="V166" s="409"/>
      <c r="W166" s="405">
        <v>43585</v>
      </c>
      <c r="X166" s="409"/>
      <c r="Y166" s="409"/>
      <c r="Z166" s="409"/>
      <c r="AA166" s="409"/>
      <c r="AB166" s="409"/>
      <c r="AC166" s="409"/>
      <c r="AD166" s="409"/>
      <c r="AE166" s="361">
        <f t="shared" si="90"/>
        <v>0</v>
      </c>
      <c r="AF166" s="361">
        <f t="shared" si="81"/>
        <v>0</v>
      </c>
      <c r="AG166" s="361">
        <f t="shared" si="82"/>
        <v>0.67123287671232879</v>
      </c>
      <c r="AH166" s="361">
        <f t="shared" si="83"/>
        <v>0</v>
      </c>
      <c r="AI166" s="361">
        <f t="shared" si="84"/>
        <v>0</v>
      </c>
      <c r="AJ166" s="361">
        <f t="shared" si="85"/>
        <v>0</v>
      </c>
      <c r="AK166" s="361">
        <f t="shared" si="86"/>
        <v>0</v>
      </c>
      <c r="AL166" s="361">
        <f t="shared" si="87"/>
        <v>0</v>
      </c>
      <c r="AM166" s="361">
        <f t="shared" si="88"/>
        <v>0</v>
      </c>
      <c r="AN166" s="361">
        <f t="shared" si="89"/>
        <v>0</v>
      </c>
    </row>
    <row r="167" spans="1:40" hidden="1" outlineLevel="1" x14ac:dyDescent="0.2">
      <c r="A167" s="156">
        <f t="shared" si="93"/>
        <v>159</v>
      </c>
      <c r="B167" s="173" t="s">
        <v>434</v>
      </c>
      <c r="C167" s="376"/>
      <c r="D167" s="376"/>
      <c r="E167" s="376"/>
      <c r="F167" s="376">
        <v>400</v>
      </c>
      <c r="G167" s="376"/>
      <c r="H167" s="376"/>
      <c r="I167" s="376"/>
      <c r="J167" s="376"/>
      <c r="K167" s="376"/>
      <c r="L167" s="376"/>
      <c r="M167" s="376"/>
      <c r="N167" s="376"/>
      <c r="O167" s="155">
        <f t="shared" si="95"/>
        <v>400</v>
      </c>
      <c r="P167" s="155"/>
      <c r="Q167" s="174"/>
      <c r="S167" s="174">
        <v>43465</v>
      </c>
      <c r="T167" s="155"/>
      <c r="U167" s="409"/>
      <c r="V167" s="405">
        <v>43220</v>
      </c>
      <c r="W167" s="409"/>
      <c r="X167" s="409"/>
      <c r="Y167" s="409"/>
      <c r="Z167" s="409"/>
      <c r="AA167" s="409"/>
      <c r="AB167" s="409"/>
      <c r="AC167" s="409"/>
      <c r="AD167" s="409"/>
      <c r="AE167" s="361">
        <f t="shared" si="90"/>
        <v>0</v>
      </c>
      <c r="AF167" s="361">
        <f t="shared" si="81"/>
        <v>0.67123287671232879</v>
      </c>
      <c r="AG167" s="361">
        <f t="shared" si="82"/>
        <v>0</v>
      </c>
      <c r="AH167" s="361">
        <f t="shared" si="83"/>
        <v>0</v>
      </c>
      <c r="AI167" s="361">
        <f t="shared" si="84"/>
        <v>0</v>
      </c>
      <c r="AJ167" s="361">
        <f t="shared" si="85"/>
        <v>0</v>
      </c>
      <c r="AK167" s="361">
        <f t="shared" si="86"/>
        <v>0</v>
      </c>
      <c r="AL167" s="361">
        <f t="shared" si="87"/>
        <v>0</v>
      </c>
      <c r="AM167" s="361">
        <f t="shared" si="88"/>
        <v>0</v>
      </c>
      <c r="AN167" s="361">
        <f t="shared" si="89"/>
        <v>0</v>
      </c>
    </row>
    <row r="168" spans="1:40" hidden="1" outlineLevel="1" x14ac:dyDescent="0.2">
      <c r="A168" s="156">
        <f t="shared" si="93"/>
        <v>160</v>
      </c>
      <c r="B168" s="242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74"/>
      <c r="S168" s="174"/>
      <c r="T168" s="155"/>
      <c r="U168" s="409"/>
      <c r="V168" s="409"/>
      <c r="W168" s="409"/>
      <c r="X168" s="409"/>
      <c r="Y168" s="409"/>
      <c r="Z168" s="409"/>
      <c r="AA168" s="409"/>
      <c r="AB168" s="409"/>
      <c r="AC168" s="409"/>
      <c r="AD168" s="409"/>
      <c r="AE168" s="361">
        <f t="shared" si="90"/>
        <v>0</v>
      </c>
      <c r="AF168" s="361">
        <f t="shared" si="81"/>
        <v>0</v>
      </c>
      <c r="AG168" s="361">
        <f t="shared" si="82"/>
        <v>0</v>
      </c>
      <c r="AH168" s="361">
        <f t="shared" si="83"/>
        <v>0</v>
      </c>
      <c r="AI168" s="361">
        <f t="shared" si="84"/>
        <v>0</v>
      </c>
      <c r="AJ168" s="361">
        <f t="shared" si="85"/>
        <v>0</v>
      </c>
      <c r="AK168" s="361">
        <f t="shared" si="86"/>
        <v>0</v>
      </c>
      <c r="AL168" s="361">
        <f t="shared" si="87"/>
        <v>0</v>
      </c>
      <c r="AM168" s="361">
        <f t="shared" si="88"/>
        <v>0</v>
      </c>
      <c r="AN168" s="361">
        <f t="shared" si="89"/>
        <v>0</v>
      </c>
    </row>
    <row r="169" spans="1:40" s="183" customFormat="1" ht="15" collapsed="1" x14ac:dyDescent="0.25">
      <c r="A169" s="179">
        <f t="shared" si="93"/>
        <v>161</v>
      </c>
      <c r="B169" s="180" t="s">
        <v>433</v>
      </c>
      <c r="C169" s="181">
        <f t="shared" ref="C169:N169" si="96">+C170</f>
        <v>0</v>
      </c>
      <c r="D169" s="181">
        <f t="shared" si="96"/>
        <v>0</v>
      </c>
      <c r="E169" s="181">
        <f t="shared" si="96"/>
        <v>0</v>
      </c>
      <c r="F169" s="181">
        <f t="shared" si="96"/>
        <v>0</v>
      </c>
      <c r="G169" s="181">
        <f t="shared" si="96"/>
        <v>5402</v>
      </c>
      <c r="H169" s="181">
        <f t="shared" si="96"/>
        <v>2316</v>
      </c>
      <c r="I169" s="181">
        <f t="shared" si="96"/>
        <v>0</v>
      </c>
      <c r="J169" s="181">
        <f t="shared" si="96"/>
        <v>0</v>
      </c>
      <c r="K169" s="181">
        <f t="shared" si="96"/>
        <v>0</v>
      </c>
      <c r="L169" s="181">
        <f t="shared" si="96"/>
        <v>0</v>
      </c>
      <c r="M169" s="181">
        <f t="shared" si="96"/>
        <v>0</v>
      </c>
      <c r="N169" s="181">
        <f t="shared" si="96"/>
        <v>0</v>
      </c>
      <c r="O169" s="181">
        <f>SUM(C169:N169)</f>
        <v>7718</v>
      </c>
      <c r="P169" s="182"/>
      <c r="Q169" s="185"/>
      <c r="S169" s="185"/>
      <c r="T169" s="182"/>
      <c r="U169" s="411"/>
      <c r="V169" s="411"/>
      <c r="W169" s="411"/>
      <c r="X169" s="411"/>
      <c r="Y169" s="411"/>
      <c r="Z169" s="411"/>
      <c r="AA169" s="411"/>
      <c r="AB169" s="411"/>
      <c r="AC169" s="411"/>
      <c r="AD169" s="411"/>
      <c r="AE169" s="363">
        <f t="shared" si="90"/>
        <v>0</v>
      </c>
      <c r="AF169" s="363">
        <f t="shared" si="81"/>
        <v>0</v>
      </c>
      <c r="AG169" s="363">
        <f t="shared" si="82"/>
        <v>0</v>
      </c>
      <c r="AH169" s="363">
        <f t="shared" si="83"/>
        <v>0</v>
      </c>
      <c r="AI169" s="363">
        <f t="shared" si="84"/>
        <v>0</v>
      </c>
      <c r="AJ169" s="363">
        <f t="shared" si="85"/>
        <v>0</v>
      </c>
      <c r="AK169" s="363">
        <f t="shared" si="86"/>
        <v>0</v>
      </c>
      <c r="AL169" s="363">
        <f t="shared" si="87"/>
        <v>0</v>
      </c>
      <c r="AM169" s="363">
        <f t="shared" si="88"/>
        <v>0</v>
      </c>
      <c r="AN169" s="363">
        <f t="shared" si="89"/>
        <v>0</v>
      </c>
    </row>
    <row r="170" spans="1:40" x14ac:dyDescent="0.2">
      <c r="A170" s="156">
        <f t="shared" si="93"/>
        <v>162</v>
      </c>
      <c r="B170" s="173" t="s">
        <v>432</v>
      </c>
      <c r="C170" s="376"/>
      <c r="D170" s="376"/>
      <c r="E170" s="376"/>
      <c r="F170" s="376">
        <v>0</v>
      </c>
      <c r="G170" s="376">
        <v>5402</v>
      </c>
      <c r="H170" s="376">
        <v>2316</v>
      </c>
      <c r="I170" s="376"/>
      <c r="J170" s="376"/>
      <c r="K170" s="376"/>
      <c r="L170" s="376"/>
      <c r="M170" s="376"/>
      <c r="N170" s="376"/>
      <c r="O170" s="155">
        <f>SUM(C170:N170)</f>
        <v>7718</v>
      </c>
      <c r="P170" s="155"/>
      <c r="Q170" s="174">
        <v>43466</v>
      </c>
      <c r="R170" s="156" t="s">
        <v>431</v>
      </c>
      <c r="S170" s="174">
        <v>43496</v>
      </c>
      <c r="T170" s="155"/>
      <c r="U170" s="409"/>
      <c r="V170" s="409"/>
      <c r="W170" s="405">
        <v>43585</v>
      </c>
      <c r="X170" s="405">
        <v>44104</v>
      </c>
      <c r="Y170" s="409"/>
      <c r="Z170" s="409"/>
      <c r="AA170" s="409"/>
      <c r="AB170" s="409"/>
      <c r="AC170" s="409"/>
      <c r="AD170" s="409"/>
      <c r="AE170" s="361">
        <f t="shared" si="90"/>
        <v>0</v>
      </c>
      <c r="AF170" s="361">
        <f t="shared" si="81"/>
        <v>0</v>
      </c>
      <c r="AG170" s="361">
        <f t="shared" si="82"/>
        <v>0.67123287671232879</v>
      </c>
      <c r="AH170" s="361">
        <f t="shared" si="83"/>
        <v>0.25205479452054796</v>
      </c>
      <c r="AI170" s="361">
        <f t="shared" si="84"/>
        <v>0</v>
      </c>
      <c r="AJ170" s="361">
        <f t="shared" si="85"/>
        <v>0</v>
      </c>
      <c r="AK170" s="361">
        <f t="shared" si="86"/>
        <v>0</v>
      </c>
      <c r="AL170" s="361">
        <f t="shared" si="87"/>
        <v>0</v>
      </c>
      <c r="AM170" s="361">
        <f t="shared" si="88"/>
        <v>0</v>
      </c>
      <c r="AN170" s="361">
        <f t="shared" si="89"/>
        <v>0</v>
      </c>
    </row>
    <row r="171" spans="1:40" x14ac:dyDescent="0.2"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</row>
    <row r="172" spans="1:40" x14ac:dyDescent="0.2">
      <c r="AE172" s="365"/>
    </row>
    <row r="175" spans="1:40" ht="15" x14ac:dyDescent="0.25">
      <c r="B175" s="737" t="s">
        <v>797</v>
      </c>
      <c r="C175" s="738"/>
      <c r="D175" s="738"/>
      <c r="E175" s="739">
        <f>SUMPRODUCT(E11:E170,AE11:AE170)</f>
        <v>14520.109589041098</v>
      </c>
      <c r="F175" s="739">
        <f t="shared" ref="F175:N175" si="97">SUMPRODUCT(F11:F170,AF11:AF170)</f>
        <v>99078.671232876746</v>
      </c>
      <c r="G175" s="739">
        <f t="shared" si="97"/>
        <v>194578.32876712334</v>
      </c>
      <c r="H175" s="739">
        <f t="shared" si="97"/>
        <v>61404.832876712331</v>
      </c>
      <c r="I175" s="739">
        <f t="shared" si="97"/>
        <v>39987.989041095891</v>
      </c>
      <c r="J175" s="739">
        <f t="shared" si="97"/>
        <v>38553.293150684927</v>
      </c>
      <c r="K175" s="739">
        <f t="shared" si="97"/>
        <v>36752.361643835618</v>
      </c>
      <c r="L175" s="739">
        <f t="shared" si="97"/>
        <v>19969.545205479451</v>
      </c>
      <c r="M175" s="739">
        <f t="shared" si="97"/>
        <v>24203.561643835616</v>
      </c>
      <c r="N175" s="740">
        <f t="shared" si="97"/>
        <v>16681.238356164384</v>
      </c>
    </row>
    <row r="176" spans="1:40" ht="15" x14ac:dyDescent="0.25">
      <c r="B176" s="733" t="s">
        <v>1079</v>
      </c>
      <c r="C176" s="159"/>
      <c r="D176" s="159"/>
      <c r="E176" s="155">
        <f>SUMPRODUCT(E11:E17,AE11:AE17)</f>
        <v>0</v>
      </c>
      <c r="F176" s="155">
        <f t="shared" ref="F176:N176" si="98">SUMPRODUCT(F11:F17,AF11:AF17)</f>
        <v>0</v>
      </c>
      <c r="G176" s="155">
        <f t="shared" si="98"/>
        <v>0</v>
      </c>
      <c r="H176" s="155">
        <f t="shared" si="98"/>
        <v>0</v>
      </c>
      <c r="I176" s="155">
        <f t="shared" si="98"/>
        <v>0</v>
      </c>
      <c r="J176" s="155">
        <f t="shared" si="98"/>
        <v>0</v>
      </c>
      <c r="K176" s="155">
        <f t="shared" si="98"/>
        <v>0</v>
      </c>
      <c r="L176" s="155">
        <f t="shared" si="98"/>
        <v>0</v>
      </c>
      <c r="M176" s="155">
        <f t="shared" si="98"/>
        <v>0</v>
      </c>
      <c r="N176" s="734">
        <f t="shared" si="98"/>
        <v>0</v>
      </c>
    </row>
    <row r="177" spans="2:14" x14ac:dyDescent="0.2">
      <c r="B177" s="733" t="s">
        <v>1080</v>
      </c>
      <c r="E177" s="155">
        <f>SUMPRODUCT(E18:E85,AE18:AE85)+SUMPRODUCT(E102:E142,AE102:AE142)</f>
        <v>7205.0136986301368</v>
      </c>
      <c r="F177" s="155">
        <f t="shared" ref="F177:N177" si="99">SUMPRODUCT(F18:F85,AF18:AF85)+SUMPRODUCT(F102:F142,AF102:AF142)</f>
        <v>89406.876712328769</v>
      </c>
      <c r="G177" s="155">
        <f>SUMPRODUCT(G18:G85,AG18:AG85)+SUMPRODUCT(G102:G142,AG102:AG142)</f>
        <v>184535.34246575346</v>
      </c>
      <c r="H177" s="155">
        <f t="shared" si="99"/>
        <v>58581.063013698636</v>
      </c>
      <c r="I177" s="155">
        <f t="shared" si="99"/>
        <v>38851.978082191788</v>
      </c>
      <c r="J177" s="155">
        <f t="shared" si="99"/>
        <v>38490.27945205479</v>
      </c>
      <c r="K177" s="155">
        <f t="shared" si="99"/>
        <v>36626.334246575345</v>
      </c>
      <c r="L177" s="155">
        <f t="shared" si="99"/>
        <v>19969.545205479451</v>
      </c>
      <c r="M177" s="155">
        <f t="shared" si="99"/>
        <v>24203.561643835616</v>
      </c>
      <c r="N177" s="734">
        <f t="shared" si="99"/>
        <v>16681.238356164384</v>
      </c>
    </row>
    <row r="178" spans="2:14" x14ac:dyDescent="0.2">
      <c r="B178" s="733" t="s">
        <v>793</v>
      </c>
      <c r="E178" s="155">
        <f>SUMPRODUCT(E86:E100,AE86:AE100)</f>
        <v>514.16438356164383</v>
      </c>
      <c r="F178" s="155">
        <f t="shared" ref="F178:N178" si="100">SUMPRODUCT(F86:F100,AF86:AF100)</f>
        <v>2225.1369863013697</v>
      </c>
      <c r="G178" s="155">
        <f t="shared" si="100"/>
        <v>2174.7945205479455</v>
      </c>
      <c r="H178" s="155">
        <f t="shared" si="100"/>
        <v>526.03835616438357</v>
      </c>
      <c r="I178" s="155">
        <f t="shared" si="100"/>
        <v>0</v>
      </c>
      <c r="J178" s="155">
        <f t="shared" si="100"/>
        <v>63.013698630136993</v>
      </c>
      <c r="K178" s="155">
        <f t="shared" si="100"/>
        <v>126.02739726027399</v>
      </c>
      <c r="L178" s="155">
        <f t="shared" si="100"/>
        <v>0</v>
      </c>
      <c r="M178" s="155">
        <f t="shared" si="100"/>
        <v>0</v>
      </c>
      <c r="N178" s="734">
        <f t="shared" si="100"/>
        <v>0</v>
      </c>
    </row>
    <row r="179" spans="2:14" x14ac:dyDescent="0.2">
      <c r="B179" s="733" t="s">
        <v>794</v>
      </c>
      <c r="E179" s="155">
        <f>E170*AE170</f>
        <v>0</v>
      </c>
      <c r="F179" s="155">
        <f t="shared" ref="F179:N179" si="101">F170*AF170</f>
        <v>0</v>
      </c>
      <c r="G179" s="155">
        <f t="shared" si="101"/>
        <v>3626</v>
      </c>
      <c r="H179" s="155">
        <f t="shared" si="101"/>
        <v>583.75890410958914</v>
      </c>
      <c r="I179" s="155">
        <f t="shared" si="101"/>
        <v>0</v>
      </c>
      <c r="J179" s="155">
        <f t="shared" si="101"/>
        <v>0</v>
      </c>
      <c r="K179" s="155">
        <f t="shared" si="101"/>
        <v>0</v>
      </c>
      <c r="L179" s="155">
        <f t="shared" si="101"/>
        <v>0</v>
      </c>
      <c r="M179" s="155">
        <f t="shared" si="101"/>
        <v>0</v>
      </c>
      <c r="N179" s="734">
        <f t="shared" si="101"/>
        <v>0</v>
      </c>
    </row>
    <row r="180" spans="2:14" x14ac:dyDescent="0.2">
      <c r="B180" s="733" t="s">
        <v>551</v>
      </c>
      <c r="E180" s="155">
        <f>SUMPRODUCT(E161:E168,AE161:AE168)</f>
        <v>4081.0958904109589</v>
      </c>
      <c r="F180" s="155">
        <f t="shared" ref="F180:N180" si="102">SUMPRODUCT(F161:F168,AF161:AF168)</f>
        <v>3199.767123287671</v>
      </c>
      <c r="G180" s="155">
        <f t="shared" si="102"/>
        <v>2847.3698630136983</v>
      </c>
      <c r="H180" s="155">
        <f t="shared" si="102"/>
        <v>995.86849315068503</v>
      </c>
      <c r="I180" s="155">
        <f t="shared" si="102"/>
        <v>1136.0109589041097</v>
      </c>
      <c r="J180" s="155">
        <f t="shared" si="102"/>
        <v>0</v>
      </c>
      <c r="K180" s="155">
        <f t="shared" si="102"/>
        <v>0</v>
      </c>
      <c r="L180" s="155">
        <f t="shared" si="102"/>
        <v>0</v>
      </c>
      <c r="M180" s="155">
        <f t="shared" si="102"/>
        <v>0</v>
      </c>
      <c r="N180" s="734">
        <f t="shared" si="102"/>
        <v>0</v>
      </c>
    </row>
    <row r="181" spans="2:14" x14ac:dyDescent="0.2">
      <c r="B181" s="735" t="s">
        <v>408</v>
      </c>
      <c r="C181" s="366"/>
      <c r="D181" s="366"/>
      <c r="E181" s="367">
        <f>SUMPRODUCT(E144:E159,AE144:AE159)</f>
        <v>2719.8356164383567</v>
      </c>
      <c r="F181" s="367">
        <f t="shared" ref="F181:N181" si="103">SUMPRODUCT(F144:F159,AF144:AF159)</f>
        <v>4246.8904109589048</v>
      </c>
      <c r="G181" s="367">
        <f t="shared" si="103"/>
        <v>1394.8219178082195</v>
      </c>
      <c r="H181" s="367">
        <f t="shared" si="103"/>
        <v>718.10410958904117</v>
      </c>
      <c r="I181" s="367">
        <f t="shared" si="103"/>
        <v>0</v>
      </c>
      <c r="J181" s="367">
        <f t="shared" si="103"/>
        <v>0</v>
      </c>
      <c r="K181" s="367">
        <f t="shared" si="103"/>
        <v>0</v>
      </c>
      <c r="L181" s="367">
        <f t="shared" si="103"/>
        <v>0</v>
      </c>
      <c r="M181" s="367">
        <f t="shared" si="103"/>
        <v>0</v>
      </c>
      <c r="N181" s="736">
        <f t="shared" si="103"/>
        <v>0</v>
      </c>
    </row>
    <row r="182" spans="2:14" x14ac:dyDescent="0.2">
      <c r="B182" s="154" t="s">
        <v>795</v>
      </c>
      <c r="E182" s="360">
        <f>E175-SUM(E176:E181)</f>
        <v>0</v>
      </c>
      <c r="F182" s="360">
        <f t="shared" ref="F182:N182" si="104">F175-SUM(F176:F181)</f>
        <v>0</v>
      </c>
      <c r="G182" s="360">
        <f t="shared" si="104"/>
        <v>0</v>
      </c>
      <c r="H182" s="360">
        <f t="shared" si="104"/>
        <v>0</v>
      </c>
      <c r="I182" s="360">
        <f t="shared" si="104"/>
        <v>0</v>
      </c>
      <c r="J182" s="360">
        <f t="shared" si="104"/>
        <v>0</v>
      </c>
      <c r="K182" s="360">
        <f t="shared" si="104"/>
        <v>0</v>
      </c>
      <c r="L182" s="360">
        <f t="shared" si="104"/>
        <v>0</v>
      </c>
      <c r="M182" s="360">
        <f t="shared" si="104"/>
        <v>0</v>
      </c>
      <c r="N182" s="360">
        <f t="shared" si="104"/>
        <v>0</v>
      </c>
    </row>
  </sheetData>
  <sheetProtection algorithmName="SHA-512" hashValue="rKfH6c+FeyDOMf+VqIm21JNbLjKacSiJtx51GRFNucFTBJc0stxV2cdpFIpw0UEJC1H0bq3IHMXeWzfVma05qQ==" saltValue="t72suzKIlP+n+pP9ueKjiA==" spinCount="100000" sheet="1" objects="1" scenarios="1"/>
  <mergeCells count="7">
    <mergeCell ref="Q6:Q7"/>
    <mergeCell ref="R6:R7"/>
    <mergeCell ref="S4:S5"/>
    <mergeCell ref="A1:O1"/>
    <mergeCell ref="A2:O2"/>
    <mergeCell ref="A3:O3"/>
    <mergeCell ref="A4:O4"/>
  </mergeCells>
  <printOptions horizontalCentered="1"/>
  <pageMargins left="0" right="0" top="0" bottom="0" header="0" footer="0"/>
  <pageSetup scale="57" orientation="landscape" r:id="rId1"/>
  <rowBreaks count="2" manualBreakCount="2">
    <brk id="53" max="17" man="1"/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N43"/>
  <sheetViews>
    <sheetView showGridLines="0" topLeftCell="A6" zoomScale="70" zoomScaleNormal="70" workbookViewId="0">
      <selection activeCell="L22" sqref="L22"/>
    </sheetView>
  </sheetViews>
  <sheetFormatPr baseColWidth="10" defaultRowHeight="15" outlineLevelCol="1" x14ac:dyDescent="0.25"/>
  <cols>
    <col min="1" max="1" width="3.140625" customWidth="1"/>
    <col min="2" max="2" width="11.7109375" customWidth="1"/>
    <col min="3" max="4" width="16.28515625" customWidth="1"/>
    <col min="5" max="5" width="16.28515625" customWidth="1" outlineLevel="1"/>
    <col min="6" max="6" width="20.140625" customWidth="1"/>
    <col min="7" max="7" width="16.28515625" hidden="1" customWidth="1" outlineLevel="1"/>
    <col min="8" max="8" width="16.28515625" customWidth="1" collapsed="1"/>
    <col min="9" max="12" width="16.28515625" customWidth="1"/>
    <col min="13" max="13" width="18.28515625" customWidth="1"/>
  </cols>
  <sheetData>
    <row r="1" spans="2:14" s="108" customFormat="1" ht="12.75" hidden="1" x14ac:dyDescent="0.2">
      <c r="G1" s="109"/>
      <c r="H1" s="109"/>
    </row>
    <row r="2" spans="2:14" s="108" customFormat="1" ht="12.75" hidden="1" x14ac:dyDescent="0.2">
      <c r="G2" s="109"/>
      <c r="H2" s="109"/>
    </row>
    <row r="3" spans="2:14" s="108" customFormat="1" ht="12.75" hidden="1" x14ac:dyDescent="0.2">
      <c r="G3" s="109"/>
      <c r="H3" s="109"/>
    </row>
    <row r="4" spans="2:14" s="108" customFormat="1" ht="12.75" hidden="1" x14ac:dyDescent="0.2">
      <c r="G4" s="109"/>
      <c r="H4" s="109"/>
    </row>
    <row r="5" spans="2:14" s="108" customFormat="1" ht="12.75" hidden="1" x14ac:dyDescent="0.2">
      <c r="G5" s="109"/>
      <c r="H5" s="109"/>
    </row>
    <row r="6" spans="2:14" s="89" customFormat="1" ht="12.75" x14ac:dyDescent="0.2">
      <c r="B6" s="107"/>
    </row>
    <row r="7" spans="2:14" x14ac:dyDescent="0.25">
      <c r="B7" s="1008" t="s">
        <v>1114</v>
      </c>
    </row>
    <row r="8" spans="2:14" s="979" customFormat="1" x14ac:dyDescent="0.25"/>
    <row r="9" spans="2:14" ht="18.75" x14ac:dyDescent="0.3">
      <c r="B9" s="1005" t="s">
        <v>1115</v>
      </c>
      <c r="C9" s="989"/>
      <c r="D9" s="989"/>
      <c r="E9" s="989"/>
      <c r="F9" s="989"/>
      <c r="G9" s="989"/>
      <c r="H9" s="989"/>
      <c r="I9" s="989"/>
      <c r="J9" s="989"/>
      <c r="K9" s="989"/>
      <c r="L9" s="989"/>
      <c r="M9" s="989"/>
    </row>
    <row r="10" spans="2:14" ht="18.75" x14ac:dyDescent="0.25">
      <c r="B10" s="1006" t="s">
        <v>1116</v>
      </c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</row>
    <row r="11" spans="2:14" x14ac:dyDescent="0.25">
      <c r="K11" s="991"/>
    </row>
    <row r="12" spans="2:14" x14ac:dyDescent="0.25">
      <c r="B12" s="1034" t="s">
        <v>1117</v>
      </c>
      <c r="C12" s="1034" t="s">
        <v>1118</v>
      </c>
      <c r="D12" s="1035" t="s">
        <v>1119</v>
      </c>
      <c r="E12" s="1035"/>
      <c r="F12" s="1035"/>
      <c r="G12" s="1035"/>
      <c r="H12" s="1035"/>
      <c r="I12" s="1035"/>
      <c r="J12" s="1009"/>
      <c r="K12" s="1033" t="s">
        <v>1120</v>
      </c>
      <c r="L12" s="991"/>
      <c r="M12" s="1033" t="s">
        <v>1121</v>
      </c>
      <c r="N12" s="1033" t="s">
        <v>1122</v>
      </c>
    </row>
    <row r="13" spans="2:14" ht="45" x14ac:dyDescent="0.25">
      <c r="B13" s="1034"/>
      <c r="C13" s="1034"/>
      <c r="D13" s="997" t="s">
        <v>1123</v>
      </c>
      <c r="E13" s="997" t="s">
        <v>1124</v>
      </c>
      <c r="F13" s="997" t="s">
        <v>1125</v>
      </c>
      <c r="G13" s="997" t="s">
        <v>1126</v>
      </c>
      <c r="H13" s="997" t="s">
        <v>1127</v>
      </c>
      <c r="I13" s="997" t="s">
        <v>1128</v>
      </c>
      <c r="J13" s="997" t="s">
        <v>1142</v>
      </c>
      <c r="K13" s="1033"/>
      <c r="L13" s="991"/>
      <c r="M13" s="1033"/>
      <c r="N13" s="1033"/>
    </row>
    <row r="14" spans="2:14" x14ac:dyDescent="0.25">
      <c r="B14" s="992" t="s">
        <v>1129</v>
      </c>
      <c r="C14" s="992">
        <v>110</v>
      </c>
      <c r="D14" s="993">
        <v>47.56</v>
      </c>
      <c r="E14" s="993">
        <v>8.1</v>
      </c>
      <c r="F14" s="993">
        <v>4.78</v>
      </c>
      <c r="G14" s="993"/>
      <c r="H14" s="993"/>
      <c r="I14" s="993">
        <f>SUM(D14:H14)</f>
        <v>60.440000000000005</v>
      </c>
      <c r="J14" s="993">
        <f>I14*(1.07)</f>
        <v>64.670800000000014</v>
      </c>
      <c r="K14" s="993">
        <f>J14*0.16</f>
        <v>10.347328000000003</v>
      </c>
      <c r="L14" s="991"/>
      <c r="M14" s="993">
        <v>8.1199999999999992</v>
      </c>
      <c r="N14" s="993">
        <f>(7.726)-M14</f>
        <v>-0.39399999999999924</v>
      </c>
    </row>
    <row r="15" spans="2:14" x14ac:dyDescent="0.25">
      <c r="B15" s="992" t="s">
        <v>1130</v>
      </c>
      <c r="C15" s="992">
        <v>143</v>
      </c>
      <c r="D15" s="993">
        <v>61.82</v>
      </c>
      <c r="E15" s="993"/>
      <c r="F15" s="993">
        <v>4.78</v>
      </c>
      <c r="G15" s="993">
        <v>5.29</v>
      </c>
      <c r="H15" s="993"/>
      <c r="I15" s="993">
        <f t="shared" ref="I15:I16" si="0">SUM(D15:H15)</f>
        <v>71.89</v>
      </c>
      <c r="J15" s="993">
        <f t="shared" ref="J15:J16" si="1">I15*(1.07)</f>
        <v>76.922300000000007</v>
      </c>
      <c r="K15" s="993">
        <f t="shared" ref="K15:K16" si="2">J15*0.16</f>
        <v>12.307568000000002</v>
      </c>
      <c r="L15" s="991"/>
      <c r="M15" s="993">
        <v>6.74</v>
      </c>
      <c r="N15" s="993">
        <f>(45.724)-M15</f>
        <v>38.983999999999995</v>
      </c>
    </row>
    <row r="16" spans="2:14" x14ac:dyDescent="0.25">
      <c r="B16" s="992" t="s">
        <v>1131</v>
      </c>
      <c r="C16" s="992">
        <v>44</v>
      </c>
      <c r="D16" s="993">
        <v>19.02</v>
      </c>
      <c r="E16" s="993"/>
      <c r="F16" s="993"/>
      <c r="G16" s="993">
        <v>5.29</v>
      </c>
      <c r="H16" s="993">
        <v>4.5</v>
      </c>
      <c r="I16" s="993">
        <f t="shared" si="0"/>
        <v>28.81</v>
      </c>
      <c r="J16" s="993">
        <f t="shared" si="1"/>
        <v>30.826699999999999</v>
      </c>
      <c r="K16" s="993">
        <f t="shared" si="2"/>
        <v>4.9322720000000002</v>
      </c>
      <c r="L16" s="991"/>
      <c r="M16" s="993">
        <v>2.5099999999999998</v>
      </c>
      <c r="N16" s="993">
        <f>(6.683)-M16</f>
        <v>4.173</v>
      </c>
    </row>
    <row r="17" spans="2:14" x14ac:dyDescent="0.25">
      <c r="B17" s="1000" t="s">
        <v>40</v>
      </c>
      <c r="C17" s="1000">
        <f>SUM(C14:C16)</f>
        <v>297</v>
      </c>
      <c r="D17" s="1002">
        <f t="shared" ref="D17:G17" si="3">SUM(D14:D16)</f>
        <v>128.4</v>
      </c>
      <c r="E17" s="1002">
        <f t="shared" si="3"/>
        <v>8.1</v>
      </c>
      <c r="F17" s="1002">
        <f t="shared" si="3"/>
        <v>9.56</v>
      </c>
      <c r="G17" s="1002">
        <f t="shared" si="3"/>
        <v>10.58</v>
      </c>
      <c r="H17" s="1002">
        <f>SUM(H14:H16)</f>
        <v>4.5</v>
      </c>
      <c r="I17" s="1002">
        <f>SUM(I14:I16)</f>
        <v>161.14000000000001</v>
      </c>
      <c r="J17" s="1002">
        <f>SUM(J14:J16)</f>
        <v>172.41980000000001</v>
      </c>
      <c r="K17" s="1002">
        <f>SUM(K14:K16)</f>
        <v>27.587168000000005</v>
      </c>
      <c r="L17" s="991"/>
      <c r="M17" s="1002">
        <f t="shared" ref="M17" si="4">SUM(M14:M16)</f>
        <v>17.369999999999997</v>
      </c>
      <c r="N17" s="1002">
        <f>SUM(N14:N16)</f>
        <v>42.762999999999998</v>
      </c>
    </row>
    <row r="18" spans="2:14" x14ac:dyDescent="0.25">
      <c r="J18" s="994"/>
      <c r="K18" s="991"/>
      <c r="M18" s="994"/>
    </row>
    <row r="19" spans="2:14" x14ac:dyDescent="0.25">
      <c r="J19" s="994"/>
      <c r="K19" s="991"/>
      <c r="M19" s="994"/>
    </row>
    <row r="20" spans="2:14" ht="60" x14ac:dyDescent="0.25">
      <c r="B20" s="998" t="s">
        <v>1117</v>
      </c>
      <c r="C20" s="999" t="s">
        <v>1132</v>
      </c>
      <c r="D20" s="999" t="s">
        <v>1133</v>
      </c>
      <c r="E20" s="999" t="s">
        <v>1134</v>
      </c>
      <c r="F20" s="999" t="s">
        <v>1135</v>
      </c>
      <c r="G20" s="999" t="str">
        <f>+E20</f>
        <v>ITBMS</v>
      </c>
      <c r="H20" s="999" t="s">
        <v>1136</v>
      </c>
      <c r="I20" s="999" t="s">
        <v>1137</v>
      </c>
      <c r="J20" s="999" t="str">
        <f>+N12</f>
        <v>Servidumbre ETESA</v>
      </c>
      <c r="K20" s="999" t="s">
        <v>1138</v>
      </c>
      <c r="L20" s="999" t="s">
        <v>1139</v>
      </c>
      <c r="M20" s="999" t="s">
        <v>1140</v>
      </c>
    </row>
    <row r="21" spans="2:14" x14ac:dyDescent="0.25">
      <c r="B21" s="992" t="s">
        <v>1129</v>
      </c>
      <c r="C21" s="1003">
        <v>42758</v>
      </c>
      <c r="D21" s="995">
        <f>103.08-F21</f>
        <v>88.31</v>
      </c>
      <c r="E21" s="995">
        <f>+D21*0.07</f>
        <v>6.1817000000000011</v>
      </c>
      <c r="F21" s="996">
        <f>37.83-23.06</f>
        <v>14.77</v>
      </c>
      <c r="G21" s="995">
        <f>F21*0.07</f>
        <v>1.0339</v>
      </c>
      <c r="H21" s="995">
        <f>SUM(D21:G21)</f>
        <v>110.29560000000001</v>
      </c>
      <c r="I21" s="995">
        <f>+K14</f>
        <v>10.347328000000003</v>
      </c>
      <c r="J21" s="995">
        <f>+N14</f>
        <v>-0.39399999999999924</v>
      </c>
      <c r="K21" s="996">
        <f>-(7.726-6.451)</f>
        <v>-1.2750000000000004</v>
      </c>
      <c r="L21" s="995">
        <f>SUM(H21:K21)</f>
        <v>118.973928</v>
      </c>
      <c r="M21" s="1004">
        <f>+(DATE(YEAR(C21),12,31)-C21)/365</f>
        <v>0.93698630136986305</v>
      </c>
    </row>
    <row r="22" spans="2:14" x14ac:dyDescent="0.25">
      <c r="B22" s="992" t="s">
        <v>1130</v>
      </c>
      <c r="C22" s="1003">
        <v>43009</v>
      </c>
      <c r="D22" s="995">
        <f>99.56-F22</f>
        <v>85.42</v>
      </c>
      <c r="E22" s="995">
        <f t="shared" ref="E22:E23" si="5">+D22*0.07</f>
        <v>5.9794000000000009</v>
      </c>
      <c r="F22" s="996">
        <v>14.14</v>
      </c>
      <c r="G22" s="995">
        <f t="shared" ref="G22:G23" si="6">F22*0.07</f>
        <v>0.98980000000000012</v>
      </c>
      <c r="H22" s="995">
        <f t="shared" ref="H22:H23" si="7">SUM(D22:G22)</f>
        <v>106.5292</v>
      </c>
      <c r="I22" s="995">
        <f>+K15</f>
        <v>12.307568000000002</v>
      </c>
      <c r="J22" s="995">
        <f>+N15</f>
        <v>38.983999999999995</v>
      </c>
      <c r="K22" s="996">
        <f>-(45.724-38.98)</f>
        <v>-6.7439999999999998</v>
      </c>
      <c r="L22" s="995">
        <f t="shared" ref="L22:L23" si="8">SUM(H22:K22)</f>
        <v>151.07676799999999</v>
      </c>
      <c r="M22" s="1004">
        <f>+(DATE(YEAR(C22),12,31)-C22)/365</f>
        <v>0.24931506849315069</v>
      </c>
    </row>
    <row r="23" spans="2:14" x14ac:dyDescent="0.25">
      <c r="B23" s="992" t="s">
        <v>1131</v>
      </c>
      <c r="C23" s="1003">
        <v>42984</v>
      </c>
      <c r="D23" s="995">
        <f>64.06-F23</f>
        <v>55.14</v>
      </c>
      <c r="E23" s="995">
        <f t="shared" si="5"/>
        <v>3.8598000000000003</v>
      </c>
      <c r="F23" s="996">
        <f>23.06-F22</f>
        <v>8.9199999999999982</v>
      </c>
      <c r="G23" s="995">
        <f t="shared" si="6"/>
        <v>0.62439999999999996</v>
      </c>
      <c r="H23" s="995">
        <f t="shared" si="7"/>
        <v>68.544199999999989</v>
      </c>
      <c r="I23" s="995">
        <f>+K16</f>
        <v>4.9322720000000002</v>
      </c>
      <c r="J23" s="995">
        <f>+N16</f>
        <v>4.173</v>
      </c>
      <c r="K23" s="996">
        <f>-(6.68-4.46)</f>
        <v>-2.2199999999999998</v>
      </c>
      <c r="L23" s="995">
        <f t="shared" si="8"/>
        <v>75.42947199999999</v>
      </c>
      <c r="M23" s="1004">
        <f>+(DATE(YEAR(C23),12,31)-C23)/365</f>
        <v>0.31780821917808222</v>
      </c>
    </row>
    <row r="24" spans="2:14" x14ac:dyDescent="0.25">
      <c r="B24" s="1000" t="s">
        <v>40</v>
      </c>
      <c r="C24" s="1000"/>
      <c r="D24" s="1001">
        <f>SUM(D21:D23)</f>
        <v>228.87</v>
      </c>
      <c r="E24" s="1001">
        <f t="shared" ref="E24:H24" si="9">SUM(E21:E23)</f>
        <v>16.020900000000001</v>
      </c>
      <c r="F24" s="1001">
        <f>SUM(F21:F23)</f>
        <v>37.83</v>
      </c>
      <c r="G24" s="1001">
        <f t="shared" si="9"/>
        <v>2.6481000000000003</v>
      </c>
      <c r="H24" s="1001">
        <f t="shared" si="9"/>
        <v>285.36900000000003</v>
      </c>
      <c r="I24" s="1001">
        <f>SUM(I21:I23)</f>
        <v>27.587168000000005</v>
      </c>
      <c r="J24" s="1001">
        <f>SUM(J21:J23)</f>
        <v>42.762999999999998</v>
      </c>
      <c r="K24" s="1001">
        <f>SUM(K21:K23)</f>
        <v>-10.239000000000001</v>
      </c>
      <c r="L24" s="1001">
        <f>SUM(L21:L23)</f>
        <v>345.48016799999999</v>
      </c>
      <c r="M24" s="1001">
        <f>+SUMPRODUCT(L21:L23,M21:M23)</f>
        <v>173.1147616876712</v>
      </c>
    </row>
    <row r="26" spans="2:14" x14ac:dyDescent="0.25">
      <c r="L26" s="1007">
        <f>+L24-K24</f>
        <v>355.71916799999997</v>
      </c>
    </row>
    <row r="29" spans="2:14" x14ac:dyDescent="0.25">
      <c r="B29" s="980" t="s">
        <v>1099</v>
      </c>
      <c r="C29" s="981" t="s">
        <v>429</v>
      </c>
      <c r="D29" s="981" t="s">
        <v>1100</v>
      </c>
      <c r="E29" s="981" t="s">
        <v>413</v>
      </c>
    </row>
    <row r="30" spans="2:14" ht="45" x14ac:dyDescent="0.25">
      <c r="B30" s="983" t="s">
        <v>1101</v>
      </c>
      <c r="C30" s="984">
        <v>44.11</v>
      </c>
      <c r="D30" s="984">
        <v>3.09</v>
      </c>
      <c r="E30" s="984">
        <v>47.2</v>
      </c>
    </row>
    <row r="31" spans="2:14" ht="75" x14ac:dyDescent="0.25">
      <c r="B31" s="983" t="s">
        <v>1102</v>
      </c>
      <c r="C31" s="984">
        <v>6.27</v>
      </c>
      <c r="D31" s="984">
        <v>0.44</v>
      </c>
      <c r="E31" s="984">
        <v>6.71</v>
      </c>
    </row>
    <row r="32" spans="2:14" ht="30" x14ac:dyDescent="0.25">
      <c r="B32" s="983" t="s">
        <v>1103</v>
      </c>
      <c r="C32" s="984">
        <v>17.37</v>
      </c>
      <c r="D32" s="984">
        <v>1.21</v>
      </c>
      <c r="E32" s="984">
        <v>18.579999999999998</v>
      </c>
    </row>
    <row r="33" spans="2:5" ht="45" x14ac:dyDescent="0.25">
      <c r="B33" s="983" t="s">
        <v>1104</v>
      </c>
      <c r="C33" s="984">
        <v>128.38999999999999</v>
      </c>
      <c r="D33" s="984">
        <v>8.99</v>
      </c>
      <c r="E33" s="984">
        <v>137.38</v>
      </c>
    </row>
    <row r="34" spans="2:5" ht="45" x14ac:dyDescent="0.25">
      <c r="B34" s="983" t="s">
        <v>1105</v>
      </c>
      <c r="C34" s="984">
        <v>8.1</v>
      </c>
      <c r="D34" s="984">
        <v>0.56999999999999995</v>
      </c>
      <c r="E34" s="984">
        <v>8.67</v>
      </c>
    </row>
    <row r="35" spans="2:5" ht="60" x14ac:dyDescent="0.25">
      <c r="B35" s="983" t="s">
        <v>1106</v>
      </c>
      <c r="C35" s="984">
        <v>9.56</v>
      </c>
      <c r="D35" s="984">
        <v>0.67</v>
      </c>
      <c r="E35" s="984">
        <v>10.23</v>
      </c>
    </row>
    <row r="36" spans="2:5" ht="60" x14ac:dyDescent="0.25">
      <c r="B36" s="983" t="s">
        <v>1107</v>
      </c>
      <c r="C36" s="984">
        <v>10.58</v>
      </c>
      <c r="D36" s="984">
        <v>0.74</v>
      </c>
      <c r="E36" s="984">
        <v>11.32</v>
      </c>
    </row>
    <row r="37" spans="2:5" ht="45" x14ac:dyDescent="0.25">
      <c r="B37" s="983" t="s">
        <v>1108</v>
      </c>
      <c r="C37" s="984">
        <v>4.5</v>
      </c>
      <c r="D37" s="984">
        <v>0.31</v>
      </c>
      <c r="E37" s="984">
        <v>4.8099999999999996</v>
      </c>
    </row>
    <row r="38" spans="2:5" x14ac:dyDescent="0.25">
      <c r="B38" s="982" t="s">
        <v>1109</v>
      </c>
      <c r="C38" s="985">
        <f>+SUM(C30:C37)</f>
        <v>228.88</v>
      </c>
      <c r="D38" s="985">
        <f>+SUM(D30:D37)</f>
        <v>16.02</v>
      </c>
      <c r="E38" s="985">
        <f>+SUM(E30:E37)</f>
        <v>244.89999999999998</v>
      </c>
    </row>
    <row r="39" spans="2:5" ht="60" x14ac:dyDescent="0.25">
      <c r="B39" s="983" t="s">
        <v>1110</v>
      </c>
      <c r="C39" s="984">
        <v>37.83</v>
      </c>
      <c r="D39" s="984">
        <v>2.65</v>
      </c>
      <c r="E39" s="984">
        <v>40.479999999999997</v>
      </c>
    </row>
    <row r="40" spans="2:5" ht="30" x14ac:dyDescent="0.25">
      <c r="B40" s="983" t="s">
        <v>1111</v>
      </c>
      <c r="C40" s="984">
        <v>42.76</v>
      </c>
      <c r="D40" s="986"/>
      <c r="E40" s="984">
        <v>42.8</v>
      </c>
    </row>
    <row r="41" spans="2:5" ht="60" x14ac:dyDescent="0.25">
      <c r="B41" s="1011" t="s">
        <v>1112</v>
      </c>
      <c r="C41" s="1012">
        <f>-10.23</f>
        <v>-10.23</v>
      </c>
      <c r="D41" s="1013"/>
      <c r="E41" s="1012">
        <f>C41</f>
        <v>-10.23</v>
      </c>
    </row>
    <row r="42" spans="2:5" ht="30" x14ac:dyDescent="0.25">
      <c r="B42" s="983" t="s">
        <v>1113</v>
      </c>
      <c r="C42" s="984">
        <f>K17</f>
        <v>27.587168000000005</v>
      </c>
      <c r="D42" s="987"/>
      <c r="E42" s="984">
        <f>C42</f>
        <v>27.587168000000005</v>
      </c>
    </row>
    <row r="43" spans="2:5" x14ac:dyDescent="0.25">
      <c r="B43" s="982" t="s">
        <v>413</v>
      </c>
      <c r="C43" s="985">
        <f>+SUM(C38:C42)</f>
        <v>326.82716799999997</v>
      </c>
      <c r="D43" s="985">
        <f>+SUM(D38:D42)</f>
        <v>18.669999999999998</v>
      </c>
      <c r="E43" s="985">
        <f>+SUM(E38:E42)</f>
        <v>345.53716800000001</v>
      </c>
    </row>
  </sheetData>
  <sheetProtection algorithmName="SHA-512" hashValue="WA2F1amdMhk0uFmhcLrpm9TqcsHAnB8CPoEEqY+YQKFuPuk9fhRqcXpiRuzkeknaK8pXnaXoITDqVt72NL55eQ==" saltValue="IaFlONBV/daASutyVfGXzw==" spinCount="100000" sheet="1" objects="1" scenarios="1"/>
  <mergeCells count="6">
    <mergeCell ref="N12:N13"/>
    <mergeCell ref="B12:B13"/>
    <mergeCell ref="C12:C13"/>
    <mergeCell ref="D12:I12"/>
    <mergeCell ref="K12:K13"/>
    <mergeCell ref="M12:M13"/>
  </mergeCells>
  <pageMargins left="0.7" right="0.7" top="0.75" bottom="0.75" header="0.3" footer="0.3"/>
  <pageSetup paperSize="5" scale="82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8" tint="-0.249977111117893"/>
  </sheetPr>
  <dimension ref="B1:R139"/>
  <sheetViews>
    <sheetView showGridLines="0" topLeftCell="A6" zoomScale="70" zoomScaleNormal="70" workbookViewId="0">
      <selection activeCell="F22" sqref="F22"/>
    </sheetView>
  </sheetViews>
  <sheetFormatPr baseColWidth="10" defaultRowHeight="15" x14ac:dyDescent="0.25"/>
  <cols>
    <col min="1" max="1" width="3.7109375" customWidth="1"/>
    <col min="2" max="2" width="28.7109375" customWidth="1"/>
    <col min="3" max="8" width="24.85546875" customWidth="1"/>
    <col min="10" max="10" width="37.42578125" bestFit="1" customWidth="1"/>
    <col min="11" max="11" width="14" customWidth="1"/>
    <col min="12" max="12" width="29.28515625" bestFit="1" customWidth="1"/>
    <col min="13" max="15" width="14" customWidth="1"/>
    <col min="16" max="17" width="16.42578125" customWidth="1"/>
    <col min="18" max="18" width="14" customWidth="1"/>
  </cols>
  <sheetData>
    <row r="1" spans="2:18" s="28" customFormat="1" ht="12.75" hidden="1" x14ac:dyDescent="0.2"/>
    <row r="2" spans="2:18" s="28" customFormat="1" ht="12.75" hidden="1" x14ac:dyDescent="0.2"/>
    <row r="3" spans="2:18" s="28" customFormat="1" ht="12.75" hidden="1" x14ac:dyDescent="0.2"/>
    <row r="4" spans="2:18" s="28" customFormat="1" ht="12.75" hidden="1" x14ac:dyDescent="0.2"/>
    <row r="5" spans="2:18" s="28" customFormat="1" ht="12.75" hidden="1" x14ac:dyDescent="0.2"/>
    <row r="6" spans="2:18" s="89" customFormat="1" ht="12.75" x14ac:dyDescent="0.2">
      <c r="B6" s="107" t="s">
        <v>1020</v>
      </c>
    </row>
    <row r="7" spans="2:18" x14ac:dyDescent="0.25">
      <c r="J7" s="263"/>
      <c r="K7" s="263"/>
      <c r="L7" s="263"/>
      <c r="M7" s="263"/>
      <c r="N7" s="263"/>
      <c r="O7" s="263"/>
      <c r="P7" s="264"/>
      <c r="Q7" s="264"/>
      <c r="R7" s="264"/>
    </row>
    <row r="8" spans="2:18" x14ac:dyDescent="0.25">
      <c r="B8" s="554" t="s">
        <v>1022</v>
      </c>
      <c r="J8" s="263"/>
      <c r="K8" s="263"/>
      <c r="L8" s="263"/>
      <c r="M8" s="263"/>
      <c r="N8" s="263"/>
      <c r="O8" s="263"/>
      <c r="P8" s="264"/>
      <c r="Q8" s="264"/>
      <c r="R8" s="264"/>
    </row>
    <row r="9" spans="2:18" x14ac:dyDescent="0.25">
      <c r="B9" t="s">
        <v>1023</v>
      </c>
      <c r="J9" s="263"/>
      <c r="K9" s="263"/>
      <c r="L9" s="263"/>
      <c r="M9" s="263"/>
      <c r="N9" s="263"/>
      <c r="O9" s="263"/>
      <c r="P9" s="264"/>
      <c r="Q9" s="264"/>
      <c r="R9" s="264"/>
    </row>
    <row r="10" spans="2:18" x14ac:dyDescent="0.25">
      <c r="B10" t="s">
        <v>1024</v>
      </c>
      <c r="J10" s="263"/>
      <c r="K10" s="263"/>
      <c r="L10" s="263"/>
      <c r="M10" s="263"/>
      <c r="N10" s="263"/>
      <c r="O10" s="263"/>
      <c r="P10" s="264"/>
      <c r="Q10" s="264"/>
      <c r="R10" s="264"/>
    </row>
    <row r="11" spans="2:18" x14ac:dyDescent="0.25">
      <c r="B11" t="s">
        <v>1025</v>
      </c>
      <c r="J11" s="263"/>
      <c r="K11" s="263"/>
      <c r="L11" s="263"/>
      <c r="M11" s="263"/>
      <c r="N11" s="263"/>
      <c r="O11" s="263"/>
      <c r="P11" s="264"/>
      <c r="Q11" s="264"/>
      <c r="R11" s="264"/>
    </row>
    <row r="12" spans="2:18" x14ac:dyDescent="0.25">
      <c r="J12" s="263"/>
      <c r="K12" s="263"/>
      <c r="L12" s="263"/>
      <c r="M12" s="263"/>
      <c r="N12" s="263"/>
      <c r="O12" s="263"/>
      <c r="P12" s="1036" t="s">
        <v>663</v>
      </c>
      <c r="Q12" s="1036"/>
      <c r="R12" s="264"/>
    </row>
    <row r="13" spans="2:18" ht="30" x14ac:dyDescent="0.25">
      <c r="B13" s="260" t="s">
        <v>1092</v>
      </c>
      <c r="C13" s="259" t="s">
        <v>637</v>
      </c>
      <c r="D13" s="259" t="s">
        <v>638</v>
      </c>
      <c r="E13" s="260" t="s">
        <v>639</v>
      </c>
      <c r="F13" s="260" t="s">
        <v>640</v>
      </c>
      <c r="G13" s="259" t="s">
        <v>641</v>
      </c>
      <c r="J13" s="265"/>
      <c r="K13" s="265"/>
      <c r="L13" s="265"/>
      <c r="M13" s="266" t="s">
        <v>410</v>
      </c>
      <c r="N13" s="266" t="s">
        <v>664</v>
      </c>
      <c r="O13" s="266" t="s">
        <v>665</v>
      </c>
      <c r="P13" s="266" t="s">
        <v>666</v>
      </c>
      <c r="Q13" s="266" t="s">
        <v>667</v>
      </c>
      <c r="R13" s="266" t="s">
        <v>668</v>
      </c>
    </row>
    <row r="14" spans="2:18" x14ac:dyDescent="0.25">
      <c r="B14" s="261" t="s">
        <v>642</v>
      </c>
      <c r="C14" s="545">
        <v>37405464.083826393</v>
      </c>
      <c r="D14" s="545">
        <v>13588617.723184085</v>
      </c>
      <c r="E14" s="545">
        <v>68616925.537850052</v>
      </c>
      <c r="F14" s="545">
        <v>50994081.807010479</v>
      </c>
      <c r="G14" s="546">
        <v>-0.25682939876282518</v>
      </c>
      <c r="J14" s="267"/>
      <c r="K14" s="268" t="s">
        <v>669</v>
      </c>
      <c r="L14" s="269" t="s">
        <v>670</v>
      </c>
      <c r="M14" s="268">
        <v>1976</v>
      </c>
      <c r="N14" s="270">
        <v>68.14</v>
      </c>
      <c r="O14" s="270">
        <v>69.14</v>
      </c>
      <c r="P14" s="1037">
        <v>20178991.507402539</v>
      </c>
      <c r="Q14" s="1037">
        <v>19615932.974096179</v>
      </c>
      <c r="R14" s="1038">
        <v>-2.7903204830618256E-2</v>
      </c>
    </row>
    <row r="15" spans="2:18" x14ac:dyDescent="0.25">
      <c r="B15" s="261" t="s">
        <v>643</v>
      </c>
      <c r="C15" s="545">
        <v>41362073.788588807</v>
      </c>
      <c r="D15" s="545">
        <v>20315255.794709723</v>
      </c>
      <c r="E15" s="545">
        <v>74612244.638079613</v>
      </c>
      <c r="F15" s="545">
        <v>61677329.583298534</v>
      </c>
      <c r="G15" s="546">
        <v>-0.1733618271039058</v>
      </c>
      <c r="J15" s="267"/>
      <c r="K15" s="268" t="s">
        <v>671</v>
      </c>
      <c r="L15" s="269" t="s">
        <v>672</v>
      </c>
      <c r="M15" s="268">
        <v>1976</v>
      </c>
      <c r="N15" s="270">
        <v>19</v>
      </c>
      <c r="O15" s="270">
        <v>19</v>
      </c>
      <c r="P15" s="1037"/>
      <c r="Q15" s="1037"/>
      <c r="R15" s="1038"/>
    </row>
    <row r="16" spans="2:18" x14ac:dyDescent="0.25">
      <c r="B16" s="261" t="s">
        <v>644</v>
      </c>
      <c r="C16" s="545">
        <v>22532435.594892804</v>
      </c>
      <c r="D16" s="547"/>
      <c r="E16" s="545">
        <v>33232565.1076928</v>
      </c>
      <c r="F16" s="545">
        <v>22532435.594892804</v>
      </c>
      <c r="G16" s="546">
        <v>-0.32197723763198438</v>
      </c>
      <c r="J16" s="267"/>
      <c r="K16" s="268" t="s">
        <v>673</v>
      </c>
      <c r="L16" s="269" t="s">
        <v>674</v>
      </c>
      <c r="M16" s="268">
        <v>1976</v>
      </c>
      <c r="N16" s="270">
        <v>59.04</v>
      </c>
      <c r="O16" s="270">
        <v>59.04</v>
      </c>
      <c r="P16" s="1037"/>
      <c r="Q16" s="1037"/>
      <c r="R16" s="1038"/>
    </row>
    <row r="17" spans="2:18" x14ac:dyDescent="0.25">
      <c r="B17" s="261" t="s">
        <v>645</v>
      </c>
      <c r="C17" s="545">
        <v>13108354.8064976</v>
      </c>
      <c r="D17" s="547"/>
      <c r="E17" s="545">
        <v>16497052.810097599</v>
      </c>
      <c r="F17" s="545">
        <v>13108354.8064976</v>
      </c>
      <c r="G17" s="546">
        <v>-0.2054123268324527</v>
      </c>
      <c r="J17" s="271"/>
      <c r="K17" s="272" t="s">
        <v>675</v>
      </c>
      <c r="L17" s="273" t="s">
        <v>676</v>
      </c>
      <c r="M17" s="272">
        <v>1976</v>
      </c>
      <c r="N17" s="272">
        <v>12.94</v>
      </c>
      <c r="O17" s="272">
        <v>25.88</v>
      </c>
      <c r="P17" s="551">
        <v>4078818.6468673046</v>
      </c>
      <c r="Q17" s="551">
        <v>4485637.8776653893</v>
      </c>
      <c r="R17" s="552">
        <v>9.973947508319303E-2</v>
      </c>
    </row>
    <row r="18" spans="2:18" x14ac:dyDescent="0.25">
      <c r="B18" s="261" t="s">
        <v>646</v>
      </c>
      <c r="C18" s="545">
        <v>44731071.6358376</v>
      </c>
      <c r="D18" s="547"/>
      <c r="E18" s="545">
        <v>61592028.894437604</v>
      </c>
      <c r="F18" s="545">
        <v>44731071.6358376</v>
      </c>
      <c r="G18" s="546">
        <v>-0.27375226244775841</v>
      </c>
      <c r="J18" s="274"/>
      <c r="K18" s="272" t="s">
        <v>677</v>
      </c>
      <c r="L18" s="273" t="s">
        <v>678</v>
      </c>
      <c r="M18" s="272">
        <v>1978</v>
      </c>
      <c r="N18" s="272">
        <v>40.299999999999997</v>
      </c>
      <c r="O18" s="272">
        <v>80.599999999999994</v>
      </c>
      <c r="P18" s="551">
        <v>10632028.461915571</v>
      </c>
      <c r="Q18" s="551">
        <v>11501137.176232608</v>
      </c>
      <c r="R18" s="552">
        <v>8.1744393125942505E-2</v>
      </c>
    </row>
    <row r="19" spans="2:18" x14ac:dyDescent="0.25">
      <c r="B19" s="261" t="s">
        <v>647</v>
      </c>
      <c r="C19" s="545">
        <v>31203756.334541604</v>
      </c>
      <c r="D19" s="547"/>
      <c r="E19" s="545">
        <v>43112748.029141612</v>
      </c>
      <c r="F19" s="545">
        <v>31203756.334541604</v>
      </c>
      <c r="G19" s="546">
        <v>-0.27622900972469322</v>
      </c>
      <c r="J19" s="274"/>
      <c r="K19" s="272" t="s">
        <v>679</v>
      </c>
      <c r="L19" s="273" t="s">
        <v>680</v>
      </c>
      <c r="M19" s="272">
        <v>1978</v>
      </c>
      <c r="N19" s="275">
        <v>142.05000000000001</v>
      </c>
      <c r="O19" s="275">
        <v>284.10000000000002</v>
      </c>
      <c r="P19" s="551">
        <v>38763285.30768653</v>
      </c>
      <c r="Q19" s="551">
        <v>40539368.136075482</v>
      </c>
      <c r="R19" s="552">
        <v>4.581868678805634E-2</v>
      </c>
    </row>
    <row r="20" spans="2:18" x14ac:dyDescent="0.25">
      <c r="B20" s="261" t="s">
        <v>648</v>
      </c>
      <c r="C20" s="545">
        <v>10007215.353196798</v>
      </c>
      <c r="D20" s="547"/>
      <c r="E20" s="545">
        <v>14590210.933996798</v>
      </c>
      <c r="F20" s="545">
        <v>10007215.353196798</v>
      </c>
      <c r="G20" s="546">
        <v>-0.31411441558539199</v>
      </c>
      <c r="J20" s="274" t="s">
        <v>681</v>
      </c>
      <c r="K20" s="272" t="s">
        <v>682</v>
      </c>
      <c r="L20" s="273" t="s">
        <v>683</v>
      </c>
      <c r="M20" s="272">
        <v>1978</v>
      </c>
      <c r="N20" s="292">
        <v>110.21</v>
      </c>
      <c r="O20" s="272">
        <v>220.42</v>
      </c>
      <c r="P20" s="551">
        <v>28995449.928444628</v>
      </c>
      <c r="Q20" s="551">
        <v>31452613.602793947</v>
      </c>
      <c r="R20" s="552">
        <v>8.4743077979929415E-2</v>
      </c>
    </row>
    <row r="21" spans="2:18" x14ac:dyDescent="0.25">
      <c r="B21" s="261" t="s">
        <v>649</v>
      </c>
      <c r="C21" s="545">
        <v>27734857.365010396</v>
      </c>
      <c r="D21" s="545">
        <v>4656542.4821562013</v>
      </c>
      <c r="E21" s="545">
        <v>40191969.881577902</v>
      </c>
      <c r="F21" s="545">
        <v>32391399.847166598</v>
      </c>
      <c r="G21" s="546">
        <v>-0.19408279955909091</v>
      </c>
      <c r="J21" s="274" t="s">
        <v>684</v>
      </c>
      <c r="K21" s="272" t="s">
        <v>685</v>
      </c>
      <c r="L21" s="273" t="s">
        <v>686</v>
      </c>
      <c r="M21" s="272">
        <v>1979</v>
      </c>
      <c r="N21" s="272">
        <v>84.49</v>
      </c>
      <c r="O21" s="272">
        <v>168.98</v>
      </c>
      <c r="P21" s="551">
        <v>23033335.506339651</v>
      </c>
      <c r="Q21" s="551">
        <v>24112433.747391887</v>
      </c>
      <c r="R21" s="552">
        <v>4.6849412702525406E-2</v>
      </c>
    </row>
    <row r="22" spans="2:18" x14ac:dyDescent="0.25">
      <c r="B22" s="261" t="s">
        <v>650</v>
      </c>
      <c r="C22" s="545">
        <v>13113560.5782624</v>
      </c>
      <c r="D22" s="547"/>
      <c r="E22" s="545">
        <v>15890545.188662399</v>
      </c>
      <c r="F22" s="545">
        <v>13113560.5782624</v>
      </c>
      <c r="G22" s="546">
        <v>-0.17475703806445386</v>
      </c>
      <c r="J22" s="276"/>
      <c r="K22" s="272" t="s">
        <v>687</v>
      </c>
      <c r="L22" s="273" t="s">
        <v>688</v>
      </c>
      <c r="M22" s="272">
        <v>1984</v>
      </c>
      <c r="N22" s="277">
        <v>37.5</v>
      </c>
      <c r="O22" s="277">
        <v>75</v>
      </c>
      <c r="P22" s="551">
        <v>10223104.290303431</v>
      </c>
      <c r="Q22" s="551">
        <v>10702050.722300813</v>
      </c>
      <c r="R22" s="552">
        <v>4.6849412702525184E-2</v>
      </c>
    </row>
    <row r="23" spans="2:18" x14ac:dyDescent="0.25">
      <c r="B23" s="261" t="s">
        <v>651</v>
      </c>
      <c r="C23" s="545">
        <v>3790117.9258488007</v>
      </c>
      <c r="D23" s="547"/>
      <c r="E23" s="545">
        <v>5435918.2456487995</v>
      </c>
      <c r="F23" s="545">
        <v>3790117.9258488007</v>
      </c>
      <c r="G23" s="546">
        <v>-0.30276399412691424</v>
      </c>
      <c r="J23" s="276"/>
      <c r="K23" s="272" t="s">
        <v>689</v>
      </c>
      <c r="L23" s="273" t="s">
        <v>690</v>
      </c>
      <c r="M23" s="272">
        <v>2006</v>
      </c>
      <c r="N23" s="277">
        <v>194.5</v>
      </c>
      <c r="O23" s="277">
        <v>389</v>
      </c>
      <c r="P23" s="551">
        <v>64592068.150675535</v>
      </c>
      <c r="Q23" s="551">
        <v>66942636.108853683</v>
      </c>
      <c r="R23" s="552">
        <v>3.6390969130991824E-2</v>
      </c>
    </row>
    <row r="24" spans="2:18" x14ac:dyDescent="0.25">
      <c r="B24" s="261" t="s">
        <v>652</v>
      </c>
      <c r="C24" s="545">
        <v>3790117.9258488007</v>
      </c>
      <c r="D24" s="547"/>
      <c r="E24" s="545">
        <v>5435918.2456487995</v>
      </c>
      <c r="F24" s="545">
        <v>3790117.9258488007</v>
      </c>
      <c r="G24" s="546">
        <v>-0.30276399412691424</v>
      </c>
      <c r="J24" s="276"/>
      <c r="K24" s="272" t="s">
        <v>691</v>
      </c>
      <c r="L24" s="273" t="s">
        <v>692</v>
      </c>
      <c r="M24" s="272">
        <v>2004</v>
      </c>
      <c r="N24" s="293">
        <v>110.21</v>
      </c>
      <c r="O24" s="277">
        <v>220.14</v>
      </c>
      <c r="P24" s="551">
        <v>36459738.160742849</v>
      </c>
      <c r="Q24" s="551">
        <v>37786543.366674483</v>
      </c>
      <c r="R24" s="552">
        <v>3.6390969130991824E-2</v>
      </c>
    </row>
    <row r="25" spans="2:18" x14ac:dyDescent="0.25">
      <c r="B25" s="261" t="s">
        <v>653</v>
      </c>
      <c r="C25" s="545">
        <v>4162777.6088807988</v>
      </c>
      <c r="D25" s="547"/>
      <c r="E25" s="545">
        <v>6196967.3846807992</v>
      </c>
      <c r="F25" s="545">
        <v>4162777.6088807988</v>
      </c>
      <c r="G25" s="546">
        <v>-0.32825568532579585</v>
      </c>
      <c r="J25" s="276"/>
      <c r="K25" s="272" t="s">
        <v>693</v>
      </c>
      <c r="L25" s="273" t="s">
        <v>694</v>
      </c>
      <c r="M25" s="272">
        <v>2004</v>
      </c>
      <c r="N25" s="277">
        <v>84.3</v>
      </c>
      <c r="O25" s="277">
        <v>168.6</v>
      </c>
      <c r="P25" s="551">
        <v>27923647.923599739</v>
      </c>
      <c r="Q25" s="551">
        <v>28939816.533212133</v>
      </c>
      <c r="R25" s="552">
        <v>3.6390969130991602E-2</v>
      </c>
    </row>
    <row r="26" spans="2:18" x14ac:dyDescent="0.25">
      <c r="B26" s="261" t="s">
        <v>654</v>
      </c>
      <c r="C26" s="545">
        <v>16404172.282217599</v>
      </c>
      <c r="D26" s="547"/>
      <c r="E26" s="545">
        <v>19938516.331817597</v>
      </c>
      <c r="F26" s="545">
        <v>16404172.282217599</v>
      </c>
      <c r="G26" s="546">
        <v>-0.17726213880618302</v>
      </c>
      <c r="J26" s="276"/>
      <c r="K26" s="272" t="s">
        <v>695</v>
      </c>
      <c r="L26" s="273" t="s">
        <v>696</v>
      </c>
      <c r="M26" s="272">
        <v>2003</v>
      </c>
      <c r="N26" s="277">
        <v>16</v>
      </c>
      <c r="O26" s="277">
        <v>16</v>
      </c>
      <c r="P26" s="551">
        <v>5299862.0021067131</v>
      </c>
      <c r="Q26" s="551">
        <v>5752657.6915120855</v>
      </c>
      <c r="R26" s="552">
        <v>8.5435373454135988E-2</v>
      </c>
    </row>
    <row r="27" spans="2:18" x14ac:dyDescent="0.25">
      <c r="B27" s="261" t="s">
        <v>655</v>
      </c>
      <c r="C27" s="548"/>
      <c r="D27" s="545">
        <v>7245345.3380341688</v>
      </c>
      <c r="E27" s="545">
        <v>10181907.355355907</v>
      </c>
      <c r="F27" s="545">
        <v>7245345.3380341688</v>
      </c>
      <c r="G27" s="546">
        <v>-0.28840981506053898</v>
      </c>
      <c r="J27" s="276"/>
      <c r="K27" s="268" t="s">
        <v>697</v>
      </c>
      <c r="L27" s="269" t="s">
        <v>698</v>
      </c>
      <c r="M27" s="268">
        <v>2009</v>
      </c>
      <c r="N27" s="278">
        <v>96.87</v>
      </c>
      <c r="O27" s="278">
        <v>96.87</v>
      </c>
      <c r="P27" s="1037">
        <v>28532002.533950865</v>
      </c>
      <c r="Q27" s="1037">
        <v>32605126.716392029</v>
      </c>
      <c r="R27" s="1038">
        <v>0.14275633747033578</v>
      </c>
    </row>
    <row r="28" spans="2:18" x14ac:dyDescent="0.25">
      <c r="B28" s="261" t="s">
        <v>656</v>
      </c>
      <c r="C28" s="548"/>
      <c r="D28" s="545">
        <v>7599449.3387019495</v>
      </c>
      <c r="E28" s="545">
        <v>11419481.27374934</v>
      </c>
      <c r="F28" s="545">
        <v>7599449.3387019495</v>
      </c>
      <c r="G28" s="546">
        <v>-0.33451886679202603</v>
      </c>
      <c r="J28" s="276"/>
      <c r="K28" s="268" t="s">
        <v>699</v>
      </c>
      <c r="L28" s="269" t="s">
        <v>700</v>
      </c>
      <c r="M28" s="268">
        <v>2009</v>
      </c>
      <c r="N28" s="278">
        <v>24.88</v>
      </c>
      <c r="O28" s="278">
        <v>24.88</v>
      </c>
      <c r="P28" s="1037"/>
      <c r="Q28" s="1037"/>
      <c r="R28" s="1038"/>
    </row>
    <row r="29" spans="2:18" x14ac:dyDescent="0.25">
      <c r="B29" s="261" t="s">
        <v>657</v>
      </c>
      <c r="C29" s="548"/>
      <c r="D29" s="545">
        <v>4499316.532399972</v>
      </c>
      <c r="E29" s="545">
        <v>6578909.8799312757</v>
      </c>
      <c r="F29" s="545">
        <v>4499316.532399972</v>
      </c>
      <c r="G29" s="546">
        <v>-0.31609999004166744</v>
      </c>
      <c r="J29" s="276"/>
      <c r="K29" s="268" t="s">
        <v>701</v>
      </c>
      <c r="L29" s="269" t="s">
        <v>702</v>
      </c>
      <c r="M29" s="268">
        <v>2012</v>
      </c>
      <c r="N29" s="278">
        <v>44</v>
      </c>
      <c r="O29" s="278">
        <v>44</v>
      </c>
      <c r="P29" s="1037"/>
      <c r="Q29" s="1037"/>
      <c r="R29" s="1038"/>
    </row>
    <row r="30" spans="2:18" x14ac:dyDescent="0.25">
      <c r="B30" s="262" t="s">
        <v>40</v>
      </c>
      <c r="C30" s="549">
        <v>269345975.28345037</v>
      </c>
      <c r="D30" s="549">
        <v>57904527.209186099</v>
      </c>
      <c r="E30" s="549">
        <v>433523909.73836899</v>
      </c>
      <c r="F30" s="549">
        <v>327250502.4926365</v>
      </c>
      <c r="G30" s="550">
        <v>-0.24513851452822599</v>
      </c>
      <c r="J30" s="276"/>
      <c r="K30" s="268" t="s">
        <v>703</v>
      </c>
      <c r="L30" s="269" t="s">
        <v>704</v>
      </c>
      <c r="M30" s="268">
        <v>2012</v>
      </c>
      <c r="N30" s="278">
        <v>76.650000000000006</v>
      </c>
      <c r="O30" s="278">
        <v>76.650000000000006</v>
      </c>
      <c r="P30" s="1037"/>
      <c r="Q30" s="1037"/>
      <c r="R30" s="1038"/>
    </row>
    <row r="31" spans="2:18" x14ac:dyDescent="0.25">
      <c r="J31" s="279"/>
      <c r="K31" s="279"/>
      <c r="L31" s="274" t="s">
        <v>40</v>
      </c>
      <c r="M31" s="274"/>
      <c r="N31" s="280">
        <v>1221.0800000000002</v>
      </c>
      <c r="O31" s="280">
        <v>2038.2999999999997</v>
      </c>
      <c r="P31" s="281">
        <v>298712332.42003536</v>
      </c>
      <c r="Q31" s="281">
        <v>314435954.65320075</v>
      </c>
      <c r="R31" s="282">
        <v>5.26380082997564E-2</v>
      </c>
    </row>
    <row r="32" spans="2:18" ht="48" customHeight="1" x14ac:dyDescent="0.25">
      <c r="B32" s="260" t="s">
        <v>1090</v>
      </c>
      <c r="C32" s="259" t="s">
        <v>637</v>
      </c>
      <c r="D32" s="259" t="s">
        <v>638</v>
      </c>
      <c r="E32" s="260" t="s">
        <v>1093</v>
      </c>
      <c r="F32" s="260" t="s">
        <v>1094</v>
      </c>
      <c r="G32" s="259" t="s">
        <v>641</v>
      </c>
      <c r="J32" s="283" t="s">
        <v>705</v>
      </c>
      <c r="K32" s="263"/>
      <c r="L32" s="263"/>
      <c r="M32" s="263"/>
      <c r="N32" s="263"/>
      <c r="O32" s="263"/>
      <c r="P32" s="263"/>
      <c r="Q32" s="263"/>
      <c r="R32" s="263"/>
    </row>
    <row r="33" spans="2:18" x14ac:dyDescent="0.25">
      <c r="B33" s="261" t="s">
        <v>657</v>
      </c>
      <c r="C33" s="547"/>
      <c r="D33" s="545">
        <v>2272541.9264572496</v>
      </c>
      <c r="E33" s="545">
        <v>2272541.9264572496</v>
      </c>
      <c r="F33" s="545">
        <v>2272541.9264572496</v>
      </c>
      <c r="G33" s="546">
        <v>0</v>
      </c>
      <c r="J33" s="284" t="s">
        <v>423</v>
      </c>
      <c r="K33" s="263"/>
      <c r="L33" s="263"/>
      <c r="M33" s="263"/>
      <c r="N33" s="263"/>
      <c r="O33" s="263"/>
      <c r="P33" s="263"/>
      <c r="Q33" s="263"/>
      <c r="R33" s="263"/>
    </row>
    <row r="34" spans="2:18" x14ac:dyDescent="0.25">
      <c r="B34" s="261" t="s">
        <v>659</v>
      </c>
      <c r="C34" s="545">
        <v>17641747.575236522</v>
      </c>
      <c r="D34" s="547"/>
      <c r="E34" s="545">
        <v>22064532.505436514</v>
      </c>
      <c r="F34" s="545">
        <v>17641747.575236522</v>
      </c>
      <c r="G34" s="546">
        <v>-0.20044770625030262</v>
      </c>
      <c r="J34" s="263"/>
      <c r="K34" s="263"/>
      <c r="L34" s="263"/>
      <c r="M34" s="263"/>
      <c r="N34" s="263"/>
      <c r="O34" s="263"/>
      <c r="P34" s="1036" t="s">
        <v>663</v>
      </c>
      <c r="Q34" s="1036"/>
      <c r="R34" s="263"/>
    </row>
    <row r="35" spans="2:18" ht="30" x14ac:dyDescent="0.25">
      <c r="B35" s="261" t="s">
        <v>660</v>
      </c>
      <c r="C35" s="545">
        <v>16758019.313894842</v>
      </c>
      <c r="D35" s="547"/>
      <c r="E35" s="545">
        <v>21486660.940694839</v>
      </c>
      <c r="F35" s="545">
        <v>16758019.313894842</v>
      </c>
      <c r="G35" s="546">
        <v>-0.22007335806393946</v>
      </c>
      <c r="J35" s="265"/>
      <c r="K35" s="265"/>
      <c r="L35" s="265"/>
      <c r="M35" s="266" t="s">
        <v>410</v>
      </c>
      <c r="N35" s="266" t="s">
        <v>664</v>
      </c>
      <c r="O35" s="266" t="s">
        <v>665</v>
      </c>
      <c r="P35" s="266" t="s">
        <v>666</v>
      </c>
      <c r="Q35" s="266" t="s">
        <v>667</v>
      </c>
      <c r="R35" s="266" t="s">
        <v>668</v>
      </c>
    </row>
    <row r="36" spans="2:18" x14ac:dyDescent="0.25">
      <c r="B36" s="262" t="s">
        <v>40</v>
      </c>
      <c r="C36" s="549">
        <v>34399766.889131367</v>
      </c>
      <c r="D36" s="549">
        <v>2272541.9264572496</v>
      </c>
      <c r="E36" s="549">
        <v>45823735.372588605</v>
      </c>
      <c r="F36" s="549">
        <v>36672308.815588608</v>
      </c>
      <c r="G36" s="550">
        <v>-0.22007335806393946</v>
      </c>
      <c r="J36" s="285"/>
      <c r="K36" s="272" t="s">
        <v>706</v>
      </c>
      <c r="L36" s="273" t="s">
        <v>707</v>
      </c>
      <c r="M36" s="286">
        <v>1986</v>
      </c>
      <c r="N36" s="286">
        <v>24.33</v>
      </c>
      <c r="O36" s="287">
        <v>24</v>
      </c>
      <c r="P36" s="551">
        <v>4948369.6454140339</v>
      </c>
      <c r="Q36" s="551">
        <v>5128803.6307843197</v>
      </c>
      <c r="R36" s="552">
        <v>3.6463319901233637E-2</v>
      </c>
    </row>
    <row r="37" spans="2:18" x14ac:dyDescent="0.25">
      <c r="J37" s="274" t="s">
        <v>681</v>
      </c>
      <c r="K37" s="272" t="s">
        <v>708</v>
      </c>
      <c r="L37" s="273" t="s">
        <v>709</v>
      </c>
      <c r="M37" s="286">
        <v>1986</v>
      </c>
      <c r="N37" s="286">
        <v>29.75</v>
      </c>
      <c r="O37" s="287">
        <v>29.7</v>
      </c>
      <c r="P37" s="551">
        <v>4948369.6454140339</v>
      </c>
      <c r="Q37" s="551">
        <v>5128803.6307843197</v>
      </c>
      <c r="R37" s="552">
        <v>3.6463319901233637E-2</v>
      </c>
    </row>
    <row r="38" spans="2:18" ht="30" x14ac:dyDescent="0.25">
      <c r="B38" s="260" t="s">
        <v>1091</v>
      </c>
      <c r="C38" s="260" t="s">
        <v>1095</v>
      </c>
      <c r="D38" s="260" t="s">
        <v>1096</v>
      </c>
      <c r="E38" s="260" t="s">
        <v>1097</v>
      </c>
      <c r="F38" s="260" t="s">
        <v>1098</v>
      </c>
      <c r="G38" s="260" t="s">
        <v>658</v>
      </c>
      <c r="H38" s="259" t="s">
        <v>641</v>
      </c>
      <c r="J38" s="274" t="s">
        <v>710</v>
      </c>
      <c r="K38" s="272" t="s">
        <v>711</v>
      </c>
      <c r="L38" s="273" t="s">
        <v>712</v>
      </c>
      <c r="M38" s="286">
        <v>1986</v>
      </c>
      <c r="N38" s="287">
        <v>9.5</v>
      </c>
      <c r="O38" s="287">
        <v>9.6999999999999993</v>
      </c>
      <c r="P38" s="551">
        <v>1777747.6133524487</v>
      </c>
      <c r="Q38" s="551">
        <v>1842570.1932817737</v>
      </c>
      <c r="R38" s="552">
        <v>3.6463319901233637E-2</v>
      </c>
    </row>
    <row r="39" spans="2:18" x14ac:dyDescent="0.25">
      <c r="B39" s="261" t="s">
        <v>644</v>
      </c>
      <c r="C39" s="545">
        <v>19223806.974444002</v>
      </c>
      <c r="D39" s="547"/>
      <c r="E39" s="545">
        <v>7823279.1405278025</v>
      </c>
      <c r="F39" s="545">
        <v>30376475.149971809</v>
      </c>
      <c r="G39" s="545">
        <v>27047086.114971805</v>
      </c>
      <c r="H39" s="546">
        <v>-0.10960419267088972</v>
      </c>
      <c r="J39" s="271"/>
      <c r="K39" s="272" t="s">
        <v>713</v>
      </c>
      <c r="L39" s="273" t="s">
        <v>714</v>
      </c>
      <c r="M39" s="286">
        <v>2011</v>
      </c>
      <c r="N39" s="287">
        <v>15</v>
      </c>
      <c r="O39" s="287">
        <v>15</v>
      </c>
      <c r="P39" s="551">
        <v>2749094.2474522404</v>
      </c>
      <c r="Q39" s="551">
        <v>2849335.3504357324</v>
      </c>
      <c r="R39" s="552">
        <v>3.6463319901233637E-2</v>
      </c>
    </row>
    <row r="40" spans="2:18" x14ac:dyDescent="0.25">
      <c r="B40" s="261" t="s">
        <v>661</v>
      </c>
      <c r="C40" s="545">
        <v>2303421.3466992001</v>
      </c>
      <c r="D40" s="547"/>
      <c r="E40" s="547"/>
      <c r="F40" s="545">
        <v>3497718.9238991998</v>
      </c>
      <c r="G40" s="545">
        <v>2303421.3466992001</v>
      </c>
      <c r="H40" s="546">
        <v>-0.34145041473733295</v>
      </c>
      <c r="J40" s="288"/>
      <c r="K40" s="272" t="s">
        <v>715</v>
      </c>
      <c r="L40" s="273" t="s">
        <v>716</v>
      </c>
      <c r="M40" s="286"/>
      <c r="N40" s="286"/>
      <c r="O40" s="287"/>
      <c r="P40" s="551"/>
      <c r="Q40" s="551"/>
      <c r="R40" s="553"/>
    </row>
    <row r="41" spans="2:18" x14ac:dyDescent="0.25">
      <c r="B41" s="261" t="s">
        <v>646</v>
      </c>
      <c r="C41" s="545">
        <v>15545375.418864001</v>
      </c>
      <c r="D41" s="545">
        <v>4453567.381736177</v>
      </c>
      <c r="E41" s="545">
        <v>1966098.9783451543</v>
      </c>
      <c r="F41" s="545">
        <v>24044635.126476638</v>
      </c>
      <c r="G41" s="545">
        <v>21965041.778945334</v>
      </c>
      <c r="H41" s="546">
        <v>-8.6488871076332963E-2</v>
      </c>
      <c r="J41" s="279"/>
      <c r="K41" s="279"/>
      <c r="L41" s="274"/>
      <c r="M41" s="274"/>
      <c r="N41" s="280">
        <v>78.58</v>
      </c>
      <c r="O41" s="280">
        <v>78.400000000000006</v>
      </c>
      <c r="P41" s="281">
        <v>14423581.151632756</v>
      </c>
      <c r="Q41" s="281">
        <v>14949512.805286145</v>
      </c>
      <c r="R41" s="282">
        <v>3.6463319901233637E-2</v>
      </c>
    </row>
    <row r="42" spans="2:18" x14ac:dyDescent="0.25">
      <c r="B42" s="261" t="s">
        <v>649</v>
      </c>
      <c r="C42" s="547"/>
      <c r="D42" s="547"/>
      <c r="E42" s="545">
        <v>5651072.8711218843</v>
      </c>
      <c r="F42" s="545">
        <v>5651072.8711218843</v>
      </c>
      <c r="G42" s="545">
        <v>5651072.8711218843</v>
      </c>
      <c r="H42" s="546">
        <v>0</v>
      </c>
      <c r="J42" s="284" t="s">
        <v>423</v>
      </c>
      <c r="K42" s="263"/>
      <c r="L42" s="263"/>
      <c r="M42" s="263"/>
      <c r="N42" s="263"/>
      <c r="O42" s="263"/>
      <c r="P42" s="263"/>
      <c r="Q42" s="263"/>
      <c r="R42" s="263"/>
    </row>
    <row r="43" spans="2:18" x14ac:dyDescent="0.25">
      <c r="B43" s="261" t="s">
        <v>650</v>
      </c>
      <c r="C43" s="545">
        <v>840375.4114904236</v>
      </c>
      <c r="D43" s="547"/>
      <c r="E43" s="545">
        <v>4124071.523175756</v>
      </c>
      <c r="F43" s="545">
        <v>5325934.0884013977</v>
      </c>
      <c r="G43" s="545">
        <v>4964446.9346661791</v>
      </c>
      <c r="H43" s="546">
        <v>-6.7873005511361995E-2</v>
      </c>
      <c r="J43" s="263"/>
      <c r="K43" s="263"/>
      <c r="L43" s="263"/>
      <c r="M43" s="263"/>
      <c r="N43" s="263"/>
      <c r="O43" s="263"/>
      <c r="P43" s="1036" t="s">
        <v>663</v>
      </c>
      <c r="Q43" s="1036"/>
      <c r="R43" s="263"/>
    </row>
    <row r="44" spans="2:18" ht="30" x14ac:dyDescent="0.25">
      <c r="B44" s="261" t="s">
        <v>654</v>
      </c>
      <c r="C44" s="545">
        <v>149234.44478002368</v>
      </c>
      <c r="D44" s="547"/>
      <c r="E44" s="545">
        <v>1784882.6666695022</v>
      </c>
      <c r="F44" s="545">
        <v>1934117.1114495259</v>
      </c>
      <c r="G44" s="545">
        <v>1934117.1114495259</v>
      </c>
      <c r="H44" s="546">
        <v>0</v>
      </c>
      <c r="J44" s="265"/>
      <c r="K44" s="265"/>
      <c r="L44" s="265"/>
      <c r="M44" s="266" t="s">
        <v>410</v>
      </c>
      <c r="N44" s="266" t="s">
        <v>664</v>
      </c>
      <c r="O44" s="266" t="s">
        <v>665</v>
      </c>
      <c r="P44" s="266" t="s">
        <v>666</v>
      </c>
      <c r="Q44" s="266" t="s">
        <v>667</v>
      </c>
      <c r="R44" s="266" t="s">
        <v>668</v>
      </c>
    </row>
    <row r="45" spans="2:18" x14ac:dyDescent="0.25">
      <c r="B45" s="261" t="s">
        <v>662</v>
      </c>
      <c r="C45" s="548"/>
      <c r="D45" s="545">
        <v>1736434.7500500004</v>
      </c>
      <c r="E45" s="547"/>
      <c r="F45" s="545">
        <v>1736434.7500500004</v>
      </c>
      <c r="G45" s="545">
        <v>1736434.7500500004</v>
      </c>
      <c r="H45" s="546">
        <v>0</v>
      </c>
      <c r="J45" s="285"/>
      <c r="K45" s="272" t="s">
        <v>717</v>
      </c>
      <c r="L45" s="263" t="s">
        <v>718</v>
      </c>
      <c r="M45" s="286">
        <v>2016</v>
      </c>
      <c r="N45" s="286">
        <v>46.6</v>
      </c>
      <c r="O45" s="287">
        <v>93.2</v>
      </c>
      <c r="P45" s="551">
        <v>13311816.925017213</v>
      </c>
      <c r="Q45" s="551">
        <v>12186808.929822883</v>
      </c>
      <c r="R45" s="552">
        <v>-8.4511979208493848E-2</v>
      </c>
    </row>
    <row r="46" spans="2:18" x14ac:dyDescent="0.25">
      <c r="B46" s="262" t="s">
        <v>40</v>
      </c>
      <c r="C46" s="549">
        <v>38062213.596277654</v>
      </c>
      <c r="D46" s="549">
        <v>6190002.1317861769</v>
      </c>
      <c r="E46" s="549">
        <v>21349405.179840103</v>
      </c>
      <c r="F46" s="549">
        <v>72566388.021370441</v>
      </c>
      <c r="G46" s="549">
        <v>65601620.907903925</v>
      </c>
      <c r="H46" s="550">
        <v>-9.5977866659360589E-2</v>
      </c>
      <c r="J46" s="274" t="s">
        <v>719</v>
      </c>
      <c r="K46" s="272" t="s">
        <v>720</v>
      </c>
      <c r="L46" s="263" t="s">
        <v>721</v>
      </c>
      <c r="M46" s="286">
        <v>2004</v>
      </c>
      <c r="N46" s="286">
        <v>6.2</v>
      </c>
      <c r="O46" s="287">
        <v>12.4</v>
      </c>
      <c r="P46" s="551">
        <v>1499495.5614880177</v>
      </c>
      <c r="Q46" s="551">
        <v>1957816.7178985234</v>
      </c>
      <c r="R46" s="552">
        <v>0.30565022543694154</v>
      </c>
    </row>
    <row r="47" spans="2:18" x14ac:dyDescent="0.25">
      <c r="J47" s="274" t="s">
        <v>684</v>
      </c>
      <c r="K47" s="272" t="s">
        <v>722</v>
      </c>
      <c r="L47" s="263" t="s">
        <v>723</v>
      </c>
      <c r="M47" s="286">
        <v>1979</v>
      </c>
      <c r="N47" s="287">
        <v>25</v>
      </c>
      <c r="O47" s="287">
        <v>50</v>
      </c>
      <c r="P47" s="551">
        <v>6046353.0705161979</v>
      </c>
      <c r="Q47" s="551">
        <v>6537987.6232955391</v>
      </c>
      <c r="R47" s="552">
        <v>8.1310923633734822E-2</v>
      </c>
    </row>
    <row r="48" spans="2:18" x14ac:dyDescent="0.25">
      <c r="J48" s="271"/>
      <c r="K48" s="272" t="s">
        <v>724</v>
      </c>
      <c r="L48" s="263" t="s">
        <v>725</v>
      </c>
      <c r="M48" s="286">
        <v>1972</v>
      </c>
      <c r="N48" s="287">
        <v>111.4</v>
      </c>
      <c r="O48" s="287">
        <v>111.4</v>
      </c>
      <c r="P48" s="551">
        <v>13060122.632314991</v>
      </c>
      <c r="Q48" s="551">
        <v>17051952.05911617</v>
      </c>
      <c r="R48" s="552">
        <v>0.30565022543694154</v>
      </c>
    </row>
    <row r="49" spans="2:18" x14ac:dyDescent="0.25">
      <c r="J49" s="279"/>
      <c r="K49" s="279"/>
      <c r="L49" s="274"/>
      <c r="M49" s="274"/>
      <c r="N49" s="280">
        <v>189.20000000000002</v>
      </c>
      <c r="O49" s="280">
        <v>267</v>
      </c>
      <c r="P49" s="281">
        <v>33917788.189336419</v>
      </c>
      <c r="Q49" s="281">
        <v>37734565.33013311</v>
      </c>
      <c r="R49" s="282">
        <v>0.11253024871464534</v>
      </c>
    </row>
    <row r="50" spans="2:18" x14ac:dyDescent="0.25">
      <c r="J50" s="284" t="s">
        <v>423</v>
      </c>
      <c r="K50" s="263"/>
      <c r="L50" s="263"/>
      <c r="M50" s="263"/>
      <c r="N50" s="263"/>
      <c r="O50" s="263"/>
      <c r="P50" s="263"/>
      <c r="Q50" s="263"/>
      <c r="R50" s="263"/>
    </row>
    <row r="51" spans="2:18" x14ac:dyDescent="0.25">
      <c r="J51" s="263"/>
      <c r="K51" s="263"/>
      <c r="L51" s="263"/>
      <c r="M51" s="263"/>
      <c r="N51" s="263"/>
      <c r="O51" s="263"/>
      <c r="P51" s="1036" t="s">
        <v>663</v>
      </c>
      <c r="Q51" s="1036"/>
      <c r="R51" s="263"/>
    </row>
    <row r="52" spans="2:18" ht="30" x14ac:dyDescent="0.25">
      <c r="J52" s="265"/>
      <c r="K52" s="265"/>
      <c r="L52" s="265"/>
      <c r="M52" s="266" t="s">
        <v>410</v>
      </c>
      <c r="N52" s="266" t="s">
        <v>664</v>
      </c>
      <c r="O52" s="266" t="s">
        <v>665</v>
      </c>
      <c r="P52" s="266" t="s">
        <v>666</v>
      </c>
      <c r="Q52" s="266" t="s">
        <v>667</v>
      </c>
      <c r="R52" s="266" t="s">
        <v>668</v>
      </c>
    </row>
    <row r="53" spans="2:18" ht="15.75" thickBot="1" x14ac:dyDescent="0.3">
      <c r="J53" s="289"/>
      <c r="K53" s="272" t="s">
        <v>726</v>
      </c>
      <c r="L53" s="263" t="s">
        <v>727</v>
      </c>
      <c r="M53" s="286">
        <v>1976</v>
      </c>
      <c r="N53" s="286">
        <v>0.8</v>
      </c>
      <c r="O53" s="287">
        <v>0.8</v>
      </c>
      <c r="P53" s="551">
        <v>170759.85006590147</v>
      </c>
      <c r="Q53" s="551">
        <v>180545.05660554193</v>
      </c>
      <c r="R53" s="552">
        <v>5.7303906836788876E-2</v>
      </c>
    </row>
    <row r="54" spans="2:18" ht="15.75" thickBot="1" x14ac:dyDescent="0.3">
      <c r="C54" s="299" t="s">
        <v>747</v>
      </c>
      <c r="D54" s="300" t="s">
        <v>748</v>
      </c>
      <c r="E54" s="301" t="s">
        <v>749</v>
      </c>
      <c r="J54" s="289"/>
      <c r="K54" s="272" t="s">
        <v>728</v>
      </c>
      <c r="L54" s="263" t="s">
        <v>729</v>
      </c>
      <c r="M54" s="286">
        <v>2008</v>
      </c>
      <c r="N54" s="286">
        <v>0.8</v>
      </c>
      <c r="O54" s="287">
        <v>0.8</v>
      </c>
      <c r="P54" s="551">
        <v>931735.71063955245</v>
      </c>
      <c r="Q54" s="551">
        <v>1037996.7263197587</v>
      </c>
      <c r="R54" s="552">
        <v>0.1140463056924883</v>
      </c>
    </row>
    <row r="55" spans="2:18" x14ac:dyDescent="0.25">
      <c r="B55" s="302" t="s">
        <v>750</v>
      </c>
      <c r="C55" s="303">
        <v>230411895.76401484</v>
      </c>
      <c r="D55" s="304">
        <v>348431106.74645525</v>
      </c>
      <c r="E55" s="305">
        <f>+VNR_Lineas-E56</f>
        <v>367789976.68582928</v>
      </c>
      <c r="J55" s="274" t="s">
        <v>719</v>
      </c>
      <c r="K55" s="272" t="s">
        <v>730</v>
      </c>
      <c r="L55" s="263" t="s">
        <v>731</v>
      </c>
      <c r="M55" s="286">
        <v>1979</v>
      </c>
      <c r="N55" s="290">
        <v>5.8</v>
      </c>
      <c r="O55" s="290">
        <v>5.8</v>
      </c>
      <c r="P55" s="551">
        <v>983541.15475019277</v>
      </c>
      <c r="Q55" s="551">
        <v>1037996.7263197587</v>
      </c>
      <c r="R55" s="552">
        <v>5.53668459185086E-2</v>
      </c>
    </row>
    <row r="56" spans="2:18" x14ac:dyDescent="0.25">
      <c r="B56" s="306" t="s">
        <v>751</v>
      </c>
      <c r="C56" s="307">
        <v>4114080</v>
      </c>
      <c r="D56" s="308">
        <v>6494763.1425745506</v>
      </c>
      <c r="E56" s="309">
        <v>7482446.0167909563</v>
      </c>
      <c r="J56" s="274" t="s">
        <v>710</v>
      </c>
      <c r="K56" s="272" t="s">
        <v>732</v>
      </c>
      <c r="L56" s="263" t="s">
        <v>733</v>
      </c>
      <c r="M56" s="286">
        <v>1979</v>
      </c>
      <c r="N56" s="290">
        <v>2</v>
      </c>
      <c r="O56" s="290">
        <v>2</v>
      </c>
      <c r="P56" s="551">
        <v>339152.12232765276</v>
      </c>
      <c r="Q56" s="551">
        <v>362898.05802177201</v>
      </c>
      <c r="R56" s="552">
        <v>7.0015589261677835E-2</v>
      </c>
    </row>
    <row r="57" spans="2:18" x14ac:dyDescent="0.25">
      <c r="B57" s="306" t="s">
        <v>752</v>
      </c>
      <c r="C57" s="307">
        <v>165196416.07344368</v>
      </c>
      <c r="D57" s="308">
        <v>245530481.49300849</v>
      </c>
      <c r="E57" s="309">
        <f>+VNR_Subestaciones_SPT</f>
        <v>327250502.4926365</v>
      </c>
      <c r="J57" s="289"/>
      <c r="K57" s="272" t="s">
        <v>734</v>
      </c>
      <c r="L57" s="263" t="s">
        <v>735</v>
      </c>
      <c r="M57" s="286">
        <v>1982</v>
      </c>
      <c r="N57" s="290">
        <v>0.5</v>
      </c>
      <c r="O57" s="290">
        <v>0.5</v>
      </c>
      <c r="P57" s="551">
        <v>84788.03058191319</v>
      </c>
      <c r="Q57" s="551">
        <v>89482.47640687578</v>
      </c>
      <c r="R57" s="552">
        <v>5.53668459185086E-2</v>
      </c>
    </row>
    <row r="58" spans="2:18" x14ac:dyDescent="0.25">
      <c r="B58" s="306" t="s">
        <v>753</v>
      </c>
      <c r="C58" s="307">
        <v>27733774.29710488</v>
      </c>
      <c r="D58" s="308">
        <v>49089337.133500792</v>
      </c>
      <c r="E58" s="309">
        <f>+VNR_Subestaciones_Conexión</f>
        <v>65601620.907903925</v>
      </c>
      <c r="J58" s="289"/>
      <c r="K58" s="272" t="s">
        <v>736</v>
      </c>
      <c r="L58" s="263" t="s">
        <v>737</v>
      </c>
      <c r="M58" s="286">
        <v>1988</v>
      </c>
      <c r="N58" s="290">
        <v>30</v>
      </c>
      <c r="O58" s="290">
        <v>30</v>
      </c>
      <c r="P58" s="551">
        <v>5087281.8349147914</v>
      </c>
      <c r="Q58" s="551">
        <v>5443470.8703265833</v>
      </c>
      <c r="R58" s="552">
        <v>7.0015589261678501E-2</v>
      </c>
    </row>
    <row r="59" spans="2:18" ht="15.75" thickBot="1" x14ac:dyDescent="0.3">
      <c r="B59" s="310" t="s">
        <v>754</v>
      </c>
      <c r="C59" s="311" t="s">
        <v>755</v>
      </c>
      <c r="D59" s="312">
        <v>12328578.80273428</v>
      </c>
      <c r="E59" s="313">
        <f>+VNR_Subestaciones_Estrategicas</f>
        <v>36672308.815588608</v>
      </c>
      <c r="J59" s="279"/>
      <c r="K59" s="279"/>
      <c r="L59" s="274"/>
      <c r="M59" s="274"/>
      <c r="N59" s="280">
        <v>39.9</v>
      </c>
      <c r="O59" s="280">
        <v>39.9</v>
      </c>
      <c r="P59" s="281">
        <v>7597258.7032800037</v>
      </c>
      <c r="Q59" s="281">
        <v>8152389.9140002914</v>
      </c>
      <c r="R59" s="282">
        <v>7.3069936460189E-2</v>
      </c>
    </row>
    <row r="60" spans="2:18" ht="15.75" thickBot="1" x14ac:dyDescent="0.3">
      <c r="B60" s="314" t="s">
        <v>40</v>
      </c>
      <c r="C60" s="315">
        <v>427456166.13456339</v>
      </c>
      <c r="D60" s="316">
        <f>+SUM(D55:D59)</f>
        <v>661874267.31827343</v>
      </c>
      <c r="E60" s="317">
        <f>+SUM(E55:E59)</f>
        <v>804796854.91874921</v>
      </c>
      <c r="J60" s="284" t="s">
        <v>423</v>
      </c>
      <c r="K60" s="263"/>
      <c r="L60" s="263"/>
      <c r="M60" s="263"/>
      <c r="N60" s="263"/>
      <c r="O60" s="263"/>
      <c r="P60" s="263"/>
      <c r="Q60" s="263"/>
      <c r="R60" s="263"/>
    </row>
    <row r="61" spans="2:18" x14ac:dyDescent="0.25">
      <c r="J61" s="263"/>
      <c r="K61" s="263"/>
      <c r="L61" s="263"/>
      <c r="M61" s="263"/>
      <c r="N61" s="263"/>
      <c r="O61" s="263"/>
      <c r="P61" s="263"/>
      <c r="Q61" s="263"/>
      <c r="R61" s="263"/>
    </row>
    <row r="62" spans="2:18" x14ac:dyDescent="0.25">
      <c r="D62" s="975">
        <f>+D60/C60-1</f>
        <v>0.54840266618101641</v>
      </c>
      <c r="E62" s="975">
        <f>+E60/D60-1</f>
        <v>0.21593615986848613</v>
      </c>
      <c r="J62" s="291" t="s">
        <v>738</v>
      </c>
      <c r="K62" s="289"/>
      <c r="L62" s="289"/>
      <c r="M62" s="289"/>
      <c r="N62" s="289"/>
      <c r="O62" s="289"/>
      <c r="P62" s="281">
        <v>354650960.4642846</v>
      </c>
      <c r="Q62" s="281">
        <f>+Q59+Q49+Q41+Q31</f>
        <v>375272422.70262027</v>
      </c>
      <c r="R62" s="282">
        <v>5.814579554878252E-2</v>
      </c>
    </row>
    <row r="95" spans="3:4" x14ac:dyDescent="0.25">
      <c r="C95" t="s">
        <v>748</v>
      </c>
      <c r="D95" s="318">
        <f>+D55+D57+D59</f>
        <v>606290167.04219806</v>
      </c>
    </row>
    <row r="96" spans="3:4" x14ac:dyDescent="0.25">
      <c r="C96" s="320" t="s">
        <v>757</v>
      </c>
      <c r="D96" s="322">
        <f>+D95</f>
        <v>606290167.04219806</v>
      </c>
    </row>
    <row r="98" spans="3:4" x14ac:dyDescent="0.25">
      <c r="C98" t="s">
        <v>758</v>
      </c>
      <c r="D98" s="319">
        <f>+VNR_Lineas</f>
        <v>375272422.70262027</v>
      </c>
    </row>
    <row r="99" spans="3:4" x14ac:dyDescent="0.25">
      <c r="C99" t="s">
        <v>759</v>
      </c>
      <c r="D99" s="319">
        <f>+F30</f>
        <v>327250502.4926365</v>
      </c>
    </row>
    <row r="100" spans="3:4" x14ac:dyDescent="0.25">
      <c r="C100" t="s">
        <v>760</v>
      </c>
      <c r="D100" s="319">
        <f>+F36</f>
        <v>36672308.815588608</v>
      </c>
    </row>
    <row r="101" spans="3:4" x14ac:dyDescent="0.25">
      <c r="C101" s="320" t="s">
        <v>757</v>
      </c>
      <c r="D101" s="321">
        <f>+VNR_Lineas+F30+F36</f>
        <v>739195234.0108453</v>
      </c>
    </row>
    <row r="103" spans="3:4" x14ac:dyDescent="0.25">
      <c r="D103" s="975">
        <f>+D101/D60-1</f>
        <v>0.11682123102602926</v>
      </c>
    </row>
    <row r="123" spans="2:5" ht="15.75" thickBot="1" x14ac:dyDescent="0.3"/>
    <row r="124" spans="2:5" ht="15.75" thickBot="1" x14ac:dyDescent="0.3">
      <c r="C124" s="299" t="s">
        <v>747</v>
      </c>
      <c r="D124" s="300" t="s">
        <v>748</v>
      </c>
      <c r="E124" s="301" t="s">
        <v>749</v>
      </c>
    </row>
    <row r="125" spans="2:5" x14ac:dyDescent="0.25">
      <c r="B125" s="302" t="s">
        <v>750</v>
      </c>
      <c r="C125" s="303">
        <v>230411895.76401484</v>
      </c>
      <c r="D125" s="304">
        <v>348431106.74645525</v>
      </c>
      <c r="E125" s="305">
        <v>385512053.64238614</v>
      </c>
    </row>
    <row r="126" spans="2:5" x14ac:dyDescent="0.25">
      <c r="B126" s="306" t="s">
        <v>751</v>
      </c>
      <c r="C126" s="307">
        <v>4114080</v>
      </c>
      <c r="D126" s="308">
        <v>6494763.1425745506</v>
      </c>
      <c r="E126" s="309">
        <v>7482446.0167909563</v>
      </c>
    </row>
    <row r="127" spans="2:5" x14ac:dyDescent="0.25">
      <c r="B127" s="306" t="s">
        <v>752</v>
      </c>
      <c r="C127" s="307">
        <v>165196416.07344368</v>
      </c>
      <c r="D127" s="308">
        <v>245530481.49300849</v>
      </c>
      <c r="E127" s="309">
        <v>300751737.30438381</v>
      </c>
    </row>
    <row r="128" spans="2:5" x14ac:dyDescent="0.25">
      <c r="B128" s="306" t="s">
        <v>753</v>
      </c>
      <c r="C128" s="307">
        <v>27733774.29710488</v>
      </c>
      <c r="D128" s="308">
        <v>49089337.133500792</v>
      </c>
      <c r="E128" s="309">
        <v>59839508.611118525</v>
      </c>
    </row>
    <row r="129" spans="2:5" ht="15.75" thickBot="1" x14ac:dyDescent="0.3">
      <c r="B129" s="310" t="s">
        <v>754</v>
      </c>
      <c r="C129" s="311" t="s">
        <v>755</v>
      </c>
      <c r="D129" s="312">
        <v>12328578.80273428</v>
      </c>
      <c r="E129" s="313">
        <v>14395727.970717791</v>
      </c>
    </row>
    <row r="130" spans="2:5" ht="15.75" thickBot="1" x14ac:dyDescent="0.3">
      <c r="B130" s="314" t="s">
        <v>40</v>
      </c>
      <c r="C130" s="315">
        <v>427456166.13456339</v>
      </c>
      <c r="D130" s="316">
        <v>661874267.31827343</v>
      </c>
      <c r="E130" s="317">
        <v>767981473.54539716</v>
      </c>
    </row>
    <row r="132" spans="2:5" x14ac:dyDescent="0.25">
      <c r="C132" t="s">
        <v>748</v>
      </c>
      <c r="D132" s="318">
        <f>+D125+D127+D129</f>
        <v>606290167.04219806</v>
      </c>
    </row>
    <row r="133" spans="2:5" x14ac:dyDescent="0.25">
      <c r="C133" t="s">
        <v>756</v>
      </c>
      <c r="D133" s="318">
        <f>+'Plan de Expansión'!C10*1000+'Plan de Expansión'!D10*10000</f>
        <v>171483000</v>
      </c>
    </row>
    <row r="134" spans="2:5" x14ac:dyDescent="0.25">
      <c r="C134" s="320" t="s">
        <v>757</v>
      </c>
      <c r="D134" s="322">
        <f>+D132+D133</f>
        <v>777773167.04219806</v>
      </c>
    </row>
    <row r="136" spans="2:5" x14ac:dyDescent="0.25">
      <c r="C136" t="s">
        <v>758</v>
      </c>
      <c r="D136" s="319">
        <f>+VNR_Lineas</f>
        <v>375272422.70262027</v>
      </c>
    </row>
    <row r="137" spans="2:5" x14ac:dyDescent="0.25">
      <c r="C137" t="s">
        <v>759</v>
      </c>
      <c r="D137" s="319">
        <f>+F30</f>
        <v>327250502.4926365</v>
      </c>
    </row>
    <row r="138" spans="2:5" x14ac:dyDescent="0.25">
      <c r="C138" t="s">
        <v>760</v>
      </c>
      <c r="D138" s="319">
        <f>+F36</f>
        <v>36672308.815588608</v>
      </c>
    </row>
    <row r="139" spans="2:5" x14ac:dyDescent="0.25">
      <c r="C139" s="320" t="s">
        <v>757</v>
      </c>
      <c r="D139" s="321">
        <f>+VNR_Lineas+F30+F36</f>
        <v>739195234.0108453</v>
      </c>
    </row>
  </sheetData>
  <sheetProtection algorithmName="SHA-512" hashValue="2E9WaQXDfMefrbff1Bg+dUSsRK3eYpgQh8Z0fDHNgsry7u2/f8HAcHer4LNYW+K1qKqzkIS45xxauOUYOUuHjQ==" saltValue="Nnco1WUEU5+csaOyU4KkFA==" spinCount="100000" sheet="1" objects="1" scenarios="1"/>
  <mergeCells count="10">
    <mergeCell ref="P12:Q12"/>
    <mergeCell ref="P14:P16"/>
    <mergeCell ref="Q14:Q16"/>
    <mergeCell ref="P51:Q51"/>
    <mergeCell ref="R14:R16"/>
    <mergeCell ref="P27:P30"/>
    <mergeCell ref="Q27:Q30"/>
    <mergeCell ref="R27:R30"/>
    <mergeCell ref="P34:Q34"/>
    <mergeCell ref="P43:Q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8" tint="-0.249977111117893"/>
  </sheetPr>
  <dimension ref="B1:T162"/>
  <sheetViews>
    <sheetView showGridLines="0" topLeftCell="A6" zoomScale="70" zoomScaleNormal="70" workbookViewId="0">
      <selection activeCell="E14" sqref="E14"/>
    </sheetView>
  </sheetViews>
  <sheetFormatPr baseColWidth="10" defaultRowHeight="15" x14ac:dyDescent="0.25"/>
  <cols>
    <col min="1" max="1" width="3.28515625" style="460" customWidth="1"/>
    <col min="2" max="2" width="65.140625" style="460" customWidth="1"/>
    <col min="3" max="3" width="21.140625" style="460" customWidth="1"/>
    <col min="4" max="13" width="16.28515625" style="460" customWidth="1"/>
    <col min="14" max="16384" width="11.42578125" style="460"/>
  </cols>
  <sheetData>
    <row r="1" spans="2:13" s="434" customFormat="1" hidden="1" x14ac:dyDescent="0.25">
      <c r="F1" s="435"/>
      <c r="G1" s="435"/>
    </row>
    <row r="2" spans="2:13" s="434" customFormat="1" hidden="1" x14ac:dyDescent="0.25">
      <c r="F2" s="435"/>
      <c r="G2" s="435"/>
    </row>
    <row r="3" spans="2:13" s="434" customFormat="1" hidden="1" x14ac:dyDescent="0.25">
      <c r="F3" s="435"/>
      <c r="G3" s="435"/>
    </row>
    <row r="4" spans="2:13" s="434" customFormat="1" hidden="1" x14ac:dyDescent="0.25">
      <c r="F4" s="435"/>
      <c r="G4" s="435"/>
    </row>
    <row r="5" spans="2:13" s="434" customFormat="1" hidden="1" x14ac:dyDescent="0.25">
      <c r="F5" s="435"/>
      <c r="G5" s="435"/>
    </row>
    <row r="6" spans="2:13" s="84" customFormat="1" x14ac:dyDescent="0.25">
      <c r="B6" s="403" t="s">
        <v>27</v>
      </c>
    </row>
    <row r="7" spans="2:13" s="417" customFormat="1" x14ac:dyDescent="0.25"/>
    <row r="8" spans="2:13" s="417" customFormat="1" x14ac:dyDescent="0.25">
      <c r="B8" s="554" t="s">
        <v>1022</v>
      </c>
    </row>
    <row r="9" spans="2:13" s="417" customFormat="1" x14ac:dyDescent="0.25">
      <c r="B9" s="417" t="s">
        <v>1026</v>
      </c>
      <c r="E9" s="752"/>
    </row>
    <row r="10" spans="2:13" s="417" customFormat="1" x14ac:dyDescent="0.25"/>
    <row r="11" spans="2:13" s="417" customFormat="1" x14ac:dyDescent="0.25">
      <c r="B11" s="423" t="s">
        <v>964</v>
      </c>
      <c r="C11" s="418"/>
      <c r="D11" s="414" t="s">
        <v>954</v>
      </c>
      <c r="E11" s="414" t="s">
        <v>955</v>
      </c>
      <c r="F11" s="414" t="s">
        <v>956</v>
      </c>
      <c r="G11" s="414" t="s">
        <v>957</v>
      </c>
      <c r="H11" s="414" t="s">
        <v>958</v>
      </c>
      <c r="I11" s="414" t="s">
        <v>959</v>
      </c>
      <c r="J11" s="414" t="s">
        <v>960</v>
      </c>
      <c r="K11" s="414" t="s">
        <v>961</v>
      </c>
      <c r="L11" s="414" t="s">
        <v>962</v>
      </c>
      <c r="M11" s="414" t="s">
        <v>963</v>
      </c>
    </row>
    <row r="12" spans="2:13" s="417" customFormat="1" ht="18" customHeight="1" x14ac:dyDescent="0.25">
      <c r="D12" s="489">
        <v>2017</v>
      </c>
      <c r="E12" s="489">
        <v>2017</v>
      </c>
      <c r="F12" s="489">
        <v>2018</v>
      </c>
      <c r="G12" s="489">
        <v>2018</v>
      </c>
      <c r="H12" s="489">
        <v>2019</v>
      </c>
      <c r="I12" s="489">
        <v>2019</v>
      </c>
      <c r="J12" s="489">
        <v>2020</v>
      </c>
      <c r="K12" s="489">
        <v>2020</v>
      </c>
      <c r="L12" s="489">
        <v>2021</v>
      </c>
      <c r="M12" s="489">
        <v>2021</v>
      </c>
    </row>
    <row r="13" spans="2:13" s="417" customFormat="1" ht="18" customHeight="1" x14ac:dyDescent="0.25">
      <c r="B13" s="417" t="s">
        <v>1031</v>
      </c>
      <c r="C13" s="428" t="s">
        <v>905</v>
      </c>
      <c r="D13" s="421">
        <v>0</v>
      </c>
      <c r="E13" s="421">
        <v>0</v>
      </c>
      <c r="F13" s="421">
        <v>3</v>
      </c>
      <c r="G13" s="421">
        <v>3</v>
      </c>
      <c r="H13" s="421">
        <v>3</v>
      </c>
      <c r="I13" s="421">
        <v>2</v>
      </c>
      <c r="J13" s="421">
        <v>2</v>
      </c>
      <c r="K13" s="421">
        <v>0</v>
      </c>
      <c r="L13" s="421">
        <v>0</v>
      </c>
      <c r="M13" s="421">
        <v>0</v>
      </c>
    </row>
    <row r="14" spans="2:13" s="417" customFormat="1" x14ac:dyDescent="0.25">
      <c r="B14" s="420" t="s">
        <v>913</v>
      </c>
      <c r="C14" s="428" t="s">
        <v>905</v>
      </c>
      <c r="D14" s="421">
        <v>76</v>
      </c>
      <c r="E14" s="422">
        <f>+D14+E13</f>
        <v>76</v>
      </c>
      <c r="F14" s="422">
        <f t="shared" ref="F14:M14" si="0">+E14+F13</f>
        <v>79</v>
      </c>
      <c r="G14" s="422">
        <f t="shared" si="0"/>
        <v>82</v>
      </c>
      <c r="H14" s="422">
        <f t="shared" si="0"/>
        <v>85</v>
      </c>
      <c r="I14" s="422">
        <f t="shared" si="0"/>
        <v>87</v>
      </c>
      <c r="J14" s="422">
        <f t="shared" si="0"/>
        <v>89</v>
      </c>
      <c r="K14" s="422">
        <f t="shared" si="0"/>
        <v>89</v>
      </c>
      <c r="L14" s="422">
        <f t="shared" si="0"/>
        <v>89</v>
      </c>
      <c r="M14" s="422">
        <f t="shared" si="0"/>
        <v>89</v>
      </c>
    </row>
    <row r="15" spans="2:13" s="417" customFormat="1" x14ac:dyDescent="0.25">
      <c r="B15" s="420" t="s">
        <v>912</v>
      </c>
      <c r="C15" s="428" t="s">
        <v>917</v>
      </c>
      <c r="D15" s="451">
        <v>1701.9823677581865</v>
      </c>
      <c r="E15" s="452">
        <f t="shared" ref="E15:M16" si="1">$D15</f>
        <v>1701.9823677581865</v>
      </c>
      <c r="F15" s="452">
        <f t="shared" si="1"/>
        <v>1701.9823677581865</v>
      </c>
      <c r="G15" s="452">
        <f t="shared" si="1"/>
        <v>1701.9823677581865</v>
      </c>
      <c r="H15" s="452">
        <f t="shared" si="1"/>
        <v>1701.9823677581865</v>
      </c>
      <c r="I15" s="452">
        <f t="shared" si="1"/>
        <v>1701.9823677581865</v>
      </c>
      <c r="J15" s="452">
        <f t="shared" si="1"/>
        <v>1701.9823677581865</v>
      </c>
      <c r="K15" s="452">
        <f t="shared" si="1"/>
        <v>1701.9823677581865</v>
      </c>
      <c r="L15" s="452">
        <f t="shared" si="1"/>
        <v>1701.9823677581865</v>
      </c>
      <c r="M15" s="452">
        <f t="shared" si="1"/>
        <v>1701.9823677581865</v>
      </c>
    </row>
    <row r="16" spans="2:13" s="417" customFormat="1" x14ac:dyDescent="0.25">
      <c r="B16" s="420" t="s">
        <v>911</v>
      </c>
      <c r="C16" s="428" t="s">
        <v>633</v>
      </c>
      <c r="D16" s="426">
        <v>0.47</v>
      </c>
      <c r="E16" s="427">
        <f t="shared" si="1"/>
        <v>0.47</v>
      </c>
      <c r="F16" s="427">
        <f t="shared" si="1"/>
        <v>0.47</v>
      </c>
      <c r="G16" s="427">
        <f t="shared" si="1"/>
        <v>0.47</v>
      </c>
      <c r="H16" s="427">
        <f t="shared" si="1"/>
        <v>0.47</v>
      </c>
      <c r="I16" s="427">
        <f t="shared" si="1"/>
        <v>0.47</v>
      </c>
      <c r="J16" s="427">
        <f t="shared" si="1"/>
        <v>0.47</v>
      </c>
      <c r="K16" s="427">
        <f t="shared" si="1"/>
        <v>0.47</v>
      </c>
      <c r="L16" s="427">
        <f t="shared" si="1"/>
        <v>0.47</v>
      </c>
      <c r="M16" s="427">
        <f t="shared" si="1"/>
        <v>0.47</v>
      </c>
    </row>
    <row r="17" spans="2:13" s="417" customFormat="1" x14ac:dyDescent="0.25">
      <c r="B17" s="420" t="s">
        <v>910</v>
      </c>
      <c r="C17" s="428" t="s">
        <v>917</v>
      </c>
      <c r="D17" s="452">
        <f>D15*(1+D16)</f>
        <v>2501.9140806045339</v>
      </c>
      <c r="E17" s="452">
        <f t="shared" ref="E17:M17" si="2">E15*(1+E16)</f>
        <v>2501.9140806045339</v>
      </c>
      <c r="F17" s="452">
        <f t="shared" si="2"/>
        <v>2501.9140806045339</v>
      </c>
      <c r="G17" s="452">
        <f t="shared" si="2"/>
        <v>2501.9140806045339</v>
      </c>
      <c r="H17" s="452">
        <f t="shared" si="2"/>
        <v>2501.9140806045339</v>
      </c>
      <c r="I17" s="452">
        <f t="shared" si="2"/>
        <v>2501.9140806045339</v>
      </c>
      <c r="J17" s="452">
        <f t="shared" si="2"/>
        <v>2501.9140806045339</v>
      </c>
      <c r="K17" s="452">
        <f t="shared" si="2"/>
        <v>2501.9140806045339</v>
      </c>
      <c r="L17" s="452">
        <f t="shared" si="2"/>
        <v>2501.9140806045339</v>
      </c>
      <c r="M17" s="452">
        <f t="shared" si="2"/>
        <v>2501.9140806045339</v>
      </c>
    </row>
    <row r="18" spans="2:13" s="417" customFormat="1" x14ac:dyDescent="0.25">
      <c r="B18" s="420" t="s">
        <v>906</v>
      </c>
      <c r="C18" s="428" t="s">
        <v>909</v>
      </c>
      <c r="D18" s="452">
        <f>D17*D14*6</f>
        <v>1140872.8207556675</v>
      </c>
      <c r="E18" s="452">
        <f>E17*E14*6</f>
        <v>1140872.8207556675</v>
      </c>
      <c r="F18" s="452">
        <f t="shared" ref="F18:M18" si="3">F17*F14*6</f>
        <v>1185907.2742065492</v>
      </c>
      <c r="G18" s="452">
        <f t="shared" si="3"/>
        <v>1230941.7276574308</v>
      </c>
      <c r="H18" s="452">
        <f t="shared" si="3"/>
        <v>1275976.1811083122</v>
      </c>
      <c r="I18" s="452">
        <f t="shared" si="3"/>
        <v>1305999.1500755667</v>
      </c>
      <c r="J18" s="452">
        <f t="shared" si="3"/>
        <v>1336022.119042821</v>
      </c>
      <c r="K18" s="452">
        <f t="shared" si="3"/>
        <v>1336022.119042821</v>
      </c>
      <c r="L18" s="452">
        <f t="shared" si="3"/>
        <v>1336022.119042821</v>
      </c>
      <c r="M18" s="452">
        <f t="shared" si="3"/>
        <v>1336022.119042821</v>
      </c>
    </row>
    <row r="19" spans="2:13" s="417" customFormat="1" x14ac:dyDescent="0.25">
      <c r="B19" s="420" t="s">
        <v>907</v>
      </c>
      <c r="C19" s="428" t="s">
        <v>633</v>
      </c>
      <c r="D19" s="426">
        <v>0.443</v>
      </c>
      <c r="E19" s="427">
        <f t="shared" ref="E19:M19" si="4">$D19</f>
        <v>0.443</v>
      </c>
      <c r="F19" s="427">
        <f t="shared" si="4"/>
        <v>0.443</v>
      </c>
      <c r="G19" s="427">
        <f t="shared" si="4"/>
        <v>0.443</v>
      </c>
      <c r="H19" s="427">
        <f t="shared" si="4"/>
        <v>0.443</v>
      </c>
      <c r="I19" s="427">
        <f t="shared" si="4"/>
        <v>0.443</v>
      </c>
      <c r="J19" s="427">
        <f t="shared" si="4"/>
        <v>0.443</v>
      </c>
      <c r="K19" s="427">
        <f t="shared" si="4"/>
        <v>0.443</v>
      </c>
      <c r="L19" s="427">
        <f t="shared" si="4"/>
        <v>0.443</v>
      </c>
      <c r="M19" s="427">
        <f t="shared" si="4"/>
        <v>0.443</v>
      </c>
    </row>
    <row r="20" spans="2:13" s="417" customFormat="1" x14ac:dyDescent="0.25">
      <c r="B20" s="420" t="s">
        <v>908</v>
      </c>
      <c r="C20" s="428" t="s">
        <v>909</v>
      </c>
      <c r="D20" s="452">
        <f t="shared" ref="D20:G20" si="5">D18*D19</f>
        <v>505406.65959476074</v>
      </c>
      <c r="E20" s="452">
        <f t="shared" si="5"/>
        <v>505406.65959476074</v>
      </c>
      <c r="F20" s="452">
        <f t="shared" si="5"/>
        <v>525356.9224735013</v>
      </c>
      <c r="G20" s="452">
        <f t="shared" si="5"/>
        <v>545307.18535224185</v>
      </c>
      <c r="H20" s="452">
        <f>H18*H19</f>
        <v>565257.44823098229</v>
      </c>
      <c r="I20" s="452">
        <f t="shared" ref="I20:M20" si="6">I18*I19</f>
        <v>578557.62348347611</v>
      </c>
      <c r="J20" s="452">
        <f t="shared" si="6"/>
        <v>591857.7987359697</v>
      </c>
      <c r="K20" s="452">
        <f t="shared" si="6"/>
        <v>591857.7987359697</v>
      </c>
      <c r="L20" s="452">
        <f t="shared" si="6"/>
        <v>591857.7987359697</v>
      </c>
      <c r="M20" s="452">
        <f t="shared" si="6"/>
        <v>591857.7987359697</v>
      </c>
    </row>
    <row r="21" spans="2:13" s="417" customFormat="1" x14ac:dyDescent="0.25">
      <c r="B21" s="424" t="s">
        <v>916</v>
      </c>
      <c r="C21" s="430" t="s">
        <v>909</v>
      </c>
      <c r="D21" s="453">
        <f t="shared" ref="D21:E21" si="7">D18+D20</f>
        <v>1646279.4803504283</v>
      </c>
      <c r="E21" s="453">
        <f t="shared" si="7"/>
        <v>1646279.4803504283</v>
      </c>
      <c r="F21" s="453">
        <f t="shared" ref="F21:M21" si="8">F18+F20</f>
        <v>1711264.1966800503</v>
      </c>
      <c r="G21" s="453">
        <f t="shared" si="8"/>
        <v>1776248.9130096727</v>
      </c>
      <c r="H21" s="453">
        <f t="shared" si="8"/>
        <v>1841233.6293392945</v>
      </c>
      <c r="I21" s="453">
        <f t="shared" si="8"/>
        <v>1884556.7735590427</v>
      </c>
      <c r="J21" s="453">
        <f t="shared" si="8"/>
        <v>1927879.9177787907</v>
      </c>
      <c r="K21" s="453">
        <f t="shared" si="8"/>
        <v>1927879.9177787907</v>
      </c>
      <c r="L21" s="453">
        <f t="shared" si="8"/>
        <v>1927879.9177787907</v>
      </c>
      <c r="M21" s="453">
        <f t="shared" si="8"/>
        <v>1927879.9177787907</v>
      </c>
    </row>
    <row r="22" spans="2:13" s="417" customFormat="1" x14ac:dyDescent="0.25">
      <c r="B22" s="761" t="s">
        <v>914</v>
      </c>
      <c r="C22" s="762" t="s">
        <v>909</v>
      </c>
      <c r="D22" s="763">
        <v>0</v>
      </c>
      <c r="E22" s="763">
        <f t="shared" ref="E22:M22" si="9">$D22</f>
        <v>0</v>
      </c>
      <c r="F22" s="763">
        <f t="shared" si="9"/>
        <v>0</v>
      </c>
      <c r="G22" s="763">
        <f t="shared" si="9"/>
        <v>0</v>
      </c>
      <c r="H22" s="763">
        <f t="shared" si="9"/>
        <v>0</v>
      </c>
      <c r="I22" s="763">
        <f t="shared" si="9"/>
        <v>0</v>
      </c>
      <c r="J22" s="763">
        <f t="shared" si="9"/>
        <v>0</v>
      </c>
      <c r="K22" s="763">
        <f t="shared" si="9"/>
        <v>0</v>
      </c>
      <c r="L22" s="763">
        <f t="shared" si="9"/>
        <v>0</v>
      </c>
      <c r="M22" s="763">
        <f t="shared" si="9"/>
        <v>0</v>
      </c>
    </row>
    <row r="23" spans="2:13" s="417" customFormat="1" x14ac:dyDescent="0.25">
      <c r="B23" s="425" t="s">
        <v>915</v>
      </c>
      <c r="C23" s="430" t="s">
        <v>909</v>
      </c>
      <c r="D23" s="453">
        <f t="shared" ref="D23:M23" si="10">+D21+D22</f>
        <v>1646279.4803504283</v>
      </c>
      <c r="E23" s="453">
        <f t="shared" si="10"/>
        <v>1646279.4803504283</v>
      </c>
      <c r="F23" s="453">
        <f t="shared" si="10"/>
        <v>1711264.1966800503</v>
      </c>
      <c r="G23" s="453">
        <f t="shared" si="10"/>
        <v>1776248.9130096727</v>
      </c>
      <c r="H23" s="453">
        <f t="shared" si="10"/>
        <v>1841233.6293392945</v>
      </c>
      <c r="I23" s="453">
        <f t="shared" si="10"/>
        <v>1884556.7735590427</v>
      </c>
      <c r="J23" s="453">
        <f t="shared" si="10"/>
        <v>1927879.9177787907</v>
      </c>
      <c r="K23" s="453">
        <f t="shared" si="10"/>
        <v>1927879.9177787907</v>
      </c>
      <c r="L23" s="453">
        <f t="shared" si="10"/>
        <v>1927879.9177787907</v>
      </c>
      <c r="M23" s="453">
        <f t="shared" si="10"/>
        <v>1927879.9177787907</v>
      </c>
    </row>
    <row r="24" spans="2:13" s="417" customFormat="1" x14ac:dyDescent="0.25"/>
    <row r="25" spans="2:13" s="417" customFormat="1" x14ac:dyDescent="0.25"/>
    <row r="26" spans="2:13" s="417" customFormat="1" x14ac:dyDescent="0.25">
      <c r="B26" s="423" t="s">
        <v>965</v>
      </c>
      <c r="C26" s="418"/>
      <c r="D26" s="414" t="s">
        <v>954</v>
      </c>
      <c r="E26" s="414" t="s">
        <v>955</v>
      </c>
      <c r="F26" s="414" t="s">
        <v>956</v>
      </c>
      <c r="G26" s="414" t="s">
        <v>957</v>
      </c>
      <c r="H26" s="414" t="s">
        <v>958</v>
      </c>
      <c r="I26" s="414" t="s">
        <v>959</v>
      </c>
      <c r="J26" s="414" t="s">
        <v>960</v>
      </c>
      <c r="K26" s="414" t="s">
        <v>961</v>
      </c>
      <c r="L26" s="414" t="s">
        <v>962</v>
      </c>
      <c r="M26" s="414" t="s">
        <v>963</v>
      </c>
    </row>
    <row r="27" spans="2:13" s="417" customFormat="1" x14ac:dyDescent="0.25">
      <c r="B27" s="429" t="s">
        <v>903</v>
      </c>
      <c r="C27" s="428" t="s">
        <v>909</v>
      </c>
      <c r="D27" s="447">
        <f>+D72</f>
        <v>0</v>
      </c>
      <c r="E27" s="447">
        <f t="shared" ref="E27:M27" si="11">+E72</f>
        <v>675700</v>
      </c>
      <c r="F27" s="447">
        <f t="shared" si="11"/>
        <v>240000</v>
      </c>
      <c r="G27" s="447">
        <f t="shared" si="11"/>
        <v>883745</v>
      </c>
      <c r="H27" s="447">
        <f t="shared" si="11"/>
        <v>0</v>
      </c>
      <c r="I27" s="447">
        <f t="shared" si="11"/>
        <v>2111603</v>
      </c>
      <c r="J27" s="447">
        <f t="shared" si="11"/>
        <v>0</v>
      </c>
      <c r="K27" s="447">
        <f t="shared" si="11"/>
        <v>781273</v>
      </c>
      <c r="L27" s="447">
        <f t="shared" si="11"/>
        <v>255273</v>
      </c>
      <c r="M27" s="447">
        <f t="shared" si="11"/>
        <v>0</v>
      </c>
    </row>
    <row r="28" spans="2:13" x14ac:dyDescent="0.25">
      <c r="B28" s="429" t="s">
        <v>904</v>
      </c>
      <c r="C28" s="428" t="s">
        <v>909</v>
      </c>
      <c r="D28" s="447"/>
      <c r="E28" s="447"/>
      <c r="F28" s="447"/>
      <c r="G28" s="447"/>
      <c r="H28" s="447"/>
      <c r="I28" s="447"/>
      <c r="J28" s="447"/>
      <c r="K28" s="447"/>
      <c r="L28" s="447"/>
      <c r="M28" s="447"/>
    </row>
    <row r="29" spans="2:13" x14ac:dyDescent="0.25">
      <c r="B29" s="425" t="s">
        <v>40</v>
      </c>
      <c r="C29" s="430" t="s">
        <v>909</v>
      </c>
      <c r="D29" s="453">
        <f t="shared" ref="D29:M29" si="12">SUM(D27:D28)</f>
        <v>0</v>
      </c>
      <c r="E29" s="453">
        <f t="shared" si="12"/>
        <v>675700</v>
      </c>
      <c r="F29" s="453">
        <f t="shared" si="12"/>
        <v>240000</v>
      </c>
      <c r="G29" s="453">
        <f t="shared" si="12"/>
        <v>883745</v>
      </c>
      <c r="H29" s="453">
        <f t="shared" si="12"/>
        <v>0</v>
      </c>
      <c r="I29" s="453">
        <f t="shared" si="12"/>
        <v>2111603</v>
      </c>
      <c r="J29" s="453">
        <f t="shared" si="12"/>
        <v>0</v>
      </c>
      <c r="K29" s="453">
        <f t="shared" si="12"/>
        <v>781273</v>
      </c>
      <c r="L29" s="453">
        <f t="shared" si="12"/>
        <v>255273</v>
      </c>
      <c r="M29" s="453">
        <f t="shared" si="12"/>
        <v>0</v>
      </c>
    </row>
    <row r="31" spans="2:13" x14ac:dyDescent="0.25">
      <c r="C31" s="419"/>
      <c r="D31" s="419"/>
      <c r="E31" s="419"/>
      <c r="F31" s="419"/>
      <c r="G31" s="419"/>
      <c r="H31" s="419"/>
      <c r="I31" s="419"/>
      <c r="J31" s="419"/>
      <c r="K31" s="419"/>
      <c r="L31" s="419"/>
    </row>
    <row r="32" spans="2:13" x14ac:dyDescent="0.25">
      <c r="B32" s="423" t="s">
        <v>966</v>
      </c>
      <c r="C32" s="418"/>
      <c r="D32" s="414" t="s">
        <v>954</v>
      </c>
      <c r="E32" s="414" t="s">
        <v>955</v>
      </c>
      <c r="F32" s="414" t="s">
        <v>956</v>
      </c>
      <c r="G32" s="414" t="s">
        <v>957</v>
      </c>
      <c r="H32" s="414" t="s">
        <v>958</v>
      </c>
      <c r="I32" s="414" t="s">
        <v>959</v>
      </c>
      <c r="J32" s="414" t="s">
        <v>960</v>
      </c>
      <c r="K32" s="414" t="s">
        <v>961</v>
      </c>
      <c r="L32" s="414" t="s">
        <v>962</v>
      </c>
      <c r="M32" s="414" t="s">
        <v>963</v>
      </c>
    </row>
    <row r="34" spans="2:14" x14ac:dyDescent="0.25">
      <c r="B34" s="431" t="s">
        <v>918</v>
      </c>
      <c r="C34" s="446">
        <f>+SUM(D34:M34)</f>
        <v>347000</v>
      </c>
      <c r="D34" s="446">
        <f>+SUBTOTAL(9,D35)</f>
        <v>0</v>
      </c>
      <c r="E34" s="446">
        <f t="shared" ref="E34:M34" si="13">+SUBTOTAL(9,E35)</f>
        <v>30000</v>
      </c>
      <c r="F34" s="446">
        <f t="shared" si="13"/>
        <v>0</v>
      </c>
      <c r="G34" s="446">
        <f t="shared" si="13"/>
        <v>201000</v>
      </c>
      <c r="H34" s="446">
        <f t="shared" si="13"/>
        <v>0</v>
      </c>
      <c r="I34" s="446">
        <f t="shared" si="13"/>
        <v>0</v>
      </c>
      <c r="J34" s="446">
        <f t="shared" si="13"/>
        <v>0</v>
      </c>
      <c r="K34" s="446">
        <f t="shared" si="13"/>
        <v>116000</v>
      </c>
      <c r="L34" s="446">
        <f t="shared" si="13"/>
        <v>0</v>
      </c>
      <c r="M34" s="446">
        <f t="shared" si="13"/>
        <v>0</v>
      </c>
    </row>
    <row r="35" spans="2:14" x14ac:dyDescent="0.25">
      <c r="B35" s="436" t="s">
        <v>919</v>
      </c>
      <c r="C35" s="447">
        <f t="shared" ref="C35:C65" si="14">+SUBTOTAL(9,D35:M35)</f>
        <v>347000</v>
      </c>
      <c r="D35" s="454"/>
      <c r="E35" s="454">
        <v>30000</v>
      </c>
      <c r="F35" s="454"/>
      <c r="G35" s="454">
        <v>201000</v>
      </c>
      <c r="H35" s="454"/>
      <c r="I35" s="454">
        <v>0</v>
      </c>
      <c r="J35" s="454"/>
      <c r="K35" s="454">
        <v>116000</v>
      </c>
      <c r="L35" s="454"/>
      <c r="M35" s="454">
        <v>0</v>
      </c>
      <c r="N35" s="544"/>
    </row>
    <row r="36" spans="2:14" x14ac:dyDescent="0.25">
      <c r="B36" s="431" t="s">
        <v>920</v>
      </c>
      <c r="C36" s="446">
        <f>+SUM(D36:M36)</f>
        <v>373450</v>
      </c>
      <c r="D36" s="446">
        <f>+SUBTOTAL(9,D37:D39)</f>
        <v>0</v>
      </c>
      <c r="E36" s="446">
        <f t="shared" ref="E36:M36" si="15">+SUBTOTAL(9,E37:E39)</f>
        <v>140000</v>
      </c>
      <c r="F36" s="446">
        <f t="shared" si="15"/>
        <v>170000</v>
      </c>
      <c r="G36" s="446">
        <f t="shared" si="15"/>
        <v>55950</v>
      </c>
      <c r="H36" s="446">
        <f t="shared" si="15"/>
        <v>0</v>
      </c>
      <c r="I36" s="446">
        <f t="shared" si="15"/>
        <v>7500</v>
      </c>
      <c r="J36" s="446">
        <f t="shared" si="15"/>
        <v>0</v>
      </c>
      <c r="K36" s="446">
        <f t="shared" si="15"/>
        <v>0</v>
      </c>
      <c r="L36" s="446">
        <f t="shared" si="15"/>
        <v>0</v>
      </c>
      <c r="M36" s="446">
        <f t="shared" si="15"/>
        <v>0</v>
      </c>
    </row>
    <row r="37" spans="2:14" x14ac:dyDescent="0.25">
      <c r="B37" s="437" t="s">
        <v>921</v>
      </c>
      <c r="C37" s="447">
        <f t="shared" si="14"/>
        <v>63450</v>
      </c>
      <c r="D37" s="455"/>
      <c r="E37" s="455"/>
      <c r="F37" s="455"/>
      <c r="G37" s="456">
        <v>55950</v>
      </c>
      <c r="H37" s="456"/>
      <c r="I37" s="456">
        <v>7500</v>
      </c>
      <c r="J37" s="456"/>
      <c r="K37" s="455"/>
      <c r="L37" s="455"/>
      <c r="M37" s="455"/>
      <c r="N37" s="544"/>
    </row>
    <row r="38" spans="2:14" x14ac:dyDescent="0.25">
      <c r="B38" s="438" t="s">
        <v>922</v>
      </c>
      <c r="C38" s="447">
        <f t="shared" si="14"/>
        <v>60000</v>
      </c>
      <c r="D38" s="455"/>
      <c r="E38" s="454">
        <v>60000</v>
      </c>
      <c r="F38" s="455"/>
      <c r="G38" s="456"/>
      <c r="H38" s="456"/>
      <c r="I38" s="456"/>
      <c r="J38" s="456"/>
      <c r="K38" s="455"/>
      <c r="L38" s="455"/>
      <c r="M38" s="455"/>
      <c r="N38" s="544"/>
    </row>
    <row r="39" spans="2:14" x14ac:dyDescent="0.25">
      <c r="B39" s="438" t="s">
        <v>923</v>
      </c>
      <c r="C39" s="447">
        <f t="shared" si="14"/>
        <v>250000</v>
      </c>
      <c r="D39" s="455"/>
      <c r="E39" s="454">
        <v>80000</v>
      </c>
      <c r="F39" s="454">
        <v>170000</v>
      </c>
      <c r="G39" s="456"/>
      <c r="H39" s="456"/>
      <c r="I39" s="456"/>
      <c r="J39" s="456"/>
      <c r="K39" s="455"/>
      <c r="L39" s="455"/>
      <c r="M39" s="455"/>
      <c r="N39" s="544"/>
    </row>
    <row r="40" spans="2:14" x14ac:dyDescent="0.25">
      <c r="B40" s="432" t="s">
        <v>924</v>
      </c>
      <c r="C40" s="446">
        <f>+SUM(D40:M40)</f>
        <v>1590649</v>
      </c>
      <c r="D40" s="446">
        <f>+SUBTOTAL(9,D41:D44)</f>
        <v>0</v>
      </c>
      <c r="E40" s="446">
        <f t="shared" ref="E40:M40" si="16">+SUBTOTAL(9,E41:E44)</f>
        <v>32000</v>
      </c>
      <c r="F40" s="446">
        <f t="shared" si="16"/>
        <v>0</v>
      </c>
      <c r="G40" s="446">
        <f t="shared" si="16"/>
        <v>32000</v>
      </c>
      <c r="H40" s="446">
        <f t="shared" si="16"/>
        <v>0</v>
      </c>
      <c r="I40" s="446">
        <f t="shared" si="16"/>
        <v>1369903</v>
      </c>
      <c r="J40" s="446">
        <f t="shared" si="16"/>
        <v>0</v>
      </c>
      <c r="K40" s="446">
        <f t="shared" si="16"/>
        <v>78373</v>
      </c>
      <c r="L40" s="446">
        <f t="shared" si="16"/>
        <v>78373</v>
      </c>
      <c r="M40" s="446">
        <f t="shared" si="16"/>
        <v>0</v>
      </c>
    </row>
    <row r="41" spans="2:14" ht="30" x14ac:dyDescent="0.25">
      <c r="B41" s="439" t="s">
        <v>925</v>
      </c>
      <c r="C41" s="448">
        <f t="shared" si="14"/>
        <v>628000</v>
      </c>
      <c r="D41" s="457"/>
      <c r="E41" s="458"/>
      <c r="F41" s="458"/>
      <c r="G41" s="458"/>
      <c r="H41" s="458"/>
      <c r="I41" s="458">
        <v>628000</v>
      </c>
      <c r="J41" s="458"/>
      <c r="K41" s="458"/>
      <c r="L41" s="458"/>
      <c r="M41" s="458"/>
    </row>
    <row r="42" spans="2:14" x14ac:dyDescent="0.25">
      <c r="B42" s="439" t="s">
        <v>926</v>
      </c>
      <c r="C42" s="448">
        <f t="shared" si="14"/>
        <v>160000</v>
      </c>
      <c r="D42" s="457"/>
      <c r="E42" s="458">
        <v>32000</v>
      </c>
      <c r="F42" s="458"/>
      <c r="G42" s="458">
        <v>32000</v>
      </c>
      <c r="H42" s="458"/>
      <c r="I42" s="458">
        <v>32000</v>
      </c>
      <c r="J42" s="458"/>
      <c r="K42" s="458">
        <v>32000</v>
      </c>
      <c r="L42" s="458">
        <v>32000</v>
      </c>
      <c r="M42" s="459"/>
    </row>
    <row r="43" spans="2:14" ht="30" x14ac:dyDescent="0.25">
      <c r="B43" s="439" t="s">
        <v>927</v>
      </c>
      <c r="C43" s="448">
        <f t="shared" si="14"/>
        <v>139119</v>
      </c>
      <c r="D43" s="457"/>
      <c r="E43" s="458"/>
      <c r="F43" s="458"/>
      <c r="G43" s="458"/>
      <c r="H43" s="458"/>
      <c r="I43" s="458">
        <v>46373</v>
      </c>
      <c r="J43" s="459"/>
      <c r="K43" s="458">
        <v>46373</v>
      </c>
      <c r="L43" s="458">
        <v>46373</v>
      </c>
      <c r="M43" s="459"/>
    </row>
    <row r="44" spans="2:14" ht="30" x14ac:dyDescent="0.25">
      <c r="B44" s="439" t="s">
        <v>928</v>
      </c>
      <c r="C44" s="448">
        <f t="shared" si="14"/>
        <v>663530</v>
      </c>
      <c r="D44" s="457"/>
      <c r="E44" s="458"/>
      <c r="F44" s="458"/>
      <c r="G44" s="458"/>
      <c r="H44" s="458"/>
      <c r="I44" s="458">
        <v>663530</v>
      </c>
      <c r="J44" s="458"/>
      <c r="K44" s="458"/>
      <c r="L44" s="458"/>
      <c r="M44" s="458"/>
    </row>
    <row r="45" spans="2:14" x14ac:dyDescent="0.25">
      <c r="B45" s="433" t="s">
        <v>929</v>
      </c>
      <c r="C45" s="446">
        <f>+SUM(D45:M45)</f>
        <v>1469395</v>
      </c>
      <c r="D45" s="446">
        <f>+SUBTOTAL(9,D46:D52)</f>
        <v>0</v>
      </c>
      <c r="E45" s="446">
        <f t="shared" ref="E45:M45" si="17">+SUBTOTAL(9,E46:E52)</f>
        <v>403700</v>
      </c>
      <c r="F45" s="446">
        <f t="shared" si="17"/>
        <v>0</v>
      </c>
      <c r="G45" s="446">
        <f t="shared" si="17"/>
        <v>524795</v>
      </c>
      <c r="H45" s="446">
        <f t="shared" si="17"/>
        <v>0</v>
      </c>
      <c r="I45" s="446">
        <f t="shared" si="17"/>
        <v>287100</v>
      </c>
      <c r="J45" s="446">
        <f t="shared" si="17"/>
        <v>0</v>
      </c>
      <c r="K45" s="446">
        <f t="shared" si="17"/>
        <v>126900</v>
      </c>
      <c r="L45" s="446">
        <f t="shared" si="17"/>
        <v>126900</v>
      </c>
      <c r="M45" s="446">
        <f t="shared" si="17"/>
        <v>0</v>
      </c>
    </row>
    <row r="46" spans="2:14" x14ac:dyDescent="0.25">
      <c r="B46" s="440" t="s">
        <v>1083</v>
      </c>
      <c r="C46" s="448">
        <f t="shared" si="14"/>
        <v>7000</v>
      </c>
      <c r="D46" s="457"/>
      <c r="E46" s="458"/>
      <c r="F46" s="458"/>
      <c r="G46" s="458">
        <v>7000</v>
      </c>
      <c r="H46" s="458"/>
      <c r="I46" s="458"/>
      <c r="J46" s="458"/>
      <c r="K46" s="458"/>
      <c r="L46" s="458"/>
      <c r="M46" s="458"/>
    </row>
    <row r="47" spans="2:14" x14ac:dyDescent="0.25">
      <c r="B47" s="440" t="s">
        <v>930</v>
      </c>
      <c r="C47" s="448">
        <f t="shared" si="14"/>
        <v>30000</v>
      </c>
      <c r="D47" s="457"/>
      <c r="E47" s="458"/>
      <c r="F47" s="458"/>
      <c r="G47" s="458"/>
      <c r="H47" s="458"/>
      <c r="I47" s="458">
        <v>30000</v>
      </c>
      <c r="J47" s="458"/>
      <c r="K47" s="458"/>
      <c r="L47" s="458"/>
      <c r="M47" s="458"/>
    </row>
    <row r="48" spans="2:14" x14ac:dyDescent="0.25">
      <c r="B48" s="441" t="s">
        <v>931</v>
      </c>
      <c r="C48" s="448">
        <f t="shared" si="14"/>
        <v>300000</v>
      </c>
      <c r="D48" s="457"/>
      <c r="E48" s="458"/>
      <c r="F48" s="458"/>
      <c r="G48" s="458">
        <v>300000</v>
      </c>
      <c r="H48" s="458"/>
      <c r="I48" s="458"/>
      <c r="J48" s="458"/>
      <c r="K48" s="458"/>
      <c r="L48" s="458"/>
      <c r="M48" s="458"/>
    </row>
    <row r="49" spans="2:14" ht="30" x14ac:dyDescent="0.25">
      <c r="B49" s="441" t="s">
        <v>932</v>
      </c>
      <c r="C49" s="448">
        <f t="shared" si="14"/>
        <v>130200</v>
      </c>
      <c r="D49" s="457"/>
      <c r="E49" s="458"/>
      <c r="F49" s="458"/>
      <c r="G49" s="458"/>
      <c r="H49" s="458"/>
      <c r="I49" s="458">
        <v>130200</v>
      </c>
      <c r="J49" s="458"/>
      <c r="K49" s="458"/>
      <c r="L49" s="458"/>
      <c r="M49" s="458"/>
    </row>
    <row r="50" spans="2:14" ht="30" x14ac:dyDescent="0.25">
      <c r="B50" s="441" t="s">
        <v>933</v>
      </c>
      <c r="C50" s="448">
        <f t="shared" si="14"/>
        <v>200000</v>
      </c>
      <c r="D50" s="457"/>
      <c r="E50" s="458">
        <v>200000</v>
      </c>
      <c r="F50" s="458"/>
      <c r="G50" s="458"/>
      <c r="H50" s="458"/>
      <c r="I50" s="458"/>
      <c r="J50" s="458"/>
      <c r="K50" s="458"/>
      <c r="L50" s="458"/>
      <c r="M50" s="458"/>
    </row>
    <row r="51" spans="2:14" ht="30" x14ac:dyDescent="0.25">
      <c r="B51" s="441" t="s">
        <v>934</v>
      </c>
      <c r="C51" s="448">
        <f t="shared" si="14"/>
        <v>648595</v>
      </c>
      <c r="D51" s="457"/>
      <c r="E51" s="458">
        <v>126900</v>
      </c>
      <c r="F51" s="458"/>
      <c r="G51" s="458">
        <v>140995</v>
      </c>
      <c r="H51" s="458"/>
      <c r="I51" s="458">
        <v>126900</v>
      </c>
      <c r="J51" s="458"/>
      <c r="K51" s="458">
        <v>126900</v>
      </c>
      <c r="L51" s="458">
        <v>126900</v>
      </c>
      <c r="M51" s="459"/>
    </row>
    <row r="52" spans="2:14" ht="30" x14ac:dyDescent="0.25">
      <c r="B52" s="441" t="s">
        <v>935</v>
      </c>
      <c r="C52" s="448">
        <f t="shared" si="14"/>
        <v>153600</v>
      </c>
      <c r="D52" s="457"/>
      <c r="E52" s="458">
        <v>76800</v>
      </c>
      <c r="F52" s="458"/>
      <c r="G52" s="458">
        <v>76800</v>
      </c>
      <c r="H52" s="458"/>
      <c r="I52" s="458"/>
      <c r="J52" s="458"/>
      <c r="K52" s="458"/>
      <c r="L52" s="458"/>
      <c r="M52" s="458"/>
    </row>
    <row r="53" spans="2:14" ht="30" x14ac:dyDescent="0.25">
      <c r="B53" s="433" t="s">
        <v>936</v>
      </c>
      <c r="C53" s="446">
        <f>+SUM(D53:M53)</f>
        <v>230000</v>
      </c>
      <c r="D53" s="446">
        <f>+SUBTOTAL(9,D54:D56)</f>
        <v>0</v>
      </c>
      <c r="E53" s="446">
        <f t="shared" ref="E53:M53" si="18">+SUBTOTAL(9,E54:E56)</f>
        <v>0</v>
      </c>
      <c r="F53" s="446">
        <f t="shared" si="18"/>
        <v>0</v>
      </c>
      <c r="G53" s="446">
        <f t="shared" si="18"/>
        <v>0</v>
      </c>
      <c r="H53" s="446">
        <f t="shared" si="18"/>
        <v>0</v>
      </c>
      <c r="I53" s="446">
        <f t="shared" si="18"/>
        <v>50000</v>
      </c>
      <c r="J53" s="446">
        <f t="shared" si="18"/>
        <v>0</v>
      </c>
      <c r="K53" s="446">
        <f t="shared" si="18"/>
        <v>130000</v>
      </c>
      <c r="L53" s="446">
        <f t="shared" si="18"/>
        <v>50000</v>
      </c>
      <c r="M53" s="446">
        <f t="shared" si="18"/>
        <v>0</v>
      </c>
    </row>
    <row r="54" spans="2:14" x14ac:dyDescent="0.25">
      <c r="B54" s="439" t="s">
        <v>937</v>
      </c>
      <c r="C54" s="448">
        <f t="shared" si="14"/>
        <v>130000</v>
      </c>
      <c r="D54" s="457"/>
      <c r="E54" s="458"/>
      <c r="F54" s="458"/>
      <c r="G54" s="458"/>
      <c r="H54" s="458"/>
      <c r="I54" s="458"/>
      <c r="J54" s="458"/>
      <c r="K54" s="458">
        <v>130000</v>
      </c>
      <c r="L54" s="458"/>
      <c r="M54" s="458"/>
    </row>
    <row r="55" spans="2:14" x14ac:dyDescent="0.25">
      <c r="B55" s="439" t="s">
        <v>938</v>
      </c>
      <c r="C55" s="448">
        <f t="shared" si="14"/>
        <v>50000</v>
      </c>
      <c r="D55" s="457"/>
      <c r="E55" s="458"/>
      <c r="F55" s="458"/>
      <c r="G55" s="458"/>
      <c r="H55" s="458"/>
      <c r="I55" s="458"/>
      <c r="J55" s="458"/>
      <c r="K55" s="458"/>
      <c r="L55" s="458">
        <v>50000</v>
      </c>
      <c r="M55" s="459"/>
    </row>
    <row r="56" spans="2:14" ht="30" x14ac:dyDescent="0.25">
      <c r="B56" s="439" t="s">
        <v>939</v>
      </c>
      <c r="C56" s="448">
        <f t="shared" si="14"/>
        <v>50000</v>
      </c>
      <c r="D56" s="457"/>
      <c r="E56" s="458"/>
      <c r="F56" s="458"/>
      <c r="G56" s="458"/>
      <c r="H56" s="458"/>
      <c r="I56" s="458">
        <v>50000</v>
      </c>
      <c r="J56" s="458"/>
      <c r="K56" s="458"/>
      <c r="L56" s="458"/>
      <c r="M56" s="458"/>
    </row>
    <row r="57" spans="2:14" x14ac:dyDescent="0.25">
      <c r="B57" s="442" t="s">
        <v>940</v>
      </c>
      <c r="C57" s="446">
        <f>+SUM(D57:M57)</f>
        <v>130000</v>
      </c>
      <c r="D57" s="446">
        <f>+SUBTOTAL(9,D58:D60)</f>
        <v>0</v>
      </c>
      <c r="E57" s="446">
        <f t="shared" ref="E57:M57" si="19">+SUBTOTAL(9,E58:E60)</f>
        <v>0</v>
      </c>
      <c r="F57" s="446">
        <f t="shared" si="19"/>
        <v>0</v>
      </c>
      <c r="G57" s="446">
        <f t="shared" si="19"/>
        <v>0</v>
      </c>
      <c r="H57" s="446">
        <f t="shared" si="19"/>
        <v>0</v>
      </c>
      <c r="I57" s="446">
        <f t="shared" si="19"/>
        <v>0</v>
      </c>
      <c r="J57" s="446">
        <f t="shared" si="19"/>
        <v>0</v>
      </c>
      <c r="K57" s="446">
        <f t="shared" si="19"/>
        <v>130000</v>
      </c>
      <c r="L57" s="446">
        <f t="shared" si="19"/>
        <v>0</v>
      </c>
      <c r="M57" s="446">
        <f t="shared" si="19"/>
        <v>0</v>
      </c>
    </row>
    <row r="58" spans="2:14" x14ac:dyDescent="0.25">
      <c r="B58" s="439" t="s">
        <v>941</v>
      </c>
      <c r="C58" s="448">
        <f t="shared" si="14"/>
        <v>50000</v>
      </c>
      <c r="D58" s="457"/>
      <c r="E58" s="458"/>
      <c r="F58" s="458"/>
      <c r="G58" s="458"/>
      <c r="H58" s="458"/>
      <c r="I58" s="458"/>
      <c r="J58" s="458"/>
      <c r="K58" s="458">
        <v>50000</v>
      </c>
      <c r="L58" s="458"/>
      <c r="M58" s="458"/>
    </row>
    <row r="59" spans="2:14" x14ac:dyDescent="0.25">
      <c r="B59" s="439" t="s">
        <v>942</v>
      </c>
      <c r="C59" s="448">
        <f t="shared" si="14"/>
        <v>50000</v>
      </c>
      <c r="D59" s="457"/>
      <c r="E59" s="458"/>
      <c r="F59" s="458"/>
      <c r="G59" s="458"/>
      <c r="H59" s="458"/>
      <c r="I59" s="458"/>
      <c r="J59" s="458"/>
      <c r="K59" s="458">
        <v>50000</v>
      </c>
      <c r="L59" s="458"/>
      <c r="M59" s="458"/>
    </row>
    <row r="60" spans="2:14" x14ac:dyDescent="0.25">
      <c r="B60" s="439" t="s">
        <v>943</v>
      </c>
      <c r="C60" s="448">
        <f t="shared" si="14"/>
        <v>30000</v>
      </c>
      <c r="D60" s="457"/>
      <c r="E60" s="458"/>
      <c r="F60" s="458"/>
      <c r="G60" s="458"/>
      <c r="H60" s="458"/>
      <c r="I60" s="458"/>
      <c r="J60" s="458"/>
      <c r="K60" s="458">
        <v>30000</v>
      </c>
      <c r="L60" s="458"/>
      <c r="M60" s="458"/>
    </row>
    <row r="61" spans="2:14" ht="15" customHeight="1" x14ac:dyDescent="0.25">
      <c r="B61" s="433" t="s">
        <v>944</v>
      </c>
      <c r="C61" s="446">
        <f>+SUM(D61:M61)</f>
        <v>200000</v>
      </c>
      <c r="D61" s="446">
        <f>+SUBTOTAL(9,D62:D65)</f>
        <v>0</v>
      </c>
      <c r="E61" s="446">
        <f t="shared" ref="E61:M61" si="20">+SUBTOTAL(9,E62:E65)</f>
        <v>70000</v>
      </c>
      <c r="F61" s="446">
        <f t="shared" si="20"/>
        <v>70000</v>
      </c>
      <c r="G61" s="446">
        <f t="shared" si="20"/>
        <v>60000</v>
      </c>
      <c r="H61" s="446">
        <f t="shared" si="20"/>
        <v>0</v>
      </c>
      <c r="I61" s="446">
        <f t="shared" si="20"/>
        <v>0</v>
      </c>
      <c r="J61" s="446">
        <f t="shared" si="20"/>
        <v>0</v>
      </c>
      <c r="K61" s="446">
        <f t="shared" si="20"/>
        <v>0</v>
      </c>
      <c r="L61" s="446">
        <f t="shared" si="20"/>
        <v>0</v>
      </c>
      <c r="M61" s="446">
        <f t="shared" si="20"/>
        <v>0</v>
      </c>
    </row>
    <row r="62" spans="2:14" x14ac:dyDescent="0.25">
      <c r="B62" s="963" t="s">
        <v>945</v>
      </c>
      <c r="C62" s="449">
        <f t="shared" si="14"/>
        <v>50000</v>
      </c>
      <c r="D62" s="458"/>
      <c r="E62" s="458">
        <v>25000</v>
      </c>
      <c r="F62" s="458">
        <v>25000</v>
      </c>
      <c r="G62" s="458"/>
      <c r="H62" s="458"/>
      <c r="I62" s="458"/>
      <c r="J62" s="458"/>
      <c r="K62" s="458"/>
      <c r="L62" s="458"/>
      <c r="M62" s="458"/>
      <c r="N62" s="12"/>
    </row>
    <row r="63" spans="2:14" x14ac:dyDescent="0.25">
      <c r="B63" s="964" t="s">
        <v>1084</v>
      </c>
      <c r="C63" s="449">
        <f t="shared" si="14"/>
        <v>60000</v>
      </c>
      <c r="D63" s="458"/>
      <c r="E63" s="458"/>
      <c r="F63" s="458"/>
      <c r="G63" s="458">
        <v>60000</v>
      </c>
      <c r="H63" s="458"/>
      <c r="I63" s="458"/>
      <c r="J63" s="458"/>
      <c r="K63" s="458"/>
      <c r="L63" s="458"/>
      <c r="M63" s="458"/>
      <c r="N63" s="12"/>
    </row>
    <row r="64" spans="2:14" x14ac:dyDescent="0.25">
      <c r="B64" s="429" t="s">
        <v>946</v>
      </c>
      <c r="C64" s="449">
        <f t="shared" si="14"/>
        <v>0</v>
      </c>
      <c r="D64" s="458"/>
      <c r="E64" s="458"/>
      <c r="F64" s="458"/>
      <c r="G64" s="458"/>
      <c r="H64" s="458"/>
      <c r="I64" s="458">
        <v>0</v>
      </c>
      <c r="J64" s="458"/>
      <c r="K64" s="458"/>
      <c r="L64" s="458"/>
      <c r="M64" s="458"/>
      <c r="N64" s="12"/>
    </row>
    <row r="65" spans="2:14" ht="30" x14ac:dyDescent="0.25">
      <c r="B65" s="443" t="s">
        <v>947</v>
      </c>
      <c r="C65" s="449">
        <f t="shared" si="14"/>
        <v>90000</v>
      </c>
      <c r="D65" s="458"/>
      <c r="E65" s="458">
        <v>45000</v>
      </c>
      <c r="F65" s="458">
        <v>45000</v>
      </c>
      <c r="G65" s="458"/>
      <c r="H65" s="458"/>
      <c r="I65" s="458"/>
      <c r="J65" s="458"/>
      <c r="K65" s="458"/>
      <c r="L65" s="458"/>
      <c r="M65" s="458"/>
      <c r="N65" s="12"/>
    </row>
    <row r="66" spans="2:14" ht="15" customHeight="1" x14ac:dyDescent="0.25">
      <c r="B66" s="433" t="s">
        <v>948</v>
      </c>
      <c r="C66" s="446">
        <f>+SUM(D66:M66)</f>
        <v>607100</v>
      </c>
      <c r="D66" s="446">
        <f>+SUBTOTAL(9,D67:D71)</f>
        <v>0</v>
      </c>
      <c r="E66" s="446">
        <f t="shared" ref="E66:M66" si="21">+SUBTOTAL(9,E67:E71)</f>
        <v>0</v>
      </c>
      <c r="F66" s="446">
        <f t="shared" si="21"/>
        <v>0</v>
      </c>
      <c r="G66" s="446">
        <f t="shared" si="21"/>
        <v>10000</v>
      </c>
      <c r="H66" s="446">
        <f t="shared" si="21"/>
        <v>0</v>
      </c>
      <c r="I66" s="446">
        <f t="shared" si="21"/>
        <v>397100</v>
      </c>
      <c r="J66" s="446">
        <f t="shared" si="21"/>
        <v>0</v>
      </c>
      <c r="K66" s="446">
        <f t="shared" si="21"/>
        <v>200000</v>
      </c>
      <c r="L66" s="446">
        <f t="shared" si="21"/>
        <v>0</v>
      </c>
      <c r="M66" s="446">
        <f t="shared" si="21"/>
        <v>0</v>
      </c>
    </row>
    <row r="67" spans="2:14" ht="50.25" customHeight="1" x14ac:dyDescent="0.25">
      <c r="B67" s="961" t="s">
        <v>949</v>
      </c>
      <c r="C67" s="447">
        <f>+SUBTOTAL(9,D67:M67)</f>
        <v>350000</v>
      </c>
      <c r="D67" s="454"/>
      <c r="E67" s="454"/>
      <c r="F67" s="454"/>
      <c r="G67" s="454"/>
      <c r="H67" s="454"/>
      <c r="I67" s="454">
        <v>150000</v>
      </c>
      <c r="J67" s="454"/>
      <c r="K67" s="454">
        <v>200000</v>
      </c>
      <c r="L67" s="454"/>
      <c r="M67" s="454"/>
      <c r="N67" s="12"/>
    </row>
    <row r="68" spans="2:14" ht="60" x14ac:dyDescent="0.25">
      <c r="B68" s="961" t="s">
        <v>950</v>
      </c>
      <c r="C68" s="447">
        <f t="shared" ref="C68:C71" si="22">+SUBTOTAL(9,D68:M68)</f>
        <v>0</v>
      </c>
      <c r="D68" s="454"/>
      <c r="E68" s="454"/>
      <c r="F68" s="454"/>
      <c r="G68" s="454">
        <v>0</v>
      </c>
      <c r="H68" s="454"/>
      <c r="I68" s="454">
        <v>0</v>
      </c>
      <c r="J68" s="454"/>
      <c r="K68" s="454">
        <v>0</v>
      </c>
      <c r="L68" s="454"/>
      <c r="M68" s="454"/>
      <c r="N68" s="12"/>
    </row>
    <row r="69" spans="2:14" ht="30" x14ac:dyDescent="0.25">
      <c r="B69" s="444" t="s">
        <v>951</v>
      </c>
      <c r="C69" s="447">
        <f t="shared" si="22"/>
        <v>166500</v>
      </c>
      <c r="D69" s="454"/>
      <c r="E69" s="454"/>
      <c r="F69" s="454"/>
      <c r="G69" s="454"/>
      <c r="H69" s="454"/>
      <c r="I69" s="454">
        <v>166500</v>
      </c>
      <c r="J69" s="454"/>
      <c r="K69" s="454"/>
      <c r="L69" s="454"/>
      <c r="M69" s="454"/>
      <c r="N69" s="12"/>
    </row>
    <row r="70" spans="2:14" x14ac:dyDescent="0.25">
      <c r="B70" s="444" t="s">
        <v>952</v>
      </c>
      <c r="C70" s="447">
        <f t="shared" si="22"/>
        <v>10600</v>
      </c>
      <c r="D70" s="454"/>
      <c r="E70" s="454"/>
      <c r="F70" s="454"/>
      <c r="G70" s="454"/>
      <c r="H70" s="454"/>
      <c r="I70" s="454">
        <v>10600</v>
      </c>
      <c r="J70" s="454"/>
      <c r="K70" s="454"/>
      <c r="L70" s="454"/>
      <c r="M70" s="454"/>
      <c r="N70" s="12"/>
    </row>
    <row r="71" spans="2:14" ht="45" x14ac:dyDescent="0.25">
      <c r="B71" s="961" t="s">
        <v>953</v>
      </c>
      <c r="C71" s="447">
        <f t="shared" si="22"/>
        <v>80000</v>
      </c>
      <c r="D71" s="454"/>
      <c r="E71" s="454"/>
      <c r="F71" s="454"/>
      <c r="G71" s="454">
        <v>10000</v>
      </c>
      <c r="H71" s="454"/>
      <c r="I71" s="454">
        <v>70000</v>
      </c>
      <c r="J71" s="454"/>
      <c r="K71" s="454"/>
      <c r="L71" s="454"/>
      <c r="M71" s="454"/>
      <c r="N71" s="12"/>
    </row>
    <row r="72" spans="2:14" x14ac:dyDescent="0.25">
      <c r="B72" s="445" t="s">
        <v>1000</v>
      </c>
      <c r="C72" s="450">
        <f>+SUM(D72:M72)</f>
        <v>4947594</v>
      </c>
      <c r="D72" s="450">
        <f>+SUBTOTAL(9,D34:D71)</f>
        <v>0</v>
      </c>
      <c r="E72" s="450">
        <f t="shared" ref="E72:M72" si="23">+SUBTOTAL(9,E34:E71)</f>
        <v>675700</v>
      </c>
      <c r="F72" s="450">
        <f t="shared" si="23"/>
        <v>240000</v>
      </c>
      <c r="G72" s="450">
        <f t="shared" si="23"/>
        <v>883745</v>
      </c>
      <c r="H72" s="450">
        <f t="shared" si="23"/>
        <v>0</v>
      </c>
      <c r="I72" s="450">
        <f t="shared" si="23"/>
        <v>2111603</v>
      </c>
      <c r="J72" s="450">
        <f t="shared" si="23"/>
        <v>0</v>
      </c>
      <c r="K72" s="450">
        <f t="shared" si="23"/>
        <v>781273</v>
      </c>
      <c r="L72" s="450">
        <f t="shared" si="23"/>
        <v>255273</v>
      </c>
      <c r="M72" s="450">
        <f t="shared" si="23"/>
        <v>0</v>
      </c>
    </row>
    <row r="74" spans="2:14" x14ac:dyDescent="0.25">
      <c r="B74" s="962" t="s">
        <v>1085</v>
      </c>
      <c r="C74" s="965">
        <f>+SUM(C62,C63,C64,C65,C67,C71)/SUM(C69,C57,C53,C45,C40,C36,C34)</f>
        <v>0.14627371201352962</v>
      </c>
    </row>
    <row r="76" spans="2:14" s="84" customFormat="1" x14ac:dyDescent="0.25">
      <c r="B76" s="403" t="s">
        <v>967</v>
      </c>
    </row>
    <row r="77" spans="2:14" x14ac:dyDescent="0.25">
      <c r="D77" s="489">
        <v>2017</v>
      </c>
      <c r="E77" s="489">
        <v>2017</v>
      </c>
      <c r="F77" s="489">
        <f>+D77+1</f>
        <v>2018</v>
      </c>
      <c r="G77" s="489">
        <f t="shared" ref="G77:M77" si="24">+E77+1</f>
        <v>2018</v>
      </c>
      <c r="H77" s="489">
        <f t="shared" si="24"/>
        <v>2019</v>
      </c>
      <c r="I77" s="489">
        <f t="shared" si="24"/>
        <v>2019</v>
      </c>
      <c r="J77" s="489">
        <f t="shared" si="24"/>
        <v>2020</v>
      </c>
      <c r="K77" s="489">
        <f t="shared" si="24"/>
        <v>2020</v>
      </c>
      <c r="L77" s="489">
        <f t="shared" si="24"/>
        <v>2021</v>
      </c>
      <c r="M77" s="489">
        <f t="shared" si="24"/>
        <v>2021</v>
      </c>
    </row>
    <row r="78" spans="2:14" x14ac:dyDescent="0.25">
      <c r="B78" s="554" t="s">
        <v>1022</v>
      </c>
      <c r="D78" s="489"/>
      <c r="E78" s="489"/>
      <c r="F78" s="489"/>
      <c r="G78" s="489"/>
      <c r="H78" s="489"/>
      <c r="I78" s="489"/>
      <c r="J78" s="489"/>
      <c r="K78" s="489"/>
      <c r="L78" s="489"/>
      <c r="M78" s="489"/>
    </row>
    <row r="79" spans="2:14" x14ac:dyDescent="0.25">
      <c r="B79" s="460" t="s">
        <v>1027</v>
      </c>
      <c r="D79" s="489"/>
      <c r="E79" s="489"/>
      <c r="F79" s="489"/>
      <c r="G79" s="489"/>
      <c r="H79" s="489"/>
      <c r="I79" s="489"/>
      <c r="J79" s="489"/>
      <c r="K79" s="489"/>
      <c r="L79" s="489"/>
      <c r="M79" s="489"/>
    </row>
    <row r="80" spans="2:14" x14ac:dyDescent="0.25">
      <c r="D80" s="489"/>
      <c r="E80" s="489"/>
      <c r="F80" s="489"/>
      <c r="G80" s="489"/>
      <c r="H80" s="489"/>
      <c r="I80" s="489"/>
      <c r="J80" s="489"/>
      <c r="K80" s="489"/>
      <c r="L80" s="489"/>
      <c r="M80" s="489"/>
    </row>
    <row r="81" spans="2:19" x14ac:dyDescent="0.25">
      <c r="B81" s="423" t="s">
        <v>1012</v>
      </c>
      <c r="C81" s="241"/>
      <c r="D81" s="241">
        <v>2013</v>
      </c>
      <c r="E81" s="241">
        <v>2014</v>
      </c>
      <c r="F81" s="241">
        <v>2015</v>
      </c>
      <c r="G81" s="241">
        <v>2016</v>
      </c>
      <c r="H81" s="241">
        <v>2017</v>
      </c>
      <c r="I81" s="489"/>
      <c r="J81" s="489"/>
      <c r="K81" s="489"/>
      <c r="L81" s="489"/>
      <c r="M81" s="489"/>
    </row>
    <row r="82" spans="2:19" x14ac:dyDescent="0.25">
      <c r="B82" s="469" t="s">
        <v>1006</v>
      </c>
      <c r="C82" s="524" t="s">
        <v>1007</v>
      </c>
      <c r="D82" s="525">
        <v>23851.720807495651</v>
      </c>
      <c r="E82" s="525">
        <v>26301.332237863222</v>
      </c>
      <c r="F82" s="525">
        <v>21229.571035683875</v>
      </c>
      <c r="G82" s="525">
        <v>0</v>
      </c>
      <c r="H82" s="525">
        <v>0</v>
      </c>
      <c r="I82" s="489"/>
      <c r="J82" s="489"/>
      <c r="K82" s="489"/>
      <c r="L82" s="489"/>
      <c r="M82" s="489"/>
    </row>
    <row r="83" spans="2:19" x14ac:dyDescent="0.25">
      <c r="B83" s="469" t="s">
        <v>1003</v>
      </c>
      <c r="C83" s="524" t="s">
        <v>905</v>
      </c>
      <c r="D83" s="526">
        <v>47.166666666666664</v>
      </c>
      <c r="E83" s="526">
        <v>45.666666666666664</v>
      </c>
      <c r="F83" s="526">
        <v>45</v>
      </c>
      <c r="G83" s="526">
        <v>40.916666666666664</v>
      </c>
      <c r="H83" s="527"/>
      <c r="I83" s="489"/>
      <c r="J83" s="489"/>
      <c r="K83" s="489"/>
      <c r="L83" s="489"/>
      <c r="M83" s="489"/>
    </row>
    <row r="84" spans="2:19" x14ac:dyDescent="0.25">
      <c r="B84" s="469" t="s">
        <v>1008</v>
      </c>
      <c r="C84" s="524" t="s">
        <v>1005</v>
      </c>
      <c r="D84" s="525">
        <v>1982504.8750844025</v>
      </c>
      <c r="E84" s="525">
        <v>2161302.8977147657</v>
      </c>
      <c r="F84" s="525">
        <v>1993391.161587633</v>
      </c>
      <c r="G84" s="528">
        <v>0</v>
      </c>
      <c r="H84" s="528">
        <v>0</v>
      </c>
      <c r="I84" s="489"/>
      <c r="J84" s="489"/>
      <c r="K84" s="489"/>
      <c r="L84" s="489"/>
      <c r="M84" s="489"/>
    </row>
    <row r="85" spans="2:19" x14ac:dyDescent="0.25">
      <c r="B85" s="498" t="s">
        <v>1009</v>
      </c>
      <c r="C85" s="524" t="s">
        <v>1007</v>
      </c>
      <c r="D85" s="529">
        <f t="shared" ref="D85:F85" si="25">IFERROR(D84/(D82*D83),"")</f>
        <v>1.7622168990680243</v>
      </c>
      <c r="E85" s="529">
        <f t="shared" si="25"/>
        <v>1.7994449958604224</v>
      </c>
      <c r="F85" s="529">
        <f t="shared" si="25"/>
        <v>2.0865980426149999</v>
      </c>
      <c r="G85" s="529" t="str">
        <f>IFERROR(G84/(G82*G83),"")</f>
        <v/>
      </c>
      <c r="H85" s="529" t="str">
        <f>IFERROR(H84/(H82*H83),"")</f>
        <v/>
      </c>
      <c r="I85" s="489"/>
      <c r="J85" s="489"/>
      <c r="K85" s="489"/>
      <c r="L85" s="489"/>
      <c r="M85" s="489"/>
    </row>
    <row r="86" spans="2:19" x14ac:dyDescent="0.25">
      <c r="B86" s="490" t="s">
        <v>1010</v>
      </c>
      <c r="C86" s="491"/>
      <c r="D86" s="530">
        <f>AVERAGE($D$85:$H$85)</f>
        <v>1.8827533125144822</v>
      </c>
      <c r="E86" s="530">
        <f>AVERAGE($D$85:$H$85)</f>
        <v>1.8827533125144822</v>
      </c>
      <c r="F86" s="530">
        <f>AVERAGE($D$85:$H$85)</f>
        <v>1.8827533125144822</v>
      </c>
      <c r="G86" s="530">
        <f>AVERAGE($D$85:$H$85)</f>
        <v>1.8827533125144822</v>
      </c>
      <c r="H86" s="530">
        <f>AVERAGE($D$85:$H$85)</f>
        <v>1.8827533125144822</v>
      </c>
      <c r="I86" s="489"/>
      <c r="J86" s="489"/>
      <c r="K86" s="489"/>
      <c r="L86" s="489"/>
      <c r="M86" s="489"/>
    </row>
    <row r="87" spans="2:19" x14ac:dyDescent="0.25">
      <c r="C87" s="244"/>
      <c r="D87" s="244"/>
      <c r="E87" s="244"/>
      <c r="F87" s="244"/>
      <c r="G87" s="244"/>
      <c r="H87" s="244"/>
      <c r="I87" s="489"/>
      <c r="J87" s="489"/>
      <c r="K87" s="489"/>
      <c r="L87" s="489"/>
      <c r="M87" s="489"/>
    </row>
    <row r="88" spans="2:19" x14ac:dyDescent="0.25">
      <c r="B88" s="423"/>
      <c r="C88" s="531"/>
      <c r="D88" s="531">
        <v>2017</v>
      </c>
      <c r="E88" s="531">
        <v>2018</v>
      </c>
      <c r="F88" s="531">
        <v>2019</v>
      </c>
      <c r="G88" s="531">
        <v>2020</v>
      </c>
      <c r="H88" s="531">
        <v>2021</v>
      </c>
      <c r="I88" s="489"/>
      <c r="J88" s="489"/>
      <c r="K88" s="489"/>
      <c r="L88" s="489"/>
      <c r="M88" s="489"/>
    </row>
    <row r="89" spans="2:19" x14ac:dyDescent="0.25">
      <c r="B89" s="469" t="s">
        <v>1006</v>
      </c>
      <c r="C89" s="522" t="s">
        <v>1007</v>
      </c>
      <c r="D89" s="525">
        <v>20423.788413098238</v>
      </c>
      <c r="E89" s="525">
        <f t="shared" ref="E89:H90" si="26">D89</f>
        <v>20423.788413098238</v>
      </c>
      <c r="F89" s="525">
        <f t="shared" si="26"/>
        <v>20423.788413098238</v>
      </c>
      <c r="G89" s="525">
        <f t="shared" si="26"/>
        <v>20423.788413098238</v>
      </c>
      <c r="H89" s="525">
        <f t="shared" si="26"/>
        <v>20423.788413098238</v>
      </c>
      <c r="I89" s="489"/>
      <c r="J89" s="489"/>
      <c r="K89" s="489"/>
      <c r="L89" s="489"/>
      <c r="M89" s="489"/>
    </row>
    <row r="90" spans="2:19" x14ac:dyDescent="0.25">
      <c r="B90" s="469" t="s">
        <v>1003</v>
      </c>
      <c r="C90" s="532" t="s">
        <v>905</v>
      </c>
      <c r="D90" s="534">
        <f>+$G$83</f>
        <v>40.916666666666664</v>
      </c>
      <c r="E90" s="534">
        <f t="shared" si="26"/>
        <v>40.916666666666664</v>
      </c>
      <c r="F90" s="534">
        <f t="shared" si="26"/>
        <v>40.916666666666664</v>
      </c>
      <c r="G90" s="534">
        <f t="shared" si="26"/>
        <v>40.916666666666664</v>
      </c>
      <c r="H90" s="534">
        <f t="shared" si="26"/>
        <v>40.916666666666664</v>
      </c>
      <c r="I90" s="489"/>
      <c r="J90" s="489"/>
      <c r="K90" s="489"/>
      <c r="L90" s="489"/>
      <c r="M90" s="489"/>
    </row>
    <row r="91" spans="2:19" x14ac:dyDescent="0.25">
      <c r="B91" s="460" t="s">
        <v>1010</v>
      </c>
      <c r="C91" s="524" t="s">
        <v>1007</v>
      </c>
      <c r="D91" s="523">
        <f>+D86</f>
        <v>1.8827533125144822</v>
      </c>
      <c r="E91" s="523">
        <f t="shared" ref="E91:H91" si="27">+E86</f>
        <v>1.8827533125144822</v>
      </c>
      <c r="F91" s="523">
        <f t="shared" si="27"/>
        <v>1.8827533125144822</v>
      </c>
      <c r="G91" s="523">
        <f t="shared" si="27"/>
        <v>1.8827533125144822</v>
      </c>
      <c r="H91" s="523">
        <f t="shared" si="27"/>
        <v>1.8827533125144822</v>
      </c>
      <c r="I91" s="489"/>
      <c r="J91" s="489"/>
      <c r="K91" s="489"/>
      <c r="L91" s="489"/>
      <c r="M91" s="489"/>
    </row>
    <row r="92" spans="2:19" x14ac:dyDescent="0.25">
      <c r="B92" s="490" t="s">
        <v>1011</v>
      </c>
      <c r="C92" s="492" t="s">
        <v>1005</v>
      </c>
      <c r="D92" s="533">
        <f>D89*D90*D91</f>
        <v>1573366.7539023419</v>
      </c>
      <c r="E92" s="533">
        <f t="shared" ref="E92:H92" si="28">E89*E90*E91</f>
        <v>1573366.7539023419</v>
      </c>
      <c r="F92" s="533">
        <f t="shared" si="28"/>
        <v>1573366.7539023419</v>
      </c>
      <c r="G92" s="533">
        <f t="shared" si="28"/>
        <v>1573366.7539023419</v>
      </c>
      <c r="H92" s="533">
        <f t="shared" si="28"/>
        <v>1573366.7539023419</v>
      </c>
      <c r="I92" s="489"/>
      <c r="J92" s="489"/>
      <c r="K92" s="489"/>
      <c r="L92" s="489"/>
      <c r="M92" s="489"/>
    </row>
    <row r="93" spans="2:19" x14ac:dyDescent="0.25">
      <c r="D93" s="489"/>
      <c r="E93" s="489"/>
      <c r="F93" s="489"/>
      <c r="G93" s="489"/>
      <c r="H93" s="489"/>
      <c r="I93" s="489"/>
      <c r="J93" s="489"/>
      <c r="K93" s="489"/>
      <c r="L93" s="489"/>
      <c r="M93" s="489"/>
    </row>
    <row r="94" spans="2:19" s="263" customFormat="1" x14ac:dyDescent="0.25">
      <c r="B94" s="499" t="s">
        <v>1013</v>
      </c>
      <c r="C94" s="462"/>
      <c r="D94" s="462" t="s">
        <v>954</v>
      </c>
      <c r="E94" s="462" t="s">
        <v>955</v>
      </c>
      <c r="F94" s="462" t="s">
        <v>956</v>
      </c>
      <c r="G94" s="462" t="s">
        <v>957</v>
      </c>
      <c r="H94" s="462" t="s">
        <v>958</v>
      </c>
      <c r="I94" s="462" t="s">
        <v>959</v>
      </c>
      <c r="J94" s="462" t="s">
        <v>960</v>
      </c>
      <c r="K94" s="462" t="s">
        <v>961</v>
      </c>
      <c r="L94" s="462" t="s">
        <v>962</v>
      </c>
      <c r="M94" s="462" t="s">
        <v>963</v>
      </c>
      <c r="O94" s="479"/>
      <c r="P94" s="479"/>
      <c r="Q94" s="479"/>
      <c r="R94" s="479"/>
      <c r="S94" s="483"/>
    </row>
    <row r="95" spans="2:19" s="463" customFormat="1" ht="6.95" customHeight="1" x14ac:dyDescent="0.25">
      <c r="B95" s="464"/>
      <c r="C95" s="480"/>
      <c r="D95" s="264"/>
      <c r="E95" s="264"/>
      <c r="F95" s="264"/>
      <c r="G95" s="264"/>
      <c r="H95" s="264"/>
      <c r="I95" s="264"/>
      <c r="J95" s="264"/>
      <c r="K95" s="264"/>
      <c r="L95" s="264"/>
      <c r="M95" s="264"/>
    </row>
    <row r="96" spans="2:19" s="263" customFormat="1" x14ac:dyDescent="0.25">
      <c r="B96" s="484" t="s">
        <v>999</v>
      </c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</row>
    <row r="97" spans="2:20" s="463" customFormat="1" ht="6.95" customHeight="1" x14ac:dyDescent="0.25">
      <c r="B97" s="465"/>
      <c r="E97" s="466"/>
      <c r="G97" s="466"/>
      <c r="I97" s="466"/>
      <c r="K97" s="466"/>
      <c r="M97" s="466"/>
    </row>
    <row r="98" spans="2:20" s="463" customFormat="1" x14ac:dyDescent="0.25">
      <c r="B98" s="467"/>
      <c r="C98" s="486">
        <f>+SUM(D98:M98)</f>
        <v>3834000</v>
      </c>
      <c r="D98" s="468">
        <f t="shared" ref="D98:M98" si="29">+SUBTOTAL(9,D100:D116)</f>
        <v>0</v>
      </c>
      <c r="E98" s="468">
        <f t="shared" si="29"/>
        <v>1152000</v>
      </c>
      <c r="F98" s="468">
        <f t="shared" si="29"/>
        <v>280000</v>
      </c>
      <c r="G98" s="468">
        <f t="shared" si="29"/>
        <v>1072000</v>
      </c>
      <c r="H98" s="468">
        <f t="shared" si="29"/>
        <v>130000</v>
      </c>
      <c r="I98" s="468">
        <f t="shared" si="29"/>
        <v>600000</v>
      </c>
      <c r="J98" s="468">
        <f t="shared" si="29"/>
        <v>0</v>
      </c>
      <c r="K98" s="468">
        <f t="shared" si="29"/>
        <v>0</v>
      </c>
      <c r="L98" s="468">
        <f t="shared" si="29"/>
        <v>0</v>
      </c>
      <c r="M98" s="468">
        <f t="shared" si="29"/>
        <v>600000</v>
      </c>
    </row>
    <row r="99" spans="2:20" s="463" customFormat="1" ht="6.95" customHeight="1" x14ac:dyDescent="0.25">
      <c r="B99" s="465"/>
      <c r="E99" s="466"/>
      <c r="G99" s="466"/>
      <c r="I99" s="466"/>
      <c r="K99" s="466"/>
      <c r="M99" s="466"/>
    </row>
    <row r="100" spans="2:20" s="263" customFormat="1" x14ac:dyDescent="0.25">
      <c r="B100" s="467" t="s">
        <v>968</v>
      </c>
      <c r="C100" s="486">
        <f>+SUM(C102:C110)</f>
        <v>2920000</v>
      </c>
      <c r="D100" s="468">
        <f>+SUBTOTAL(9,D102:D110)</f>
        <v>0</v>
      </c>
      <c r="E100" s="468">
        <f t="shared" ref="E100:M100" si="30">+SUBTOTAL(9,E102:E110)</f>
        <v>840000</v>
      </c>
      <c r="F100" s="468">
        <f t="shared" si="30"/>
        <v>120000</v>
      </c>
      <c r="G100" s="468">
        <f t="shared" si="30"/>
        <v>760000</v>
      </c>
      <c r="H100" s="468">
        <f t="shared" si="30"/>
        <v>0</v>
      </c>
      <c r="I100" s="468">
        <f t="shared" si="30"/>
        <v>600000</v>
      </c>
      <c r="J100" s="468">
        <f t="shared" si="30"/>
        <v>0</v>
      </c>
      <c r="K100" s="468">
        <f t="shared" si="30"/>
        <v>0</v>
      </c>
      <c r="L100" s="468">
        <f t="shared" si="30"/>
        <v>0</v>
      </c>
      <c r="M100" s="468">
        <f t="shared" si="30"/>
        <v>600000</v>
      </c>
      <c r="T100" s="542"/>
    </row>
    <row r="101" spans="2:20" s="463" customFormat="1" ht="6.95" customHeight="1" x14ac:dyDescent="0.25">
      <c r="B101" s="487"/>
      <c r="C101" s="48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</row>
    <row r="102" spans="2:20" s="263" customFormat="1" x14ac:dyDescent="0.25">
      <c r="B102" s="469" t="s">
        <v>969</v>
      </c>
      <c r="C102" s="470">
        <f>+SUBTOTAL(9,D102:M102)</f>
        <v>2400000</v>
      </c>
      <c r="D102" s="471"/>
      <c r="E102" s="472">
        <v>600000</v>
      </c>
      <c r="F102" s="471"/>
      <c r="G102" s="472">
        <v>600000</v>
      </c>
      <c r="H102" s="471"/>
      <c r="I102" s="472">
        <v>600000</v>
      </c>
      <c r="J102" s="471"/>
      <c r="K102" s="471"/>
      <c r="L102" s="471"/>
      <c r="M102" s="472">
        <v>600000</v>
      </c>
    </row>
    <row r="103" spans="2:20" s="263" customFormat="1" ht="30" x14ac:dyDescent="0.25">
      <c r="B103" s="469" t="s">
        <v>970</v>
      </c>
      <c r="C103" s="470">
        <f t="shared" ref="C103:C144" si="31">+SUBTOTAL(9,D103:M103)</f>
        <v>0</v>
      </c>
      <c r="D103" s="471"/>
      <c r="E103" s="472">
        <v>0</v>
      </c>
      <c r="F103" s="471"/>
      <c r="G103" s="472">
        <v>0</v>
      </c>
      <c r="H103" s="471"/>
      <c r="I103" s="472">
        <v>0</v>
      </c>
      <c r="J103" s="471"/>
      <c r="K103" s="472">
        <v>0</v>
      </c>
      <c r="L103" s="471"/>
      <c r="M103" s="472">
        <v>0</v>
      </c>
    </row>
    <row r="104" spans="2:20" s="263" customFormat="1" ht="45" x14ac:dyDescent="0.25">
      <c r="B104" s="469" t="s">
        <v>971</v>
      </c>
      <c r="C104" s="470">
        <f t="shared" si="31"/>
        <v>0</v>
      </c>
      <c r="D104" s="471"/>
      <c r="E104" s="472">
        <v>0</v>
      </c>
      <c r="F104" s="471"/>
      <c r="G104" s="472"/>
      <c r="H104" s="471"/>
      <c r="I104" s="471"/>
      <c r="J104" s="471"/>
      <c r="K104" s="471"/>
      <c r="L104" s="471"/>
      <c r="M104" s="471"/>
    </row>
    <row r="105" spans="2:20" s="263" customFormat="1" ht="30" x14ac:dyDescent="0.25">
      <c r="B105" s="469" t="s">
        <v>972</v>
      </c>
      <c r="C105" s="470">
        <f t="shared" si="31"/>
        <v>0</v>
      </c>
      <c r="D105" s="471"/>
      <c r="E105" s="471"/>
      <c r="F105" s="471"/>
      <c r="G105" s="472">
        <v>0</v>
      </c>
      <c r="H105" s="471"/>
      <c r="I105" s="471"/>
      <c r="J105" s="471"/>
      <c r="K105" s="471"/>
      <c r="L105" s="471"/>
      <c r="M105" s="471"/>
    </row>
    <row r="106" spans="2:20" s="263" customFormat="1" x14ac:dyDescent="0.25">
      <c r="B106" s="469" t="s">
        <v>973</v>
      </c>
      <c r="C106" s="470">
        <f t="shared" si="31"/>
        <v>0</v>
      </c>
      <c r="D106" s="471"/>
      <c r="E106" s="471"/>
      <c r="F106" s="472">
        <v>0</v>
      </c>
      <c r="G106" s="471"/>
      <c r="H106" s="471"/>
      <c r="I106" s="471"/>
      <c r="J106" s="471"/>
      <c r="K106" s="471"/>
      <c r="L106" s="471"/>
      <c r="M106" s="471"/>
    </row>
    <row r="107" spans="2:20" s="263" customFormat="1" x14ac:dyDescent="0.25">
      <c r="B107" s="469" t="s">
        <v>974</v>
      </c>
      <c r="C107" s="470">
        <f t="shared" si="31"/>
        <v>80000</v>
      </c>
      <c r="D107" s="471"/>
      <c r="E107" s="472">
        <v>80000</v>
      </c>
      <c r="F107" s="471"/>
      <c r="G107" s="471"/>
      <c r="H107" s="471"/>
      <c r="I107" s="471"/>
      <c r="J107" s="471"/>
      <c r="K107" s="471"/>
      <c r="L107" s="471"/>
      <c r="M107" s="471"/>
    </row>
    <row r="108" spans="2:20" s="263" customFormat="1" x14ac:dyDescent="0.25">
      <c r="B108" s="469" t="s">
        <v>975</v>
      </c>
      <c r="C108" s="470">
        <f t="shared" si="31"/>
        <v>120000</v>
      </c>
      <c r="D108" s="471"/>
      <c r="E108" s="471"/>
      <c r="F108" s="472">
        <v>120000</v>
      </c>
      <c r="G108" s="471"/>
      <c r="H108" s="471"/>
      <c r="I108" s="471"/>
      <c r="J108" s="471"/>
      <c r="K108" s="471"/>
      <c r="L108" s="471"/>
      <c r="M108" s="471"/>
    </row>
    <row r="109" spans="2:20" s="263" customFormat="1" ht="30" x14ac:dyDescent="0.25">
      <c r="B109" s="469" t="s">
        <v>976</v>
      </c>
      <c r="C109" s="470">
        <f t="shared" si="31"/>
        <v>160000</v>
      </c>
      <c r="D109" s="472"/>
      <c r="E109" s="472">
        <v>160000</v>
      </c>
      <c r="F109" s="471"/>
      <c r="G109" s="471"/>
      <c r="H109" s="471"/>
      <c r="I109" s="471"/>
      <c r="J109" s="471"/>
      <c r="K109" s="471"/>
      <c r="L109" s="471"/>
      <c r="M109" s="471"/>
    </row>
    <row r="110" spans="2:20" s="263" customFormat="1" ht="45" x14ac:dyDescent="0.25">
      <c r="B110" s="469" t="s">
        <v>977</v>
      </c>
      <c r="C110" s="470">
        <f t="shared" si="31"/>
        <v>160000</v>
      </c>
      <c r="D110" s="471"/>
      <c r="E110" s="471"/>
      <c r="F110" s="471"/>
      <c r="G110" s="472">
        <v>160000</v>
      </c>
      <c r="H110" s="471"/>
      <c r="I110" s="471"/>
      <c r="J110" s="471"/>
      <c r="K110" s="471"/>
      <c r="L110" s="471"/>
      <c r="M110" s="471"/>
    </row>
    <row r="111" spans="2:20" s="263" customFormat="1" ht="6.95" customHeight="1" x14ac:dyDescent="0.25">
      <c r="B111" s="469"/>
      <c r="C111" s="470"/>
      <c r="D111" s="471"/>
      <c r="E111" s="471"/>
      <c r="F111" s="471"/>
      <c r="G111" s="472"/>
      <c r="H111" s="471"/>
      <c r="I111" s="471"/>
      <c r="J111" s="471"/>
      <c r="K111" s="471"/>
      <c r="L111" s="471"/>
      <c r="M111" s="471"/>
    </row>
    <row r="112" spans="2:20" s="263" customFormat="1" x14ac:dyDescent="0.25">
      <c r="B112" s="467" t="s">
        <v>978</v>
      </c>
      <c r="C112" s="486">
        <f>+SUM(D112:M112)</f>
        <v>914000</v>
      </c>
      <c r="D112" s="468">
        <f>+SUBTOTAL(9,D114:D116)</f>
        <v>0</v>
      </c>
      <c r="E112" s="468">
        <f t="shared" ref="E112:M112" si="32">+SUBTOTAL(9,E114:E116)</f>
        <v>312000</v>
      </c>
      <c r="F112" s="468">
        <f t="shared" si="32"/>
        <v>160000</v>
      </c>
      <c r="G112" s="468">
        <f t="shared" si="32"/>
        <v>312000</v>
      </c>
      <c r="H112" s="468">
        <f t="shared" si="32"/>
        <v>130000</v>
      </c>
      <c r="I112" s="468">
        <f t="shared" si="32"/>
        <v>0</v>
      </c>
      <c r="J112" s="468">
        <f t="shared" si="32"/>
        <v>0</v>
      </c>
      <c r="K112" s="468">
        <f t="shared" si="32"/>
        <v>0</v>
      </c>
      <c r="L112" s="468">
        <f t="shared" si="32"/>
        <v>0</v>
      </c>
      <c r="M112" s="468">
        <f t="shared" si="32"/>
        <v>0</v>
      </c>
    </row>
    <row r="113" spans="2:20" s="463" customFormat="1" ht="6.95" customHeight="1" x14ac:dyDescent="0.25">
      <c r="B113" s="487"/>
      <c r="C113" s="48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O113" s="263"/>
      <c r="P113" s="263"/>
      <c r="Q113" s="263"/>
      <c r="R113" s="263"/>
      <c r="S113" s="263"/>
      <c r="T113" s="263"/>
    </row>
    <row r="114" spans="2:20" s="263" customFormat="1" x14ac:dyDescent="0.25">
      <c r="B114" s="469" t="s">
        <v>979</v>
      </c>
      <c r="C114" s="470">
        <f t="shared" si="31"/>
        <v>624000</v>
      </c>
      <c r="D114" s="471"/>
      <c r="E114" s="472">
        <v>312000</v>
      </c>
      <c r="F114" s="471"/>
      <c r="G114" s="472">
        <v>312000</v>
      </c>
      <c r="H114" s="471"/>
      <c r="I114" s="471"/>
      <c r="J114" s="471"/>
      <c r="K114" s="471"/>
      <c r="L114" s="471"/>
      <c r="M114" s="471"/>
    </row>
    <row r="115" spans="2:20" s="263" customFormat="1" ht="30" x14ac:dyDescent="0.25">
      <c r="B115" s="469" t="s">
        <v>980</v>
      </c>
      <c r="C115" s="470">
        <f t="shared" si="31"/>
        <v>260000</v>
      </c>
      <c r="D115" s="471"/>
      <c r="E115" s="472"/>
      <c r="F115" s="472">
        <v>130000</v>
      </c>
      <c r="G115" s="471"/>
      <c r="H115" s="472">
        <v>130000</v>
      </c>
      <c r="I115" s="471"/>
      <c r="J115" s="471"/>
      <c r="K115" s="471"/>
      <c r="L115" s="471"/>
      <c r="M115" s="471"/>
    </row>
    <row r="116" spans="2:20" s="263" customFormat="1" ht="30" x14ac:dyDescent="0.25">
      <c r="B116" s="469" t="s">
        <v>981</v>
      </c>
      <c r="C116" s="470">
        <f t="shared" si="31"/>
        <v>30000</v>
      </c>
      <c r="D116" s="471"/>
      <c r="E116" s="472"/>
      <c r="F116" s="472">
        <v>30000</v>
      </c>
      <c r="G116" s="471"/>
      <c r="H116" s="471"/>
      <c r="I116" s="471"/>
      <c r="J116" s="471"/>
      <c r="K116" s="471"/>
      <c r="L116" s="471"/>
      <c r="M116" s="471"/>
    </row>
    <row r="117" spans="2:20" s="263" customFormat="1" ht="6.95" customHeight="1" x14ac:dyDescent="0.25">
      <c r="B117" s="469"/>
      <c r="C117" s="470"/>
      <c r="D117" s="471"/>
      <c r="E117" s="472"/>
      <c r="F117" s="472"/>
      <c r="G117" s="471"/>
      <c r="H117" s="471"/>
      <c r="I117" s="471"/>
      <c r="J117" s="471"/>
      <c r="K117" s="471"/>
      <c r="L117" s="471"/>
      <c r="M117" s="471"/>
    </row>
    <row r="118" spans="2:20" s="479" customFormat="1" x14ac:dyDescent="0.25">
      <c r="B118" s="484" t="s">
        <v>998</v>
      </c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O118" s="263"/>
      <c r="P118" s="263"/>
      <c r="Q118" s="263"/>
      <c r="R118" s="263"/>
      <c r="S118" s="263"/>
      <c r="T118" s="263"/>
    </row>
    <row r="119" spans="2:20" s="483" customFormat="1" ht="6.95" customHeight="1" x14ac:dyDescent="0.25">
      <c r="B119" s="485"/>
      <c r="C119" s="485"/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O119" s="263"/>
      <c r="P119" s="263"/>
      <c r="Q119" s="263"/>
      <c r="R119" s="263"/>
      <c r="S119" s="263"/>
      <c r="T119" s="263"/>
    </row>
    <row r="120" spans="2:20" s="483" customFormat="1" x14ac:dyDescent="0.25">
      <c r="B120" s="467"/>
      <c r="C120" s="486">
        <f>+SUM(D120:M120)</f>
        <v>392000</v>
      </c>
      <c r="D120" s="468">
        <f t="shared" ref="D120:M120" si="33">+SUBTOTAL(9,D121:D125)</f>
        <v>0</v>
      </c>
      <c r="E120" s="468">
        <f t="shared" si="33"/>
        <v>260000</v>
      </c>
      <c r="F120" s="468">
        <f t="shared" si="33"/>
        <v>112000</v>
      </c>
      <c r="G120" s="468">
        <f t="shared" si="33"/>
        <v>20000</v>
      </c>
      <c r="H120" s="468">
        <f t="shared" si="33"/>
        <v>0</v>
      </c>
      <c r="I120" s="468">
        <f t="shared" si="33"/>
        <v>0</v>
      </c>
      <c r="J120" s="468">
        <f t="shared" si="33"/>
        <v>0</v>
      </c>
      <c r="K120" s="468">
        <f t="shared" si="33"/>
        <v>0</v>
      </c>
      <c r="L120" s="468">
        <f t="shared" si="33"/>
        <v>0</v>
      </c>
      <c r="M120" s="468">
        <f t="shared" si="33"/>
        <v>0</v>
      </c>
      <c r="O120" s="263"/>
      <c r="P120" s="263"/>
      <c r="Q120" s="263"/>
      <c r="R120" s="263"/>
      <c r="S120" s="263"/>
      <c r="T120" s="263"/>
    </row>
    <row r="121" spans="2:20" s="263" customFormat="1" x14ac:dyDescent="0.25">
      <c r="B121" s="469" t="s">
        <v>982</v>
      </c>
      <c r="C121" s="470">
        <f t="shared" si="31"/>
        <v>240000</v>
      </c>
      <c r="D121" s="471"/>
      <c r="E121" s="472">
        <v>240000</v>
      </c>
      <c r="F121" s="471"/>
      <c r="G121" s="471"/>
      <c r="H121" s="471"/>
      <c r="I121" s="471"/>
      <c r="J121" s="471"/>
      <c r="K121" s="471"/>
      <c r="L121" s="471"/>
      <c r="M121" s="471"/>
    </row>
    <row r="122" spans="2:20" s="263" customFormat="1" x14ac:dyDescent="0.25">
      <c r="B122" s="469" t="s">
        <v>983</v>
      </c>
      <c r="C122" s="470">
        <f t="shared" si="31"/>
        <v>20000</v>
      </c>
      <c r="D122" s="471"/>
      <c r="E122" s="472">
        <v>20000</v>
      </c>
      <c r="F122" s="471"/>
      <c r="G122" s="471"/>
      <c r="H122" s="471"/>
      <c r="I122" s="471"/>
      <c r="J122" s="471"/>
      <c r="K122" s="471"/>
      <c r="L122" s="471"/>
      <c r="M122" s="471"/>
    </row>
    <row r="123" spans="2:20" s="263" customFormat="1" x14ac:dyDescent="0.25">
      <c r="B123" s="473" t="s">
        <v>984</v>
      </c>
      <c r="C123" s="474">
        <f t="shared" si="31"/>
        <v>3200</v>
      </c>
      <c r="D123" s="471"/>
      <c r="E123" s="471"/>
      <c r="F123" s="472">
        <v>3200</v>
      </c>
      <c r="G123" s="471"/>
      <c r="H123" s="471"/>
      <c r="I123" s="471"/>
      <c r="J123" s="471"/>
      <c r="K123" s="471"/>
      <c r="L123" s="471"/>
      <c r="M123" s="471"/>
    </row>
    <row r="124" spans="2:20" s="263" customFormat="1" x14ac:dyDescent="0.25">
      <c r="B124" s="473" t="s">
        <v>985</v>
      </c>
      <c r="C124" s="474">
        <f t="shared" si="31"/>
        <v>108800</v>
      </c>
      <c r="D124" s="471"/>
      <c r="E124" s="471"/>
      <c r="F124" s="472">
        <v>108800</v>
      </c>
      <c r="G124" s="471"/>
      <c r="H124" s="471"/>
      <c r="I124" s="471"/>
      <c r="J124" s="471"/>
      <c r="K124" s="471"/>
      <c r="L124" s="471"/>
      <c r="M124" s="471"/>
    </row>
    <row r="125" spans="2:20" s="263" customFormat="1" x14ac:dyDescent="0.25">
      <c r="B125" s="469" t="s">
        <v>986</v>
      </c>
      <c r="C125" s="470">
        <f t="shared" si="31"/>
        <v>20000</v>
      </c>
      <c r="D125" s="471"/>
      <c r="E125" s="471"/>
      <c r="F125" s="471"/>
      <c r="G125" s="472">
        <v>20000</v>
      </c>
      <c r="H125" s="471"/>
      <c r="I125" s="471"/>
      <c r="J125" s="471"/>
      <c r="K125" s="471"/>
      <c r="L125" s="471"/>
      <c r="M125" s="471"/>
    </row>
    <row r="126" spans="2:20" s="263" customFormat="1" ht="6.95" customHeight="1" x14ac:dyDescent="0.25">
      <c r="B126" s="469"/>
      <c r="C126" s="470"/>
      <c r="D126" s="471"/>
      <c r="E126" s="471"/>
      <c r="F126" s="471"/>
      <c r="G126" s="472"/>
      <c r="H126" s="471"/>
      <c r="I126" s="471"/>
      <c r="J126" s="471"/>
      <c r="K126" s="471"/>
      <c r="L126" s="471"/>
      <c r="M126" s="471"/>
    </row>
    <row r="127" spans="2:20" s="263" customFormat="1" x14ac:dyDescent="0.25">
      <c r="B127" s="484" t="s">
        <v>987</v>
      </c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</row>
    <row r="128" spans="2:20" s="463" customFormat="1" ht="6.95" customHeight="1" x14ac:dyDescent="0.25">
      <c r="B128" s="465"/>
      <c r="E128" s="466"/>
      <c r="G128" s="466"/>
      <c r="I128" s="466"/>
      <c r="K128" s="466"/>
      <c r="M128" s="466"/>
      <c r="O128" s="263"/>
      <c r="P128" s="263"/>
      <c r="Q128" s="263"/>
      <c r="R128" s="263"/>
      <c r="S128" s="263"/>
      <c r="T128" s="263"/>
    </row>
    <row r="129" spans="2:20" s="463" customFormat="1" x14ac:dyDescent="0.25">
      <c r="B129" s="467"/>
      <c r="C129" s="486">
        <f>+SUM(D129:M129)</f>
        <v>529600</v>
      </c>
      <c r="D129" s="468">
        <f t="shared" ref="D129:M129" si="34">+SUBTOTAL(9,D131:D139)</f>
        <v>0</v>
      </c>
      <c r="E129" s="468">
        <f t="shared" si="34"/>
        <v>137600</v>
      </c>
      <c r="F129" s="468">
        <f t="shared" si="34"/>
        <v>32000</v>
      </c>
      <c r="G129" s="468">
        <f t="shared" si="34"/>
        <v>316000</v>
      </c>
      <c r="H129" s="468">
        <f t="shared" si="34"/>
        <v>44000</v>
      </c>
      <c r="I129" s="468">
        <f t="shared" si="34"/>
        <v>0</v>
      </c>
      <c r="J129" s="468">
        <f t="shared" si="34"/>
        <v>0</v>
      </c>
      <c r="K129" s="468">
        <f t="shared" si="34"/>
        <v>0</v>
      </c>
      <c r="L129" s="468">
        <f t="shared" si="34"/>
        <v>0</v>
      </c>
      <c r="M129" s="468">
        <f t="shared" si="34"/>
        <v>0</v>
      </c>
      <c r="O129" s="263"/>
      <c r="P129" s="263"/>
      <c r="Q129" s="263"/>
      <c r="R129" s="263"/>
      <c r="S129" s="263"/>
      <c r="T129" s="263"/>
    </row>
    <row r="130" spans="2:20" s="463" customFormat="1" ht="6.95" customHeight="1" x14ac:dyDescent="0.25">
      <c r="B130" s="465"/>
      <c r="E130" s="466"/>
      <c r="G130" s="466"/>
      <c r="I130" s="466"/>
      <c r="K130" s="466"/>
      <c r="M130" s="466"/>
      <c r="O130" s="263"/>
      <c r="P130" s="263"/>
      <c r="Q130" s="263"/>
      <c r="R130" s="263"/>
      <c r="S130" s="263"/>
      <c r="T130" s="263"/>
    </row>
    <row r="131" spans="2:20" s="263" customFormat="1" x14ac:dyDescent="0.25">
      <c r="B131" s="469" t="s">
        <v>988</v>
      </c>
      <c r="C131" s="470">
        <f t="shared" si="31"/>
        <v>60000</v>
      </c>
      <c r="D131" s="471"/>
      <c r="E131" s="472"/>
      <c r="F131" s="471"/>
      <c r="G131" s="472">
        <v>60000</v>
      </c>
      <c r="H131" s="471"/>
      <c r="I131" s="472"/>
      <c r="J131" s="471"/>
      <c r="K131" s="472"/>
      <c r="L131" s="471"/>
      <c r="M131" s="471"/>
    </row>
    <row r="132" spans="2:20" s="263" customFormat="1" ht="30" x14ac:dyDescent="0.25">
      <c r="B132" s="469" t="s">
        <v>989</v>
      </c>
      <c r="C132" s="470">
        <f t="shared" si="31"/>
        <v>4000</v>
      </c>
      <c r="D132" s="471"/>
      <c r="E132" s="472"/>
      <c r="F132" s="471"/>
      <c r="G132" s="472"/>
      <c r="H132" s="472">
        <v>4000</v>
      </c>
      <c r="I132" s="472"/>
      <c r="J132" s="471"/>
      <c r="K132" s="472"/>
      <c r="L132" s="471"/>
      <c r="M132" s="471"/>
    </row>
    <row r="133" spans="2:20" s="263" customFormat="1" ht="30" x14ac:dyDescent="0.25">
      <c r="B133" s="469" t="s">
        <v>990</v>
      </c>
      <c r="C133" s="470">
        <f t="shared" si="31"/>
        <v>196000</v>
      </c>
      <c r="D133" s="471"/>
      <c r="E133" s="471"/>
      <c r="F133" s="471"/>
      <c r="G133" s="472">
        <v>196000</v>
      </c>
      <c r="H133" s="471"/>
      <c r="I133" s="471"/>
      <c r="J133" s="471"/>
      <c r="K133" s="471"/>
      <c r="L133" s="471"/>
      <c r="M133" s="471"/>
    </row>
    <row r="134" spans="2:20" s="263" customFormat="1" ht="45" x14ac:dyDescent="0.25">
      <c r="B134" s="469" t="s">
        <v>991</v>
      </c>
      <c r="C134" s="470">
        <f t="shared" si="31"/>
        <v>32000</v>
      </c>
      <c r="D134" s="471"/>
      <c r="E134" s="471"/>
      <c r="F134" s="472">
        <v>32000</v>
      </c>
      <c r="G134" s="471"/>
      <c r="H134" s="471"/>
      <c r="I134" s="471"/>
      <c r="J134" s="471"/>
      <c r="K134" s="471"/>
      <c r="L134" s="471"/>
      <c r="M134" s="471"/>
    </row>
    <row r="135" spans="2:20" s="263" customFormat="1" ht="30" x14ac:dyDescent="0.25">
      <c r="B135" s="469" t="s">
        <v>992</v>
      </c>
      <c r="C135" s="470">
        <f t="shared" si="31"/>
        <v>60000</v>
      </c>
      <c r="D135" s="471"/>
      <c r="E135" s="471"/>
      <c r="F135" s="471"/>
      <c r="G135" s="472">
        <v>60000</v>
      </c>
      <c r="H135" s="543"/>
      <c r="I135" s="471"/>
      <c r="J135" s="471"/>
      <c r="K135" s="471"/>
      <c r="L135" s="471"/>
      <c r="M135" s="471"/>
    </row>
    <row r="136" spans="2:20" s="263" customFormat="1" x14ac:dyDescent="0.25">
      <c r="B136" s="469" t="s">
        <v>993</v>
      </c>
      <c r="C136" s="470">
        <f t="shared" si="31"/>
        <v>20000</v>
      </c>
      <c r="D136" s="471"/>
      <c r="E136" s="471"/>
      <c r="F136" s="471"/>
      <c r="G136" s="471"/>
      <c r="H136" s="472">
        <v>20000</v>
      </c>
      <c r="I136" s="471"/>
      <c r="J136" s="471"/>
      <c r="K136" s="471"/>
      <c r="L136" s="471"/>
      <c r="M136" s="471"/>
    </row>
    <row r="137" spans="2:20" s="263" customFormat="1" ht="30" x14ac:dyDescent="0.25">
      <c r="B137" s="469" t="s">
        <v>994</v>
      </c>
      <c r="C137" s="470">
        <f t="shared" si="31"/>
        <v>20000</v>
      </c>
      <c r="D137" s="471"/>
      <c r="E137" s="471"/>
      <c r="F137" s="471"/>
      <c r="G137" s="471"/>
      <c r="H137" s="472">
        <v>20000</v>
      </c>
      <c r="I137" s="471"/>
      <c r="J137" s="471"/>
      <c r="K137" s="471"/>
      <c r="L137" s="471"/>
      <c r="M137" s="471"/>
    </row>
    <row r="138" spans="2:20" s="263" customFormat="1" ht="30" x14ac:dyDescent="0.25">
      <c r="B138" s="469" t="s">
        <v>995</v>
      </c>
      <c r="C138" s="470">
        <f t="shared" si="31"/>
        <v>137600</v>
      </c>
      <c r="D138" s="471"/>
      <c r="E138" s="472">
        <v>137600</v>
      </c>
      <c r="F138" s="471"/>
      <c r="G138" s="471"/>
      <c r="H138" s="471"/>
      <c r="I138" s="471"/>
      <c r="J138" s="471"/>
      <c r="K138" s="471"/>
      <c r="L138" s="471"/>
      <c r="M138" s="471"/>
    </row>
    <row r="139" spans="2:20" s="263" customFormat="1" ht="6.95" customHeight="1" x14ac:dyDescent="0.25">
      <c r="C139" s="475">
        <f t="shared" si="31"/>
        <v>0</v>
      </c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</row>
    <row r="140" spans="2:20" s="263" customFormat="1" x14ac:dyDescent="0.25">
      <c r="B140" s="484" t="s">
        <v>996</v>
      </c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</row>
    <row r="141" spans="2:20" s="263" customFormat="1" ht="6.95" customHeight="1" x14ac:dyDescent="0.25"/>
    <row r="142" spans="2:20" s="463" customFormat="1" x14ac:dyDescent="0.25">
      <c r="B142" s="467"/>
      <c r="C142" s="486">
        <f>+SUM(D142:M142)</f>
        <v>100000</v>
      </c>
      <c r="D142" s="468">
        <f t="shared" ref="D142:M142" si="35">+SUBTOTAL(9,D144)</f>
        <v>0</v>
      </c>
      <c r="E142" s="468">
        <f t="shared" si="35"/>
        <v>100000</v>
      </c>
      <c r="F142" s="468">
        <f t="shared" si="35"/>
        <v>0</v>
      </c>
      <c r="G142" s="468">
        <f t="shared" si="35"/>
        <v>0</v>
      </c>
      <c r="H142" s="468">
        <f t="shared" si="35"/>
        <v>0</v>
      </c>
      <c r="I142" s="468">
        <f t="shared" si="35"/>
        <v>0</v>
      </c>
      <c r="J142" s="468">
        <f t="shared" si="35"/>
        <v>0</v>
      </c>
      <c r="K142" s="468">
        <f t="shared" si="35"/>
        <v>0</v>
      </c>
      <c r="L142" s="468">
        <f t="shared" si="35"/>
        <v>0</v>
      </c>
      <c r="M142" s="468">
        <f t="shared" si="35"/>
        <v>0</v>
      </c>
      <c r="O142" s="263"/>
      <c r="P142" s="263"/>
      <c r="Q142" s="263"/>
      <c r="R142" s="263"/>
      <c r="S142" s="263"/>
      <c r="T142" s="263"/>
    </row>
    <row r="143" spans="2:20" s="463" customFormat="1" ht="6.95" customHeight="1" x14ac:dyDescent="0.25">
      <c r="B143" s="465"/>
      <c r="O143" s="263"/>
      <c r="P143" s="263"/>
      <c r="Q143" s="263"/>
      <c r="R143" s="263"/>
      <c r="S143" s="263"/>
      <c r="T143" s="263"/>
    </row>
    <row r="144" spans="2:20" s="263" customFormat="1" x14ac:dyDescent="0.25">
      <c r="B144" s="469" t="s">
        <v>997</v>
      </c>
      <c r="C144" s="470">
        <f t="shared" si="31"/>
        <v>100000</v>
      </c>
      <c r="D144" s="472"/>
      <c r="E144" s="472">
        <v>100000</v>
      </c>
      <c r="F144" s="471"/>
      <c r="G144" s="471"/>
      <c r="H144" s="471"/>
      <c r="I144" s="471"/>
      <c r="J144" s="471"/>
      <c r="K144" s="471"/>
      <c r="L144" s="471"/>
      <c r="M144" s="471"/>
    </row>
    <row r="145" spans="2:13" s="263" customFormat="1" ht="6.95" customHeight="1" x14ac:dyDescent="0.25">
      <c r="B145" s="469"/>
      <c r="C145" s="470"/>
      <c r="D145" s="477"/>
      <c r="E145" s="477"/>
      <c r="F145" s="478"/>
      <c r="G145" s="478"/>
      <c r="H145" s="478"/>
      <c r="I145" s="478"/>
      <c r="J145" s="478"/>
      <c r="K145" s="478"/>
      <c r="L145" s="478"/>
      <c r="M145" s="478"/>
    </row>
    <row r="146" spans="2:13" s="263" customFormat="1" x14ac:dyDescent="0.25">
      <c r="B146" s="482" t="s">
        <v>1001</v>
      </c>
      <c r="C146" s="481">
        <f>+SUBTOTAL(9,C100:C144)</f>
        <v>4855600</v>
      </c>
      <c r="D146" s="481">
        <f t="shared" ref="D146:M146" si="36">+SUBTOTAL(9,D97:D144)</f>
        <v>0</v>
      </c>
      <c r="E146" s="481">
        <f t="shared" si="36"/>
        <v>1649600</v>
      </c>
      <c r="F146" s="481">
        <f t="shared" si="36"/>
        <v>424000</v>
      </c>
      <c r="G146" s="481">
        <f t="shared" si="36"/>
        <v>1408000</v>
      </c>
      <c r="H146" s="481">
        <f t="shared" si="36"/>
        <v>174000</v>
      </c>
      <c r="I146" s="481">
        <f t="shared" si="36"/>
        <v>600000</v>
      </c>
      <c r="J146" s="481">
        <f t="shared" si="36"/>
        <v>0</v>
      </c>
      <c r="K146" s="481">
        <f t="shared" si="36"/>
        <v>0</v>
      </c>
      <c r="L146" s="481">
        <f t="shared" si="36"/>
        <v>0</v>
      </c>
      <c r="M146" s="481">
        <f t="shared" si="36"/>
        <v>600000</v>
      </c>
    </row>
    <row r="148" spans="2:13" x14ac:dyDescent="0.25">
      <c r="E148" s="461"/>
      <c r="F148" s="461"/>
      <c r="G148" s="461"/>
      <c r="H148" s="461"/>
      <c r="I148" s="461"/>
      <c r="L148" s="461"/>
      <c r="M148" s="461"/>
    </row>
    <row r="149" spans="2:13" x14ac:dyDescent="0.25">
      <c r="E149" s="461"/>
      <c r="F149" s="461"/>
      <c r="G149" s="461"/>
      <c r="H149" s="461"/>
      <c r="I149" s="461"/>
      <c r="L149" s="461"/>
      <c r="M149" s="461"/>
    </row>
    <row r="150" spans="2:13" x14ac:dyDescent="0.25">
      <c r="E150" s="461"/>
      <c r="F150" s="461"/>
      <c r="G150" s="461"/>
      <c r="H150" s="461"/>
      <c r="I150" s="461"/>
      <c r="L150" s="461"/>
      <c r="M150" s="461"/>
    </row>
    <row r="151" spans="2:13" x14ac:dyDescent="0.25">
      <c r="I151" s="461"/>
      <c r="L151" s="461"/>
      <c r="M151" s="461"/>
    </row>
    <row r="152" spans="2:13" x14ac:dyDescent="0.25">
      <c r="I152" s="496" t="s">
        <v>1004</v>
      </c>
      <c r="L152" s="461"/>
      <c r="M152" s="461"/>
    </row>
    <row r="153" spans="2:13" x14ac:dyDescent="0.25">
      <c r="I153" s="493"/>
      <c r="L153" s="461"/>
      <c r="M153" s="461"/>
    </row>
    <row r="154" spans="2:13" x14ac:dyDescent="0.25">
      <c r="I154" s="493"/>
      <c r="L154" s="461"/>
      <c r="M154" s="461"/>
    </row>
    <row r="155" spans="2:13" x14ac:dyDescent="0.25">
      <c r="I155" s="493"/>
      <c r="L155" s="461"/>
      <c r="M155" s="461"/>
    </row>
    <row r="156" spans="2:13" s="493" customFormat="1" x14ac:dyDescent="0.25">
      <c r="L156" s="495"/>
      <c r="M156" s="495"/>
    </row>
    <row r="157" spans="2:13" s="493" customFormat="1" x14ac:dyDescent="0.25">
      <c r="I157" s="494"/>
      <c r="L157" s="495"/>
      <c r="M157" s="495"/>
    </row>
    <row r="158" spans="2:13" x14ac:dyDescent="0.25">
      <c r="I158" s="493"/>
    </row>
    <row r="159" spans="2:13" x14ac:dyDescent="0.25">
      <c r="I159" s="496"/>
    </row>
    <row r="160" spans="2:13" x14ac:dyDescent="0.25">
      <c r="I160" s="493"/>
    </row>
    <row r="161" spans="9:9" x14ac:dyDescent="0.25">
      <c r="I161" s="493"/>
    </row>
    <row r="162" spans="9:9" x14ac:dyDescent="0.25">
      <c r="I162" s="497"/>
    </row>
  </sheetData>
  <sheetProtection algorithmName="SHA-512" hashValue="d8ANtaUcnfAeJaxqIUylW3EsTwuaDLVg17mBom4yRPJUT2XJqjN47+61+ywQfB81uGLBUtYiyiNd3wcJm+Vi2Q==" saltValue="5pPNyqAyRSkTKbhjIJKYWg==" spinCount="100000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IMP Existente</vt:lpstr>
      <vt:lpstr>IMPA Indicativo</vt:lpstr>
      <vt:lpstr>Activos Reconocidos</vt:lpstr>
      <vt:lpstr>Tasa de Depreciación</vt:lpstr>
      <vt:lpstr>Base de Capital</vt:lpstr>
      <vt:lpstr>Plan de Expansión</vt:lpstr>
      <vt:lpstr>Tercera Línea</vt:lpstr>
      <vt:lpstr>VNR</vt:lpstr>
      <vt:lpstr>CND_HID</vt:lpstr>
      <vt:lpstr>GEN_OBL</vt:lpstr>
      <vt:lpstr>Anexo Activos_Depreciaciones</vt:lpstr>
      <vt:lpstr>Bienes e Instalaciones 31_12_16</vt:lpstr>
      <vt:lpstr>Conso Altas 2013_2016</vt:lpstr>
      <vt:lpstr>IMP RevTar_2013_2017</vt:lpstr>
      <vt:lpstr>Cuadro Informe</vt:lpstr>
      <vt:lpstr>'IMP Existente'!ActNetoHidro</vt:lpstr>
      <vt:lpstr>ActNetoHidro</vt:lpstr>
      <vt:lpstr>'IMP Existente'!Área_de_impresión</vt:lpstr>
      <vt:lpstr>'Plan de Expansión'!Área_de_impresión</vt:lpstr>
      <vt:lpstr>DepAnualHidro</vt:lpstr>
      <vt:lpstr>DepHidro</vt:lpstr>
      <vt:lpstr>'IMP Existente'!RRT</vt:lpstr>
      <vt:lpstr>RRT</vt:lpstr>
      <vt:lpstr>VNR_Lineas</vt:lpstr>
      <vt:lpstr>VNR_Subestaciones_Conexión</vt:lpstr>
      <vt:lpstr>VNR_Subestaciones_Estrategicas</vt:lpstr>
      <vt:lpstr>VNR_Subestaciones_SPT</vt:lpstr>
    </vt:vector>
  </TitlesOfParts>
  <Company>SIGLA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nicolas.stern@sigla.com.ar</dc:creator>
  <cp:lastModifiedBy>rebecaf</cp:lastModifiedBy>
  <cp:lastPrinted>2017-12-22T13:23:01Z</cp:lastPrinted>
  <dcterms:created xsi:type="dcterms:W3CDTF">2017-06-07T15:31:18Z</dcterms:created>
  <dcterms:modified xsi:type="dcterms:W3CDTF">2017-12-22T15:42:45Z</dcterms:modified>
</cp:coreProperties>
</file>