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45" yWindow="6675" windowWidth="11580" windowHeight="1410" tabRatio="616"/>
  </bookViews>
  <sheets>
    <sheet name="IMP-RESUMEN" sheetId="7" r:id="rId1"/>
    <sheet name="IMPD" sheetId="2" r:id="rId2"/>
    <sheet name="IMPCO" sheetId="3" r:id="rId3"/>
    <sheet name="ALUMPU" sheetId="4" r:id="rId4"/>
    <sheet name="DEMANDA" sheetId="12" r:id="rId5"/>
    <sheet name="REGRESIONES" sheetId="17" r:id="rId6"/>
    <sheet name="INVERSIONES" sheetId="10" r:id="rId7"/>
    <sheet name="ACTIVOS" sheetId="8" r:id="rId8"/>
    <sheet name="PERDIDAS y OTROS" sheetId="11" r:id="rId9"/>
    <sheet name="RETORNO" sheetId="14" r:id="rId10"/>
  </sheets>
  <calcPr calcId="125725"/>
</workbook>
</file>

<file path=xl/calcChain.xml><?xml version="1.0" encoding="utf-8"?>
<calcChain xmlns="http://schemas.openxmlformats.org/spreadsheetml/2006/main">
  <c r="D15" i="14"/>
  <c r="C15"/>
  <c r="D13"/>
  <c r="C13"/>
  <c r="C11"/>
  <c r="C16" s="1"/>
  <c r="D10"/>
  <c r="D7"/>
  <c r="D11" s="1"/>
  <c r="D16" s="1"/>
  <c r="D15" i="12"/>
  <c r="E14"/>
  <c r="F14"/>
  <c r="G14"/>
  <c r="H14"/>
  <c r="D14"/>
  <c r="D12"/>
  <c r="D11"/>
  <c r="C14" i="7"/>
  <c r="D17" i="14" l="1"/>
  <c r="D20" s="1"/>
  <c r="D19"/>
  <c r="C19"/>
  <c r="C17"/>
  <c r="C20" s="1"/>
  <c r="E12" i="3"/>
  <c r="F12"/>
  <c r="G12"/>
  <c r="D12"/>
  <c r="E17" i="2"/>
  <c r="F17"/>
  <c r="G17"/>
  <c r="D17"/>
  <c r="E12"/>
  <c r="F12"/>
  <c r="G12"/>
  <c r="E13"/>
  <c r="F13"/>
  <c r="G13"/>
  <c r="D13"/>
  <c r="D12"/>
  <c r="O30" i="10"/>
  <c r="E11"/>
  <c r="F11"/>
  <c r="G11"/>
  <c r="D11"/>
  <c r="P147"/>
  <c r="O162"/>
  <c r="P161"/>
  <c r="P160"/>
  <c r="P159"/>
  <c r="P158"/>
  <c r="P157"/>
  <c r="P156"/>
  <c r="P155"/>
  <c r="P154"/>
  <c r="P153"/>
  <c r="P152"/>
  <c r="P151"/>
  <c r="P150"/>
  <c r="P149"/>
  <c r="P148"/>
  <c r="P146"/>
  <c r="P145"/>
  <c r="P144"/>
  <c r="P143"/>
  <c r="P142"/>
  <c r="P141"/>
  <c r="P140"/>
  <c r="P139"/>
  <c r="P138"/>
  <c r="O137"/>
  <c r="P136"/>
  <c r="P135"/>
  <c r="P134"/>
  <c r="P133"/>
  <c r="P132"/>
  <c r="O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O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M73"/>
  <c r="L73"/>
  <c r="P131" l="1"/>
  <c r="P162"/>
  <c r="P101"/>
  <c r="O163"/>
  <c r="P163"/>
  <c r="D24" s="1"/>
  <c r="E24" s="1"/>
  <c r="F24" s="1"/>
  <c r="G24" s="1"/>
  <c r="P137"/>
  <c r="M39" l="1"/>
  <c r="P39"/>
  <c r="O39"/>
  <c r="N39"/>
  <c r="L39"/>
  <c r="D32" s="1"/>
  <c r="L30"/>
  <c r="P30"/>
  <c r="N30"/>
  <c r="M30"/>
  <c r="M18"/>
  <c r="N18"/>
  <c r="O18"/>
  <c r="P18"/>
  <c r="L18"/>
  <c r="D22" s="1"/>
  <c r="D10" l="1"/>
  <c r="D23"/>
  <c r="G32"/>
  <c r="F32"/>
  <c r="E23"/>
  <c r="E32"/>
  <c r="G23"/>
  <c r="F23"/>
  <c r="F9" i="11"/>
  <c r="G9"/>
  <c r="H9"/>
  <c r="E9"/>
  <c r="G86" i="17"/>
  <c r="D86"/>
  <c r="C86"/>
  <c r="G85"/>
  <c r="F85"/>
  <c r="F86" s="1"/>
  <c r="E85"/>
  <c r="E86" s="1"/>
  <c r="D85"/>
  <c r="C85"/>
  <c r="B85"/>
  <c r="B86" s="1"/>
  <c r="E59"/>
  <c r="G58"/>
  <c r="C58"/>
  <c r="E57"/>
  <c r="E64" s="1"/>
  <c r="G56"/>
  <c r="C56"/>
  <c r="E55"/>
  <c r="E63" s="1"/>
  <c r="E65" s="1"/>
  <c r="C44"/>
  <c r="D44" s="1"/>
  <c r="E44" s="1"/>
  <c r="F44" s="1"/>
  <c r="G44" s="1"/>
  <c r="G29"/>
  <c r="G59" s="1"/>
  <c r="F29"/>
  <c r="F59" s="1"/>
  <c r="E29"/>
  <c r="D29"/>
  <c r="D59" s="1"/>
  <c r="C29"/>
  <c r="C59" s="1"/>
  <c r="B29"/>
  <c r="B59" s="1"/>
  <c r="G28"/>
  <c r="F28"/>
  <c r="F58" s="1"/>
  <c r="E28"/>
  <c r="E58" s="1"/>
  <c r="D28"/>
  <c r="D58" s="1"/>
  <c r="C28"/>
  <c r="B28"/>
  <c r="B58" s="1"/>
  <c r="G27"/>
  <c r="G57" s="1"/>
  <c r="G64" s="1"/>
  <c r="F27"/>
  <c r="F57" s="1"/>
  <c r="E27"/>
  <c r="D27"/>
  <c r="D57" s="1"/>
  <c r="D64" s="1"/>
  <c r="C27"/>
  <c r="C57" s="1"/>
  <c r="C64" s="1"/>
  <c r="B27"/>
  <c r="B57" s="1"/>
  <c r="G26"/>
  <c r="F26"/>
  <c r="F56" s="1"/>
  <c r="F69" s="1"/>
  <c r="E26"/>
  <c r="E56" s="1"/>
  <c r="E69" s="1"/>
  <c r="D26"/>
  <c r="D56" s="1"/>
  <c r="D69" s="1"/>
  <c r="C26"/>
  <c r="B26"/>
  <c r="B56" s="1"/>
  <c r="G25"/>
  <c r="G55" s="1"/>
  <c r="F25"/>
  <c r="F55" s="1"/>
  <c r="E25"/>
  <c r="D25"/>
  <c r="D55" s="1"/>
  <c r="C25"/>
  <c r="C55" s="1"/>
  <c r="B25"/>
  <c r="B55" s="1"/>
  <c r="D63" l="1"/>
  <c r="D65" s="1"/>
  <c r="D68"/>
  <c r="D71" s="1"/>
  <c r="C68"/>
  <c r="C63"/>
  <c r="C65" s="1"/>
  <c r="G68"/>
  <c r="G63"/>
  <c r="G65" s="1"/>
  <c r="F63"/>
  <c r="F68"/>
  <c r="F71" s="1"/>
  <c r="G69"/>
  <c r="B63"/>
  <c r="B65" s="1"/>
  <c r="B64"/>
  <c r="F64"/>
  <c r="C69"/>
  <c r="E68"/>
  <c r="E71" s="1"/>
  <c r="H32" i="10"/>
  <c r="D12" i="4"/>
  <c r="C18" i="7"/>
  <c r="C19" s="1"/>
  <c r="C30" s="1"/>
  <c r="D18"/>
  <c r="E18"/>
  <c r="F18"/>
  <c r="I14" i="12"/>
  <c r="E12" i="10"/>
  <c r="F12"/>
  <c r="G12"/>
  <c r="D12"/>
  <c r="F18" i="2"/>
  <c r="D18"/>
  <c r="E18"/>
  <c r="G18"/>
  <c r="I8" i="12"/>
  <c r="D18" i="8"/>
  <c r="D13"/>
  <c r="F10"/>
  <c r="F12" i="11"/>
  <c r="G12"/>
  <c r="H12"/>
  <c r="F13"/>
  <c r="G13"/>
  <c r="H13"/>
  <c r="F14"/>
  <c r="G14"/>
  <c r="H14"/>
  <c r="E15" i="8"/>
  <c r="F15" s="1"/>
  <c r="E11"/>
  <c r="F11" s="1"/>
  <c r="E16"/>
  <c r="F16" s="1"/>
  <c r="E17"/>
  <c r="F17" s="1"/>
  <c r="E12"/>
  <c r="F12" s="1"/>
  <c r="E15" i="11"/>
  <c r="E12" i="4"/>
  <c r="F15" i="11" s="1"/>
  <c r="F12" i="4"/>
  <c r="G15" i="11" s="1"/>
  <c r="G12" i="4"/>
  <c r="H15" i="11" s="1"/>
  <c r="I7" i="12"/>
  <c r="I9"/>
  <c r="I10"/>
  <c r="I6"/>
  <c r="H23" i="10" l="1"/>
  <c r="F22"/>
  <c r="F10" s="1"/>
  <c r="G12" i="8"/>
  <c r="H12" s="1"/>
  <c r="E22" i="10"/>
  <c r="E10" s="1"/>
  <c r="G22"/>
  <c r="G10" s="1"/>
  <c r="H12"/>
  <c r="H24"/>
  <c r="G71" i="17"/>
  <c r="F65"/>
  <c r="C71"/>
  <c r="F19" i="2"/>
  <c r="E13" i="7" s="1"/>
  <c r="G14" i="14"/>
  <c r="G13"/>
  <c r="D19" i="2"/>
  <c r="C13" i="7" s="1"/>
  <c r="F19"/>
  <c r="F30" s="1"/>
  <c r="G19" i="2"/>
  <c r="F13" i="7" s="1"/>
  <c r="E19"/>
  <c r="E30" s="1"/>
  <c r="E19" i="2"/>
  <c r="D13" i="7" s="1"/>
  <c r="G11" i="8"/>
  <c r="F18"/>
  <c r="F13"/>
  <c r="D19" i="7"/>
  <c r="D30" s="1"/>
  <c r="F26" l="1"/>
  <c r="E26"/>
  <c r="F14" i="10"/>
  <c r="H22"/>
  <c r="D11" i="4"/>
  <c r="D14" i="10"/>
  <c r="G10" i="8"/>
  <c r="E14" i="10"/>
  <c r="G17" i="8"/>
  <c r="H17" s="1"/>
  <c r="E10" i="4" s="1"/>
  <c r="D11" i="3"/>
  <c r="H11" i="8"/>
  <c r="G30" i="7"/>
  <c r="I12" i="8"/>
  <c r="E11" i="4"/>
  <c r="G16" i="8"/>
  <c r="H11" i="10"/>
  <c r="D26" i="7"/>
  <c r="D10" i="4" l="1"/>
  <c r="D14" s="1"/>
  <c r="C12" i="7" s="1"/>
  <c r="H10" i="8"/>
  <c r="I10" s="1"/>
  <c r="G15"/>
  <c r="D11" i="2"/>
  <c r="D45" i="7"/>
  <c r="G14" i="10"/>
  <c r="H14" s="1"/>
  <c r="J12" i="8"/>
  <c r="G11" i="4" s="1"/>
  <c r="F11"/>
  <c r="I11" i="8"/>
  <c r="E11" i="3"/>
  <c r="H10" i="10"/>
  <c r="E14" i="4"/>
  <c r="D12" i="7" s="1"/>
  <c r="D25" s="1"/>
  <c r="D10" i="3"/>
  <c r="D14" s="1"/>
  <c r="C11" i="7" s="1"/>
  <c r="H16" i="8"/>
  <c r="I17"/>
  <c r="E11" i="2" l="1"/>
  <c r="H15" i="8"/>
  <c r="E10" i="2" s="1"/>
  <c r="D10"/>
  <c r="D15" s="1"/>
  <c r="D21" s="1"/>
  <c r="F11"/>
  <c r="J10" i="8"/>
  <c r="G11" i="2" s="1"/>
  <c r="J17" i="8"/>
  <c r="G10" i="4" s="1"/>
  <c r="G14" s="1"/>
  <c r="F12" i="7" s="1"/>
  <c r="F25" s="1"/>
  <c r="F10" i="4"/>
  <c r="F14" s="1"/>
  <c r="E12" i="7" s="1"/>
  <c r="E25" s="1"/>
  <c r="F11" i="3"/>
  <c r="J11" i="8"/>
  <c r="G11" i="3" s="1"/>
  <c r="I16" i="8"/>
  <c r="E10" i="3"/>
  <c r="E14" s="1"/>
  <c r="D11" i="7" s="1"/>
  <c r="D24" s="1"/>
  <c r="E15" i="2" l="1"/>
  <c r="D10" i="7" s="1"/>
  <c r="I15" i="8"/>
  <c r="J15" s="1"/>
  <c r="G10" i="2" s="1"/>
  <c r="G15" s="1"/>
  <c r="C10" i="7"/>
  <c r="F10" i="3"/>
  <c r="F14" s="1"/>
  <c r="E11" i="7" s="1"/>
  <c r="E24" s="1"/>
  <c r="J16" i="8"/>
  <c r="G10" i="3" s="1"/>
  <c r="G14" s="1"/>
  <c r="F11" i="7" s="1"/>
  <c r="F24" s="1"/>
  <c r="E21" i="2" l="1"/>
  <c r="C23" i="7"/>
  <c r="C26"/>
  <c r="D43" s="1"/>
  <c r="C24"/>
  <c r="C25"/>
  <c r="D41" s="1"/>
  <c r="C16"/>
  <c r="F10" i="2"/>
  <c r="F15" s="1"/>
  <c r="E10" i="7" s="1"/>
  <c r="D23"/>
  <c r="D28" s="1"/>
  <c r="D16"/>
  <c r="D40"/>
  <c r="F10"/>
  <c r="G21" i="2"/>
  <c r="C28" i="7" l="1"/>
  <c r="F21" i="2"/>
  <c r="E16" i="7"/>
  <c r="E23"/>
  <c r="F16"/>
  <c r="F23"/>
  <c r="F28" s="1"/>
  <c r="E28" l="1"/>
  <c r="D39"/>
  <c r="D42" l="1"/>
  <c r="D44"/>
  <c r="D46" l="1"/>
  <c r="G46" s="1"/>
  <c r="D47"/>
  <c r="G47" s="1"/>
</calcChain>
</file>

<file path=xl/comments1.xml><?xml version="1.0" encoding="utf-8"?>
<comments xmlns="http://schemas.openxmlformats.org/spreadsheetml/2006/main">
  <authors>
    <author>Mariana Alvarez Guerrero</author>
  </authors>
  <commentList>
    <comment ref="A45" authorId="0">
      <text>
        <r>
          <rPr>
            <b/>
            <sz val="9"/>
            <color indexed="81"/>
            <rFont val="Tahoma"/>
            <family val="2"/>
          </rPr>
          <t>Mariana Alvarez Guerrero:</t>
        </r>
        <r>
          <rPr>
            <sz val="9"/>
            <color indexed="81"/>
            <rFont val="Tahoma"/>
            <family val="2"/>
          </rPr>
          <t xml:space="preserve">
Fuente: IMF
http://www.imf.org/external/data.htm</t>
        </r>
      </text>
    </comment>
  </commentList>
</comments>
</file>

<file path=xl/sharedStrings.xml><?xml version="1.0" encoding="utf-8"?>
<sst xmlns="http://schemas.openxmlformats.org/spreadsheetml/2006/main" count="780" uniqueCount="390">
  <si>
    <t>%</t>
  </si>
  <si>
    <t>PD%</t>
  </si>
  <si>
    <t>IMPULSORES DE COSTOS</t>
  </si>
  <si>
    <t>Demanda Máxima</t>
  </si>
  <si>
    <t>Clientes</t>
  </si>
  <si>
    <t>Rentabilidad sobre Activos</t>
  </si>
  <si>
    <t>Depreciación</t>
  </si>
  <si>
    <t>Operación y Mantenimiento</t>
  </si>
  <si>
    <t>Administración</t>
  </si>
  <si>
    <t>COMERCIALIZACIÓN</t>
  </si>
  <si>
    <t>ALUMBRADO PÚBLICO</t>
  </si>
  <si>
    <t>MWh</t>
  </si>
  <si>
    <t>SISTEMA PRINCIPAL</t>
  </si>
  <si>
    <t>IPPD</t>
  </si>
  <si>
    <t>COMERCIALIZACION</t>
  </si>
  <si>
    <t>IPCO</t>
  </si>
  <si>
    <t>ALUMPU</t>
  </si>
  <si>
    <t>IMPD</t>
  </si>
  <si>
    <t>IMPCO</t>
  </si>
  <si>
    <t>IMP</t>
  </si>
  <si>
    <t>ACTIVOS TARIFARIOS PERMITIDOS</t>
  </si>
  <si>
    <t>INVERSIONES</t>
  </si>
  <si>
    <t>TOTAL INVERSIONES</t>
  </si>
  <si>
    <t>DISTRIBUCIÓN</t>
  </si>
  <si>
    <t>COM</t>
  </si>
  <si>
    <t>WACC REAL ANTES. IMPUESTOS(%)</t>
  </si>
  <si>
    <t>TOTAL</t>
  </si>
  <si>
    <t>Nº clientes</t>
  </si>
  <si>
    <t>OMD</t>
  </si>
  <si>
    <t>AD</t>
  </si>
  <si>
    <t>AC</t>
  </si>
  <si>
    <t>ADM</t>
  </si>
  <si>
    <t>Constante</t>
  </si>
  <si>
    <t>OM</t>
  </si>
  <si>
    <t>BCDN * RR</t>
  </si>
  <si>
    <t>BCD * DEP%</t>
  </si>
  <si>
    <t>IPSD</t>
  </si>
  <si>
    <t>(PD%) * MWhD * CMM</t>
  </si>
  <si>
    <t>DEP%</t>
  </si>
  <si>
    <t>CMM</t>
  </si>
  <si>
    <t>Costo de la Energía en Mercado Mayorista</t>
  </si>
  <si>
    <t>BCNC * RR</t>
  </si>
  <si>
    <t>BCC * DEP%</t>
  </si>
  <si>
    <t>Comercialización</t>
  </si>
  <si>
    <t>ACTNalum * RR</t>
  </si>
  <si>
    <t>ACTalum * DEP%</t>
  </si>
  <si>
    <t>OMalum</t>
  </si>
  <si>
    <t>ID</t>
  </si>
  <si>
    <t>IC</t>
  </si>
  <si>
    <t>Distribución</t>
  </si>
  <si>
    <t>RETORNO SOBRE CAPITAL DISTRIBUCION</t>
  </si>
  <si>
    <t>BCD</t>
  </si>
  <si>
    <t>BCC</t>
  </si>
  <si>
    <t>Valor Neto Base Capital Distribución</t>
  </si>
  <si>
    <t>Valor Neto Base Capital Comercializ.</t>
  </si>
  <si>
    <t>BCNC</t>
  </si>
  <si>
    <t>BCND</t>
  </si>
  <si>
    <t>BASE DE CAPITAL</t>
  </si>
  <si>
    <t>ACTalum</t>
  </si>
  <si>
    <t>ACTN alum</t>
  </si>
  <si>
    <t>Operación y Mantenimiento de AP</t>
  </si>
  <si>
    <t>O&amp;Malum</t>
  </si>
  <si>
    <t>IAP</t>
  </si>
  <si>
    <t>PERDIDAS Y OTROS DATOS</t>
  </si>
  <si>
    <t>PROPUESTA</t>
  </si>
  <si>
    <t>UNIDADES</t>
  </si>
  <si>
    <t>DEM/CLIENTE</t>
  </si>
  <si>
    <t>ENERGIA-AÑO/CLIENTE</t>
  </si>
  <si>
    <t>KW/CL</t>
  </si>
  <si>
    <t>CREC.a.a.</t>
  </si>
  <si>
    <t>BASE</t>
  </si>
  <si>
    <t>TOTALES</t>
  </si>
  <si>
    <t>MWh/CL</t>
  </si>
  <si>
    <t>AJUSTE ACTNOREG</t>
  </si>
  <si>
    <t>Adim</t>
  </si>
  <si>
    <t>B. REFERENCIAL</t>
  </si>
  <si>
    <t>MWH</t>
  </si>
  <si>
    <t>VPN DEL INGRESO TARIFARIO</t>
  </si>
  <si>
    <t xml:space="preserve"> </t>
  </si>
  <si>
    <t>Factor de Descuento</t>
  </si>
  <si>
    <t>Factor de Descuento Aplicado</t>
  </si>
  <si>
    <t>PERDIDAS</t>
  </si>
  <si>
    <t>MW</t>
  </si>
  <si>
    <t>Miles de B.</t>
  </si>
  <si>
    <t>Valor Bruto Base de Capital de Distribución</t>
  </si>
  <si>
    <t>Valor Bruto Base de Capital de Comercialización</t>
  </si>
  <si>
    <t>Valor Bruto Activos Fijos AP</t>
  </si>
  <si>
    <t>Valor Neto Activos Fijos AP</t>
  </si>
  <si>
    <t>En miles de Balboas</t>
  </si>
  <si>
    <t>B/MWh</t>
  </si>
  <si>
    <t>Alumbrado Público</t>
  </si>
  <si>
    <t>Concepto</t>
  </si>
  <si>
    <t>Valor</t>
  </si>
  <si>
    <t>Tasa Libre de Riesgo</t>
  </si>
  <si>
    <t>Beta Equity Panama</t>
  </si>
  <si>
    <t>Prima Riesgo Mercado</t>
  </si>
  <si>
    <t>Riesgo País</t>
  </si>
  <si>
    <t>Costo Capital Propio</t>
  </si>
  <si>
    <t>Tasa Endeudamiento antes de Impuesto</t>
  </si>
  <si>
    <t>Tasa Endeudamiento despues de Impuesto</t>
  </si>
  <si>
    <t>D/(D+E)</t>
  </si>
  <si>
    <t>E/(D+E)</t>
  </si>
  <si>
    <t>WACC Nominal despues de Impuestos</t>
  </si>
  <si>
    <t>WACC Nominal antes de Impuestos</t>
  </si>
  <si>
    <t>Tasa Inflación EUA Largo Plazo</t>
  </si>
  <si>
    <t>WACC Real despues de Impuestos</t>
  </si>
  <si>
    <t>WACC Real antes de Impuestos</t>
  </si>
  <si>
    <t>Cantidad de luminarias al 30/6</t>
  </si>
  <si>
    <t>Costo O&amp;M por luminaria [B/. /año]</t>
  </si>
  <si>
    <t>A. RESOLUCIÓN ASEP</t>
  </si>
  <si>
    <t>JULIO/10-JUNIO/14</t>
  </si>
  <si>
    <t>ACT.JUN10</t>
  </si>
  <si>
    <t>DIFERENCIAS</t>
  </si>
  <si>
    <t>Depreciaciones Activos de Distribución</t>
  </si>
  <si>
    <t>Depreciaciones Activos de Comercialización</t>
  </si>
  <si>
    <t>Depreciaciones Activos de AP</t>
  </si>
  <si>
    <t>Energía ingresada al sist. Sin EDEMET</t>
  </si>
  <si>
    <t>Energía ingresada al sist. Por EDEMET</t>
  </si>
  <si>
    <t>Pérdidas carga EDEMET</t>
  </si>
  <si>
    <t>DETALLE</t>
  </si>
  <si>
    <t>Estas inversiones se agregan a las que resultan de las ecuaciones de eficiencia</t>
  </si>
  <si>
    <t>Inversiones totales en Alumbrado Público</t>
  </si>
  <si>
    <t>Total</t>
  </si>
  <si>
    <t>Energía Facturada (MWh) sin incluir AP</t>
  </si>
  <si>
    <t>Ener ingresada c/EDEMET sin AP</t>
  </si>
  <si>
    <t>Considerando Inversiones para Soterramiento</t>
  </si>
  <si>
    <t>NO</t>
  </si>
  <si>
    <t>SI</t>
  </si>
  <si>
    <t>Energía ingresada al sist. con EDEMET</t>
  </si>
  <si>
    <t>INGRESO MÁXIMO PERMITIDO = IMP</t>
  </si>
  <si>
    <t>VALOR PRESENTE NETO - INGRESO MÁXIMO PERMITIDO</t>
  </si>
  <si>
    <t>SUB-TOTAL</t>
  </si>
  <si>
    <t>Miles de B/.</t>
  </si>
  <si>
    <t>IMP (AÑO TARIFARIO) =</t>
  </si>
  <si>
    <t>IMP (AÑO TARIFARIO) SIN PÉRDIDAS =</t>
  </si>
  <si>
    <t>Miles de Balboas</t>
  </si>
  <si>
    <t xml:space="preserve">Pérdidas </t>
  </si>
  <si>
    <t>INGRESO MÁXIMO PERMITIDO POR DISTRIBUCIÓN = IMPD</t>
  </si>
  <si>
    <t>INGRESO MÁXIMO PERMITIDO POR COMERCIALIZACIÓN = IPCO</t>
  </si>
  <si>
    <t>INGRESO MÁXIMO PERMITIDO POR ALUMBRADO PÚBLICO = ALUMPU</t>
  </si>
  <si>
    <t>Balboas/MWh</t>
  </si>
  <si>
    <t>ENERGIA FACTURADA sin AP</t>
  </si>
  <si>
    <t>Pérdidas</t>
  </si>
  <si>
    <t>JUL14 / JUN15</t>
  </si>
  <si>
    <t>JUL15 / JUN16</t>
  </si>
  <si>
    <t>JUL16 / JUN17</t>
  </si>
  <si>
    <t>JUL17 / JUN18</t>
  </si>
  <si>
    <t>Actualizados al primer semestre 2014</t>
  </si>
  <si>
    <t>JULIO/14-JUNIO/18</t>
  </si>
  <si>
    <t>ENSA</t>
  </si>
  <si>
    <t>REGRESIONES CON DATOS DE LA FERC, AÑOS 2011-2012 - MODELO OLS MUESTRA COMPLETA</t>
  </si>
  <si>
    <t>1 - CAPEX y OPEX</t>
  </si>
  <si>
    <t xml:space="preserve">Variable </t>
  </si>
  <si>
    <t>Ln(DM)</t>
  </si>
  <si>
    <t>Ln(Cl) - Ln(DM/Cl)</t>
  </si>
  <si>
    <t>DATOS FÍSICOS EMPRESA</t>
  </si>
  <si>
    <t>Variable</t>
  </si>
  <si>
    <t>Unidad</t>
  </si>
  <si>
    <t>Base</t>
  </si>
  <si>
    <t>Proyección ENSA</t>
  </si>
  <si>
    <t>Jul 2012-Jun 2013</t>
  </si>
  <si>
    <t>Jul 2013-Jun 2014</t>
  </si>
  <si>
    <t>Jul 2014-Jun 2015</t>
  </si>
  <si>
    <t>Jul 2015-Jun 2016</t>
  </si>
  <si>
    <t>Jul 2016-Jun 2017</t>
  </si>
  <si>
    <t>Jul 2017-Jun 2018</t>
  </si>
  <si>
    <t>Demanda</t>
  </si>
  <si>
    <t>Energía Inyectada sin EDEMET con AP</t>
  </si>
  <si>
    <t>Cant.</t>
  </si>
  <si>
    <t>RESULTADOS CAPEX y OPEX</t>
  </si>
  <si>
    <t>En USD 2013 sin ajuste</t>
  </si>
  <si>
    <t>COSTO</t>
  </si>
  <si>
    <t>Factores de ajuste</t>
  </si>
  <si>
    <t>1) Componente Mano de Obra</t>
  </si>
  <si>
    <t>Costo laboral relativo</t>
  </si>
  <si>
    <t>Participación de la mano de obra en los costos totales</t>
  </si>
  <si>
    <t>2) Componente Materiales</t>
  </si>
  <si>
    <t>PPP</t>
  </si>
  <si>
    <t>% Nacional</t>
  </si>
  <si>
    <t>En USD 2013 con ajuste</t>
  </si>
  <si>
    <t>Activos totales</t>
  </si>
  <si>
    <t>OPEX Totales</t>
  </si>
  <si>
    <t>TOTEX (Costos Totales)</t>
  </si>
  <si>
    <t>Inversión Totales</t>
  </si>
  <si>
    <t>2 - PÉRDIDAS</t>
  </si>
  <si>
    <t>EP</t>
  </si>
  <si>
    <t>Ln(MWhD)</t>
  </si>
  <si>
    <t>RESULTADOS PÉRDIDAS</t>
  </si>
  <si>
    <t>Porcentaje</t>
  </si>
  <si>
    <t>EP [MWh]</t>
  </si>
  <si>
    <t>EP [%]</t>
  </si>
  <si>
    <t>Pérdidas No Gestionables Reconocidas</t>
  </si>
  <si>
    <t>INVERSION EN AT NO CONTEMPLADAS EN LAS ECUACIONES DE EFICIENCIA  - Miles de Balboas</t>
  </si>
  <si>
    <t>Nueva S/E 24 de Diciembre</t>
  </si>
  <si>
    <t>Reemplazo TX9 S/E BLM</t>
  </si>
  <si>
    <t>Expansion Colon</t>
  </si>
  <si>
    <t>Expansion S/E Santa María</t>
  </si>
  <si>
    <t>Nueva S/E Costa del Este</t>
  </si>
  <si>
    <t>Expansion S/E Tinajitas</t>
  </si>
  <si>
    <t>S/E Gonzalillo</t>
  </si>
  <si>
    <t>LATs Costa del Este</t>
  </si>
  <si>
    <t>Jul a Dic 2014</t>
  </si>
  <si>
    <t>Ene a Jun 2018</t>
  </si>
  <si>
    <t>Soterramiento Ave de la Paz y otros</t>
  </si>
  <si>
    <t>Integración del Darién</t>
  </si>
  <si>
    <t>Confiabilidad de Plantas Potabilizadoras</t>
  </si>
  <si>
    <t>Confiabilidad Plantas Radiodifusoras</t>
  </si>
  <si>
    <t>Medición Inteligente</t>
  </si>
  <si>
    <t>Mejoras Lineas MT</t>
  </si>
  <si>
    <t>OTRAS INVERSIONES NO CONTEMPLADAS EN LAS ECUACIONES DE EFICIENCIA  - Miles de Balboas</t>
  </si>
  <si>
    <t xml:space="preserve">Crecimiento Vegetativo </t>
  </si>
  <si>
    <t>Proyectos especiales</t>
  </si>
  <si>
    <t>Cantidad de Luminarias</t>
  </si>
  <si>
    <t>Inversión en B/.</t>
  </si>
  <si>
    <t>Carretera Gonzalillo Pedregal</t>
  </si>
  <si>
    <t>Milla 8 - Chilibre</t>
  </si>
  <si>
    <t>Vía a Chepo</t>
  </si>
  <si>
    <t>Carretera Chepo - Pacora</t>
  </si>
  <si>
    <t xml:space="preserve">Ave. Randolph </t>
  </si>
  <si>
    <t xml:space="preserve">Calle hasta BLM </t>
  </si>
  <si>
    <t>Costa Abajo (Colón "Y" a Escobal)</t>
  </si>
  <si>
    <t>Costa Abajo (Colón Achiote-Piña)</t>
  </si>
  <si>
    <t>Costa Abajo (Gatún a la "Y" Escobal/Achiote)</t>
  </si>
  <si>
    <t>Costa Abajo (Colón Piña-Salud)</t>
  </si>
  <si>
    <t>Costa Arriba (Colón "Y" de Nombre de Dios a la Guaira)</t>
  </si>
  <si>
    <t>Costa Arriba ( "Y" a Nombre de Dios)</t>
  </si>
  <si>
    <t>Costa Arriba (Colón María Chiquita a la "Y")</t>
  </si>
  <si>
    <t>MINSA CAPSI Cuipo/Ciricito/ El Guabo zona del MINSA CAPSI</t>
  </si>
  <si>
    <t>Vía Sherman hasta Tercer Puente sobre el Canal</t>
  </si>
  <si>
    <t>Darién Santa Fé- agua Fría</t>
  </si>
  <si>
    <t>24 de Diciembre (Ref. Monterrico)</t>
  </si>
  <si>
    <t>Calles locales de alto tráfico Chilibre</t>
  </si>
  <si>
    <t>Calle paralela a la Transístmica Chilibre</t>
  </si>
  <si>
    <t>Final de la Vía Fernández de Córdoba hasta El Fuerte</t>
  </si>
  <si>
    <t>Hasta rotonda llegando al AIT desde Proyecto GBT</t>
  </si>
  <si>
    <t>Intersecciones de Ave La Pulida</t>
  </si>
  <si>
    <t>Vía a la PTAR (Juan Díaz)</t>
  </si>
  <si>
    <t>Vía a Patacón</t>
  </si>
  <si>
    <t>Vía al Centro de Cumplimiento de Menores</t>
  </si>
  <si>
    <t>Vía Fernández de Córdoba hasta Cementerio de Vía Transístmica</t>
  </si>
  <si>
    <t>Vía José María Torrijos</t>
  </si>
  <si>
    <t>Vía por Sarasqueta - Harinas del Istmo</t>
  </si>
  <si>
    <t>Vía entre Carretera Vieja a Chepo y Carretera Nueva</t>
  </si>
  <si>
    <t>Carretera Vieja a Chepo (después de Tierra Prometida)</t>
  </si>
  <si>
    <t>Detalle Proyectos Especiales - Alumbrado Público</t>
  </si>
  <si>
    <t>Corredores</t>
  </si>
  <si>
    <t>PROVINCIA</t>
  </si>
  <si>
    <t>DISTRITO</t>
  </si>
  <si>
    <t>CORREGIMIENTO</t>
  </si>
  <si>
    <t>POBLADO</t>
  </si>
  <si>
    <t># VIV</t>
  </si>
  <si>
    <t>Inversión</t>
  </si>
  <si>
    <t>Colón</t>
  </si>
  <si>
    <t>Chagres</t>
  </si>
  <si>
    <t>El Guabo</t>
  </si>
  <si>
    <t>Santa Fé Arriba</t>
  </si>
  <si>
    <t>Santa Fe Arriba</t>
  </si>
  <si>
    <t>Santa Fe Abajo I</t>
  </si>
  <si>
    <t>El Plátano</t>
  </si>
  <si>
    <t>La Encantada</t>
  </si>
  <si>
    <t>La Encantadita</t>
  </si>
  <si>
    <t>Piña</t>
  </si>
  <si>
    <t>Tarascón</t>
  </si>
  <si>
    <t>Salud</t>
  </si>
  <si>
    <t>Quebrada León</t>
  </si>
  <si>
    <t>Ciricito</t>
  </si>
  <si>
    <t>El Congal</t>
  </si>
  <si>
    <t>Cristobal</t>
  </si>
  <si>
    <t>Loma Flores</t>
  </si>
  <si>
    <t>Nueva Providencia</t>
  </si>
  <si>
    <t>La Barriada del Níspero</t>
  </si>
  <si>
    <t>Nuevo San Juan</t>
  </si>
  <si>
    <t>San Juan Sector La Escuela</t>
  </si>
  <si>
    <t>Puerto Pilón</t>
  </si>
  <si>
    <t>Agua Clara II (Aguas Claras Arriba)</t>
  </si>
  <si>
    <t>Sabanitas</t>
  </si>
  <si>
    <t>Río Rita Arriba (Sierra Lorona)</t>
  </si>
  <si>
    <t>Salamanca</t>
  </si>
  <si>
    <t>Eloy Sanchez</t>
  </si>
  <si>
    <t>Boquerón Abajo</t>
  </si>
  <si>
    <t>El Valle de Santa Cruz</t>
  </si>
  <si>
    <t>San Juan</t>
  </si>
  <si>
    <t>El Madroñal</t>
  </si>
  <si>
    <t>Santa Rosa</t>
  </si>
  <si>
    <t>Donoso</t>
  </si>
  <si>
    <t>Gobea</t>
  </si>
  <si>
    <t>Gobeita I</t>
  </si>
  <si>
    <t>Río Indiio</t>
  </si>
  <si>
    <t>El Guácimo</t>
  </si>
  <si>
    <t>Portobelo</t>
  </si>
  <si>
    <t>María Chiquita</t>
  </si>
  <si>
    <t>El Aserrío</t>
  </si>
  <si>
    <t>Garrote</t>
  </si>
  <si>
    <t>Ballestilla</t>
  </si>
  <si>
    <t>SUBTOTAL COLON</t>
  </si>
  <si>
    <t xml:space="preserve">Darien </t>
  </si>
  <si>
    <t>Cémaco</t>
  </si>
  <si>
    <t>Agua Fria</t>
  </si>
  <si>
    <t>Agua Fria I</t>
  </si>
  <si>
    <t>Chepigana</t>
  </si>
  <si>
    <t>Zimba</t>
  </si>
  <si>
    <t>El Real de Santamaría</t>
  </si>
  <si>
    <t>IMA o El Mercado</t>
  </si>
  <si>
    <t>Garachiné</t>
  </si>
  <si>
    <t>Calle Larga</t>
  </si>
  <si>
    <t>Mompo Bella Vista</t>
  </si>
  <si>
    <t>Atalaya</t>
  </si>
  <si>
    <t>Rio Iglesias</t>
  </si>
  <si>
    <t>Arretí</t>
  </si>
  <si>
    <t>Bijagual</t>
  </si>
  <si>
    <t>Sambú</t>
  </si>
  <si>
    <t>La Colonia del Valle de Bijagual</t>
  </si>
  <si>
    <t>Santa Fé</t>
  </si>
  <si>
    <t>Corredor La Cantera</t>
  </si>
  <si>
    <t>Los Monos o Arimae</t>
  </si>
  <si>
    <t>La Villa</t>
  </si>
  <si>
    <t>Los Nunos</t>
  </si>
  <si>
    <t>Quebrada Cañazas (Cañazas)</t>
  </si>
  <si>
    <t>Puerto Lara</t>
  </si>
  <si>
    <t>Pinogana</t>
  </si>
  <si>
    <t>Meteti</t>
  </si>
  <si>
    <t>Aruza Arriba</t>
  </si>
  <si>
    <t>Metetí</t>
  </si>
  <si>
    <t>Chorrillito # 1</t>
  </si>
  <si>
    <t>Chorrillito # 2</t>
  </si>
  <si>
    <t>San Vicente</t>
  </si>
  <si>
    <t>Villa Darién</t>
  </si>
  <si>
    <t>Quebrada Guineo</t>
  </si>
  <si>
    <t>El Balsal</t>
  </si>
  <si>
    <t>Sansón de Belén</t>
  </si>
  <si>
    <t>Quebrada Félix</t>
  </si>
  <si>
    <t>Sansón Arriba</t>
  </si>
  <si>
    <t>Yaviza</t>
  </si>
  <si>
    <t>Santa Librada</t>
  </si>
  <si>
    <t>Entrada a El Salto</t>
  </si>
  <si>
    <t>Nuevo Bijao (El Bijao)</t>
  </si>
  <si>
    <t>Nuevo Progreso</t>
  </si>
  <si>
    <t>SUBTOTAL DARIEN</t>
  </si>
  <si>
    <t>Emberá Wounaan</t>
  </si>
  <si>
    <t>Puerto Indio</t>
  </si>
  <si>
    <t>Daipurú*</t>
  </si>
  <si>
    <t>Río Sábalo</t>
  </si>
  <si>
    <t>Punta Coi (Sábalo)</t>
  </si>
  <si>
    <t>Bayamén</t>
  </si>
  <si>
    <t>La Chunga</t>
  </si>
  <si>
    <t>SUBTOTAL EMBERÁ WOUNAAN</t>
  </si>
  <si>
    <t>Panamá</t>
  </si>
  <si>
    <t>Chepo</t>
  </si>
  <si>
    <t>Buenos Aires</t>
  </si>
  <si>
    <t>La Lagunita*</t>
  </si>
  <si>
    <t>Cañita</t>
  </si>
  <si>
    <t>La Florida*</t>
  </si>
  <si>
    <t>La Gallinera o Barriada 2000</t>
  </si>
  <si>
    <t>El Llano</t>
  </si>
  <si>
    <t>Palo Seco*</t>
  </si>
  <si>
    <t>Tortí</t>
  </si>
  <si>
    <t>Tortí Abajo</t>
  </si>
  <si>
    <t>Tortí Arriba</t>
  </si>
  <si>
    <t>Quebrada de Piedra*</t>
  </si>
  <si>
    <t>Quebrada La Palma*</t>
  </si>
  <si>
    <t>La 8*</t>
  </si>
  <si>
    <t>Río Sereno*</t>
  </si>
  <si>
    <t>Partí o Río Partí*</t>
  </si>
  <si>
    <t>Brazo de Piriatí*</t>
  </si>
  <si>
    <t>Chilibre</t>
  </si>
  <si>
    <t>Quebrada Ancha No.2</t>
  </si>
  <si>
    <t>Llano Bonito</t>
  </si>
  <si>
    <t>Calle del IDAAN*</t>
  </si>
  <si>
    <t>La Bonga o 260*</t>
  </si>
  <si>
    <t>Victoriano Lorenzo*</t>
  </si>
  <si>
    <t>Las Cumbres</t>
  </si>
  <si>
    <t>La Laguna o El Tecal</t>
  </si>
  <si>
    <t>Mocambo Arriba</t>
  </si>
  <si>
    <t>Pacora</t>
  </si>
  <si>
    <t>Barriada Paso Blanco</t>
  </si>
  <si>
    <t>Dos Lagos</t>
  </si>
  <si>
    <t>Río Chico</t>
  </si>
  <si>
    <t>Pedregal</t>
  </si>
  <si>
    <t>Cerro La Bandera</t>
  </si>
  <si>
    <t>San Martín</t>
  </si>
  <si>
    <t>Pueblo Nuevo #1</t>
  </si>
  <si>
    <t>SUBTOTAL PANAMÁ</t>
  </si>
  <si>
    <t>INVERSIONES EN ELECTRIFICACIÓN RURAL - Balboas</t>
  </si>
  <si>
    <t>TOTAL ENSA</t>
  </si>
  <si>
    <t>Distribución (AT)</t>
  </si>
  <si>
    <t>Otras Inversiones</t>
  </si>
  <si>
    <t>Electrificación Rural</t>
  </si>
  <si>
    <t>Energía Facturada (sin/AP) con EDEMET</t>
  </si>
  <si>
    <t>INVNE</t>
  </si>
  <si>
    <t>INVERSIONES NO CONTEMPLADAS EN LAS ECUACIONES DE EFICIENCIA</t>
  </si>
</sst>
</file>

<file path=xl/styles.xml><?xml version="1.0" encoding="utf-8"?>
<styleSheet xmlns="http://schemas.openxmlformats.org/spreadsheetml/2006/main">
  <numFmts count="18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0.0000"/>
    <numFmt numFmtId="168" formatCode="0.0%"/>
    <numFmt numFmtId="169" formatCode="0.000"/>
    <numFmt numFmtId="170" formatCode="0.00000"/>
    <numFmt numFmtId="171" formatCode="_ * #,##0.0_ ;_ * \-#,##0.0_ ;_ * &quot;-&quot;??_ ;_ @_ "/>
    <numFmt numFmtId="172" formatCode="#,##0.0000"/>
    <numFmt numFmtId="173" formatCode="0.0000000%"/>
    <numFmt numFmtId="174" formatCode="#,##0.000"/>
    <numFmt numFmtId="175" formatCode="#,##0.00_ ;[Red]\-#,##0.00\ "/>
    <numFmt numFmtId="176" formatCode="#,##0.00000"/>
    <numFmt numFmtId="177" formatCode="0.0000%"/>
    <numFmt numFmtId="178" formatCode="#,##0.00\ ;[Red]\(#,##0.00\)"/>
    <numFmt numFmtId="179" formatCode="_ * #,##0.000_ ;_ * \-#,##0.000_ ;_ * &quot;-&quot;??_ ;_ @_ "/>
    <numFmt numFmtId="180" formatCode="_(* #,##0_);_(* \(#,##0\);_(* &quot;-&quot;??_);_(@_)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2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color indexed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51">
    <xf numFmtId="0" fontId="0" fillId="0" borderId="0" xfId="0"/>
    <xf numFmtId="0" fontId="8" fillId="2" borderId="3" xfId="0" applyFont="1" applyFill="1" applyBorder="1" applyAlignment="1">
      <alignment horizontal="center"/>
    </xf>
    <xf numFmtId="10" fontId="11" fillId="0" borderId="11" xfId="3" applyNumberFormat="1" applyFont="1" applyFill="1" applyBorder="1" applyAlignment="1">
      <alignment horizontal="center"/>
    </xf>
    <xf numFmtId="0" fontId="12" fillId="0" borderId="0" xfId="0" applyFont="1"/>
    <xf numFmtId="17" fontId="8" fillId="0" borderId="3" xfId="0" applyNumberFormat="1" applyFont="1" applyBorder="1" applyAlignment="1">
      <alignment horizontal="center"/>
    </xf>
    <xf numFmtId="0" fontId="15" fillId="0" borderId="0" xfId="4" applyFont="1" applyAlignment="1">
      <alignment horizontal="left" vertical="center"/>
    </xf>
    <xf numFmtId="0" fontId="9" fillId="0" borderId="0" xfId="4" applyFont="1" applyFill="1" applyAlignment="1">
      <alignment horizontal="center" vertical="center"/>
    </xf>
    <xf numFmtId="0" fontId="14" fillId="0" borderId="0" xfId="4" applyFont="1" applyAlignment="1">
      <alignment horizontal="left" vertical="center" wrapText="1"/>
    </xf>
    <xf numFmtId="0" fontId="14" fillId="0" borderId="0" xfId="4" applyFont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2" fontId="16" fillId="7" borderId="0" xfId="4" applyNumberFormat="1" applyFont="1" applyFill="1" applyAlignment="1">
      <alignment horizontal="center" vertical="center"/>
    </xf>
    <xf numFmtId="0" fontId="16" fillId="7" borderId="0" xfId="4" applyFont="1" applyFill="1" applyAlignment="1">
      <alignment horizontal="center" vertical="center"/>
    </xf>
    <xf numFmtId="2" fontId="9" fillId="0" borderId="0" xfId="4" applyNumberFormat="1" applyFont="1" applyFill="1" applyAlignment="1">
      <alignment horizontal="center" vertical="center"/>
    </xf>
    <xf numFmtId="0" fontId="14" fillId="0" borderId="0" xfId="4" applyFont="1" applyAlignment="1">
      <alignment horizontal="left" vertical="center"/>
    </xf>
    <xf numFmtId="0" fontId="14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4" fontId="9" fillId="8" borderId="0" xfId="4" applyNumberFormat="1" applyFont="1" applyFill="1" applyAlignment="1">
      <alignment horizontal="center" vertical="center"/>
    </xf>
    <xf numFmtId="4" fontId="20" fillId="8" borderId="0" xfId="4" applyNumberFormat="1" applyFont="1" applyFill="1" applyAlignment="1">
      <alignment horizontal="center" vertical="center"/>
    </xf>
    <xf numFmtId="4" fontId="21" fillId="8" borderId="0" xfId="4" applyNumberFormat="1" applyFont="1" applyFill="1" applyAlignment="1">
      <alignment horizontal="center" vertical="center"/>
    </xf>
    <xf numFmtId="3" fontId="9" fillId="8" borderId="0" xfId="4" applyNumberFormat="1" applyFont="1" applyFill="1" applyAlignment="1">
      <alignment horizontal="center" vertical="center"/>
    </xf>
    <xf numFmtId="3" fontId="21" fillId="8" borderId="0" xfId="4" applyNumberFormat="1" applyFont="1" applyFill="1" applyAlignment="1">
      <alignment horizontal="center" vertical="center"/>
    </xf>
    <xf numFmtId="0" fontId="22" fillId="0" borderId="0" xfId="4" applyFont="1" applyAlignment="1">
      <alignment horizontal="left" vertical="center"/>
    </xf>
    <xf numFmtId="165" fontId="13" fillId="0" borderId="0" xfId="5" applyNumberFormat="1" applyFont="1" applyFill="1" applyBorder="1" applyAlignment="1">
      <alignment horizontal="center" vertical="center"/>
    </xf>
    <xf numFmtId="168" fontId="13" fillId="0" borderId="0" xfId="6" applyNumberFormat="1" applyFont="1" applyFill="1" applyBorder="1" applyAlignment="1">
      <alignment horizontal="center" vertical="center"/>
    </xf>
    <xf numFmtId="0" fontId="23" fillId="0" borderId="0" xfId="4" applyFont="1" applyFill="1" applyAlignment="1">
      <alignment vertical="center"/>
    </xf>
    <xf numFmtId="165" fontId="23" fillId="0" borderId="0" xfId="5" applyNumberFormat="1" applyFont="1" applyFill="1" applyAlignment="1">
      <alignment horizontal="center" vertical="center"/>
    </xf>
    <xf numFmtId="167" fontId="9" fillId="0" borderId="0" xfId="2" applyNumberFormat="1" applyFont="1" applyFill="1" applyBorder="1" applyAlignment="1">
      <alignment horizontal="center" vertical="center"/>
    </xf>
    <xf numFmtId="0" fontId="24" fillId="0" borderId="0" xfId="4" applyFont="1" applyFill="1" applyBorder="1" applyAlignment="1">
      <alignment horizontal="left"/>
    </xf>
    <xf numFmtId="0" fontId="9" fillId="0" borderId="0" xfId="4" applyFont="1" applyFill="1" applyBorder="1" applyAlignment="1">
      <alignment horizontal="left" indent="2"/>
    </xf>
    <xf numFmtId="0" fontId="9" fillId="0" borderId="0" xfId="4" applyFont="1" applyFill="1" applyBorder="1" applyAlignment="1"/>
    <xf numFmtId="10" fontId="9" fillId="9" borderId="0" xfId="6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center"/>
    </xf>
    <xf numFmtId="10" fontId="16" fillId="7" borderId="0" xfId="6" applyNumberFormat="1" applyFont="1" applyFill="1" applyBorder="1" applyAlignment="1">
      <alignment horizontal="right" vertical="center"/>
    </xf>
    <xf numFmtId="10" fontId="9" fillId="0" borderId="0" xfId="6" applyNumberFormat="1" applyFont="1" applyFill="1" applyBorder="1" applyAlignment="1">
      <alignment horizontal="center"/>
    </xf>
    <xf numFmtId="0" fontId="10" fillId="0" borderId="0" xfId="4" applyFont="1" applyFill="1" applyBorder="1"/>
    <xf numFmtId="179" fontId="16" fillId="0" borderId="0" xfId="5" applyNumberFormat="1" applyFont="1" applyAlignment="1">
      <alignment horizontal="center" vertical="center"/>
    </xf>
    <xf numFmtId="9" fontId="16" fillId="7" borderId="0" xfId="6" applyNumberFormat="1" applyFont="1" applyFill="1" applyBorder="1" applyAlignment="1">
      <alignment horizontal="right"/>
    </xf>
    <xf numFmtId="0" fontId="14" fillId="0" borderId="0" xfId="4" applyFont="1" applyFill="1" applyBorder="1" applyAlignment="1">
      <alignment horizontal="center" vertical="center"/>
    </xf>
    <xf numFmtId="165" fontId="14" fillId="0" borderId="0" xfId="4" applyNumberFormat="1" applyFont="1" applyFill="1" applyBorder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14" fillId="0" borderId="0" xfId="4" applyFont="1" applyFill="1" applyAlignment="1">
      <alignment horizontal="center" vertical="center"/>
    </xf>
    <xf numFmtId="0" fontId="25" fillId="0" borderId="19" xfId="0" applyFont="1" applyFill="1" applyBorder="1"/>
    <xf numFmtId="0" fontId="12" fillId="10" borderId="25" xfId="0" applyFont="1" applyFill="1" applyBorder="1"/>
    <xf numFmtId="164" fontId="12" fillId="10" borderId="3" xfId="1" applyFont="1" applyFill="1" applyBorder="1"/>
    <xf numFmtId="164" fontId="12" fillId="10" borderId="33" xfId="1" applyFont="1" applyFill="1" applyBorder="1"/>
    <xf numFmtId="0" fontId="12" fillId="11" borderId="25" xfId="0" applyFont="1" applyFill="1" applyBorder="1"/>
    <xf numFmtId="164" fontId="12" fillId="11" borderId="3" xfId="1" applyFont="1" applyFill="1" applyBorder="1"/>
    <xf numFmtId="0" fontId="12" fillId="12" borderId="25" xfId="0" applyFont="1" applyFill="1" applyBorder="1"/>
    <xf numFmtId="164" fontId="12" fillId="12" borderId="3" xfId="1" applyFont="1" applyFill="1" applyBorder="1"/>
    <xf numFmtId="164" fontId="12" fillId="12" borderId="33" xfId="1" applyFont="1" applyFill="1" applyBorder="1"/>
    <xf numFmtId="0" fontId="12" fillId="0" borderId="25" xfId="0" applyFont="1" applyFill="1" applyBorder="1"/>
    <xf numFmtId="0" fontId="12" fillId="0" borderId="3" xfId="0" applyFont="1" applyFill="1" applyBorder="1"/>
    <xf numFmtId="164" fontId="12" fillId="0" borderId="3" xfId="1" applyFont="1" applyFill="1" applyBorder="1"/>
    <xf numFmtId="164" fontId="12" fillId="0" borderId="33" xfId="1" applyFont="1" applyFill="1" applyBorder="1"/>
    <xf numFmtId="0" fontId="12" fillId="10" borderId="3" xfId="0" applyFont="1" applyFill="1" applyBorder="1" applyAlignment="1">
      <alignment horizontal="center"/>
    </xf>
    <xf numFmtId="0" fontId="12" fillId="11" borderId="3" xfId="0" applyFont="1" applyFill="1" applyBorder="1" applyAlignment="1">
      <alignment horizontal="center"/>
    </xf>
    <xf numFmtId="0" fontId="12" fillId="12" borderId="3" xfId="0" applyFont="1" applyFill="1" applyBorder="1" applyAlignment="1">
      <alignment horizontal="center"/>
    </xf>
    <xf numFmtId="164" fontId="12" fillId="11" borderId="54" xfId="1" applyFont="1" applyFill="1" applyBorder="1"/>
    <xf numFmtId="0" fontId="8" fillId="0" borderId="7" xfId="0" applyFont="1" applyFill="1" applyBorder="1"/>
    <xf numFmtId="165" fontId="12" fillId="0" borderId="8" xfId="1" applyNumberFormat="1" applyFont="1" applyBorder="1"/>
    <xf numFmtId="0" fontId="1" fillId="0" borderId="0" xfId="4" applyFont="1" applyAlignment="1">
      <alignment horizontal="center" vertical="center"/>
    </xf>
    <xf numFmtId="0" fontId="1" fillId="0" borderId="0" xfId="4" applyFont="1"/>
    <xf numFmtId="0" fontId="1" fillId="0" borderId="0" xfId="4" applyFont="1" applyAlignment="1">
      <alignment horizontal="left" vertical="center"/>
    </xf>
    <xf numFmtId="2" fontId="1" fillId="0" borderId="0" xfId="4" applyNumberFormat="1" applyFont="1" applyAlignment="1">
      <alignment horizontal="center" vertical="center"/>
    </xf>
    <xf numFmtId="3" fontId="1" fillId="8" borderId="0" xfId="4" applyNumberFormat="1" applyFont="1" applyFill="1" applyAlignment="1">
      <alignment horizontal="center" vertical="center"/>
    </xf>
    <xf numFmtId="0" fontId="1" fillId="0" borderId="0" xfId="4" applyFont="1" applyAlignment="1">
      <alignment vertical="center"/>
    </xf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 vertical="center"/>
    </xf>
    <xf numFmtId="0" fontId="1" fillId="0" borderId="0" xfId="4" applyFont="1" applyAlignment="1">
      <alignment horizontal="left" vertical="center" indent="1"/>
    </xf>
    <xf numFmtId="0" fontId="1" fillId="0" borderId="0" xfId="4" applyFont="1" applyFill="1" applyBorder="1" applyAlignment="1">
      <alignment horizontal="left" vertical="center" indent="2"/>
    </xf>
    <xf numFmtId="0" fontId="1" fillId="0" borderId="0" xfId="4" applyFont="1" applyFill="1" applyBorder="1" applyAlignment="1">
      <alignment horizontal="center" vertical="center"/>
    </xf>
    <xf numFmtId="0" fontId="1" fillId="0" borderId="0" xfId="4" applyFont="1" applyFill="1" applyBorder="1"/>
    <xf numFmtId="0" fontId="1" fillId="0" borderId="0" xfId="4" applyFont="1" applyAlignment="1">
      <alignment horizontal="left" vertical="center" indent="3"/>
    </xf>
    <xf numFmtId="173" fontId="1" fillId="0" borderId="0" xfId="4" applyNumberFormat="1" applyFont="1" applyFill="1" applyBorder="1"/>
    <xf numFmtId="0" fontId="1" fillId="0" borderId="0" xfId="4" applyFont="1" applyFill="1" applyBorder="1" applyAlignment="1">
      <alignment horizontal="left" indent="2"/>
    </xf>
    <xf numFmtId="0" fontId="1" fillId="0" borderId="0" xfId="4" applyFont="1" applyFill="1" applyBorder="1" applyAlignment="1">
      <alignment horizontal="left" vertical="justify" indent="2"/>
    </xf>
    <xf numFmtId="165" fontId="1" fillId="0" borderId="0" xfId="4" applyNumberFormat="1" applyFont="1" applyFill="1" applyBorder="1"/>
    <xf numFmtId="165" fontId="1" fillId="0" borderId="0" xfId="4" applyNumberFormat="1" applyFont="1" applyFill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12" fillId="0" borderId="2" xfId="0" applyFont="1" applyFill="1" applyBorder="1"/>
    <xf numFmtId="0" fontId="12" fillId="0" borderId="7" xfId="0" applyFont="1" applyFill="1" applyBorder="1"/>
    <xf numFmtId="0" fontId="12" fillId="0" borderId="8" xfId="0" applyFont="1" applyFill="1" applyBorder="1"/>
    <xf numFmtId="4" fontId="8" fillId="0" borderId="8" xfId="0" applyNumberFormat="1" applyFont="1" applyFill="1" applyBorder="1"/>
    <xf numFmtId="4" fontId="8" fillId="0" borderId="8" xfId="1" applyNumberFormat="1" applyFont="1" applyFill="1" applyBorder="1"/>
    <xf numFmtId="0" fontId="31" fillId="0" borderId="2" xfId="0" applyFont="1" applyFill="1" applyBorder="1"/>
    <xf numFmtId="4" fontId="31" fillId="0" borderId="3" xfId="0" applyNumberFormat="1" applyFont="1" applyFill="1" applyBorder="1"/>
    <xf numFmtId="0" fontId="31" fillId="0" borderId="0" xfId="0" applyFont="1" applyFill="1" applyBorder="1"/>
    <xf numFmtId="4" fontId="31" fillId="0" borderId="0" xfId="0" applyNumberFormat="1" applyFont="1" applyFill="1" applyBorder="1"/>
    <xf numFmtId="0" fontId="12" fillId="0" borderId="3" xfId="0" applyFont="1" applyBorder="1"/>
    <xf numFmtId="170" fontId="12" fillId="0" borderId="3" xfId="0" applyNumberFormat="1" applyFont="1" applyBorder="1" applyAlignment="1">
      <alignment horizontal="center"/>
    </xf>
    <xf numFmtId="170" fontId="12" fillId="0" borderId="3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8" fillId="0" borderId="3" xfId="0" applyFont="1" applyBorder="1"/>
    <xf numFmtId="170" fontId="8" fillId="0" borderId="3" xfId="0" applyNumberFormat="1" applyFont="1" applyBorder="1" applyAlignment="1">
      <alignment horizontal="center"/>
    </xf>
    <xf numFmtId="1" fontId="12" fillId="0" borderId="0" xfId="0" applyNumberFormat="1" applyFont="1" applyFill="1" applyBorder="1"/>
    <xf numFmtId="0" fontId="8" fillId="0" borderId="2" xfId="0" applyFont="1" applyBorder="1"/>
    <xf numFmtId="0" fontId="12" fillId="0" borderId="2" xfId="0" applyFont="1" applyBorder="1"/>
    <xf numFmtId="1" fontId="12" fillId="0" borderId="3" xfId="0" applyNumberFormat="1" applyFont="1" applyFill="1" applyBorder="1"/>
    <xf numFmtId="1" fontId="12" fillId="0" borderId="22" xfId="0" applyNumberFormat="1" applyFont="1" applyFill="1" applyBorder="1"/>
    <xf numFmtId="0" fontId="8" fillId="0" borderId="8" xfId="0" applyFont="1" applyFill="1" applyBorder="1"/>
    <xf numFmtId="165" fontId="12" fillId="0" borderId="10" xfId="1" applyNumberFormat="1" applyFont="1" applyBorder="1"/>
    <xf numFmtId="164" fontId="12" fillId="0" borderId="3" xfId="1" applyFont="1" applyBorder="1"/>
    <xf numFmtId="164" fontId="12" fillId="0" borderId="22" xfId="1" applyFont="1" applyBorder="1"/>
    <xf numFmtId="0" fontId="31" fillId="2" borderId="17" xfId="0" applyFont="1" applyFill="1" applyBorder="1"/>
    <xf numFmtId="0" fontId="25" fillId="2" borderId="18" xfId="0" applyFont="1" applyFill="1" applyBorder="1"/>
    <xf numFmtId="10" fontId="32" fillId="0" borderId="40" xfId="0" applyNumberFormat="1" applyFont="1" applyFill="1" applyBorder="1" applyAlignment="1">
      <alignment horizontal="center"/>
    </xf>
    <xf numFmtId="0" fontId="12" fillId="0" borderId="0" xfId="0" applyFont="1" applyBorder="1"/>
    <xf numFmtId="0" fontId="25" fillId="0" borderId="17" xfId="0" applyFont="1" applyFill="1" applyBorder="1"/>
    <xf numFmtId="0" fontId="12" fillId="0" borderId="21" xfId="0" applyFont="1" applyBorder="1"/>
    <xf numFmtId="10" fontId="33" fillId="0" borderId="21" xfId="0" applyNumberFormat="1" applyFont="1" applyFill="1" applyBorder="1" applyAlignment="1">
      <alignment horizontal="center"/>
    </xf>
    <xf numFmtId="0" fontId="25" fillId="0" borderId="20" xfId="0" applyFont="1" applyFill="1" applyBorder="1"/>
    <xf numFmtId="0" fontId="25" fillId="0" borderId="21" xfId="0" applyFont="1" applyFill="1" applyBorder="1" applyAlignment="1">
      <alignment horizontal="center"/>
    </xf>
    <xf numFmtId="175" fontId="25" fillId="0" borderId="21" xfId="0" applyNumberFormat="1" applyFont="1" applyFill="1" applyBorder="1"/>
    <xf numFmtId="0" fontId="30" fillId="0" borderId="0" xfId="0" applyFont="1" applyBorder="1"/>
    <xf numFmtId="175" fontId="25" fillId="0" borderId="36" xfId="0" applyNumberFormat="1" applyFont="1" applyFill="1" applyBorder="1"/>
    <xf numFmtId="175" fontId="25" fillId="0" borderId="37" xfId="0" applyNumberFormat="1" applyFont="1" applyFill="1" applyBorder="1"/>
    <xf numFmtId="0" fontId="25" fillId="0" borderId="12" xfId="0" applyFont="1" applyFill="1" applyBorder="1"/>
    <xf numFmtId="0" fontId="25" fillId="0" borderId="11" xfId="0" applyFont="1" applyFill="1" applyBorder="1" applyAlignment="1">
      <alignment horizontal="center"/>
    </xf>
    <xf numFmtId="175" fontId="25" fillId="0" borderId="11" xfId="0" applyNumberFormat="1" applyFont="1" applyFill="1" applyBorder="1"/>
    <xf numFmtId="165" fontId="25" fillId="0" borderId="21" xfId="1" applyNumberFormat="1" applyFont="1" applyFill="1" applyBorder="1"/>
    <xf numFmtId="165" fontId="25" fillId="0" borderId="37" xfId="1" applyNumberFormat="1" applyFont="1" applyFill="1" applyBorder="1"/>
    <xf numFmtId="0" fontId="31" fillId="3" borderId="12" xfId="0" applyFont="1" applyFill="1" applyBorder="1"/>
    <xf numFmtId="0" fontId="31" fillId="3" borderId="11" xfId="0" applyFont="1" applyFill="1" applyBorder="1" applyAlignment="1">
      <alignment horizontal="center"/>
    </xf>
    <xf numFmtId="2" fontId="31" fillId="3" borderId="11" xfId="0" applyNumberFormat="1" applyFont="1" applyFill="1" applyBorder="1" applyAlignment="1">
      <alignment horizontal="center"/>
    </xf>
    <xf numFmtId="2" fontId="31" fillId="3" borderId="12" xfId="0" applyNumberFormat="1" applyFont="1" applyFill="1" applyBorder="1" applyAlignment="1">
      <alignment horizontal="center"/>
    </xf>
    <xf numFmtId="10" fontId="33" fillId="3" borderId="11" xfId="0" applyNumberFormat="1" applyFont="1" applyFill="1" applyBorder="1" applyAlignment="1">
      <alignment horizontal="center"/>
    </xf>
    <xf numFmtId="2" fontId="31" fillId="3" borderId="37" xfId="0" applyNumberFormat="1" applyFont="1" applyFill="1" applyBorder="1" applyAlignment="1">
      <alignment horizontal="center"/>
    </xf>
    <xf numFmtId="10" fontId="33" fillId="3" borderId="39" xfId="0" applyNumberFormat="1" applyFont="1" applyFill="1" applyBorder="1" applyAlignment="1">
      <alignment horizontal="center"/>
    </xf>
    <xf numFmtId="2" fontId="31" fillId="3" borderId="38" xfId="0" applyNumberFormat="1" applyFont="1" applyFill="1" applyBorder="1" applyAlignment="1">
      <alignment horizontal="center"/>
    </xf>
    <xf numFmtId="10" fontId="28" fillId="0" borderId="0" xfId="3" applyNumberFormat="1" applyFont="1" applyAlignment="1">
      <alignment horizontal="center"/>
    </xf>
    <xf numFmtId="2" fontId="12" fillId="0" borderId="0" xfId="0" applyNumberFormat="1" applyFont="1"/>
    <xf numFmtId="0" fontId="34" fillId="0" borderId="0" xfId="0" applyFont="1"/>
    <xf numFmtId="177" fontId="10" fillId="4" borderId="3" xfId="3" applyNumberFormat="1" applyFont="1" applyFill="1" applyBorder="1" applyAlignment="1">
      <alignment horizontal="center" vertical="justify"/>
    </xf>
    <xf numFmtId="3" fontId="35" fillId="0" borderId="3" xfId="0" applyNumberFormat="1" applyFont="1" applyBorder="1" applyAlignment="1">
      <alignment horizontal="center"/>
    </xf>
    <xf numFmtId="0" fontId="32" fillId="0" borderId="0" xfId="0" applyFont="1"/>
    <xf numFmtId="0" fontId="32" fillId="0" borderId="0" xfId="0" applyFont="1" applyBorder="1"/>
    <xf numFmtId="0" fontId="12" fillId="0" borderId="11" xfId="0" applyFont="1" applyBorder="1"/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/>
    <xf numFmtId="0" fontId="12" fillId="0" borderId="25" xfId="0" applyFont="1" applyBorder="1"/>
    <xf numFmtId="0" fontId="12" fillId="0" borderId="12" xfId="0" applyFont="1" applyBorder="1"/>
    <xf numFmtId="0" fontId="36" fillId="0" borderId="26" xfId="0" applyFont="1" applyFill="1" applyBorder="1" applyAlignment="1">
      <alignment horizontal="right"/>
    </xf>
    <xf numFmtId="0" fontId="12" fillId="0" borderId="0" xfId="0" applyFont="1" applyBorder="1" applyAlignment="1"/>
    <xf numFmtId="0" fontId="8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3" fontId="37" fillId="0" borderId="5" xfId="0" applyNumberFormat="1" applyFont="1" applyFill="1" applyBorder="1" applyAlignment="1">
      <alignment horizontal="right"/>
    </xf>
    <xf numFmtId="17" fontId="8" fillId="0" borderId="8" xfId="0" applyNumberFormat="1" applyFont="1" applyBorder="1" applyAlignment="1">
      <alignment horizontal="left"/>
    </xf>
    <xf numFmtId="0" fontId="8" fillId="0" borderId="8" xfId="0" applyFont="1" applyBorder="1"/>
    <xf numFmtId="178" fontId="8" fillId="0" borderId="8" xfId="0" applyNumberFormat="1" applyFont="1" applyBorder="1"/>
    <xf numFmtId="10" fontId="38" fillId="0" borderId="8" xfId="3" applyNumberFormat="1" applyFont="1" applyFill="1" applyBorder="1"/>
    <xf numFmtId="0" fontId="12" fillId="0" borderId="10" xfId="0" applyFont="1" applyBorder="1"/>
    <xf numFmtId="0" fontId="12" fillId="0" borderId="10" xfId="0" applyFont="1" applyFill="1" applyBorder="1"/>
    <xf numFmtId="0" fontId="12" fillId="0" borderId="0" xfId="0" applyFont="1" applyFill="1"/>
    <xf numFmtId="0" fontId="8" fillId="3" borderId="3" xfId="0" applyFont="1" applyFill="1" applyBorder="1" applyAlignment="1">
      <alignment horizontal="center"/>
    </xf>
    <xf numFmtId="0" fontId="8" fillId="0" borderId="12" xfId="0" applyFont="1" applyBorder="1"/>
    <xf numFmtId="0" fontId="12" fillId="0" borderId="15" xfId="0" applyFont="1" applyBorder="1"/>
    <xf numFmtId="0" fontId="12" fillId="0" borderId="7" xfId="0" applyFont="1" applyBorder="1"/>
    <xf numFmtId="174" fontId="39" fillId="3" borderId="8" xfId="0" applyNumberFormat="1" applyFont="1" applyFill="1" applyBorder="1"/>
    <xf numFmtId="3" fontId="11" fillId="3" borderId="8" xfId="0" applyNumberFormat="1" applyFont="1" applyFill="1" applyBorder="1"/>
    <xf numFmtId="3" fontId="12" fillId="0" borderId="8" xfId="0" applyNumberFormat="1" applyFont="1" applyFill="1" applyBorder="1"/>
    <xf numFmtId="176" fontId="11" fillId="3" borderId="8" xfId="0" applyNumberFormat="1" applyFont="1" applyFill="1" applyBorder="1"/>
    <xf numFmtId="4" fontId="11" fillId="3" borderId="8" xfId="0" applyNumberFormat="1" applyFont="1" applyFill="1" applyBorder="1"/>
    <xf numFmtId="4" fontId="12" fillId="0" borderId="8" xfId="0" applyNumberFormat="1" applyFont="1" applyFill="1" applyBorder="1"/>
    <xf numFmtId="174" fontId="11" fillId="3" borderId="10" xfId="0" applyNumberFormat="1" applyFont="1" applyFill="1" applyBorder="1"/>
    <xf numFmtId="4" fontId="11" fillId="3" borderId="10" xfId="0" applyNumberFormat="1" applyFont="1" applyFill="1" applyBorder="1"/>
    <xf numFmtId="4" fontId="12" fillId="0" borderId="10" xfId="0" applyNumberFormat="1" applyFont="1" applyFill="1" applyBorder="1"/>
    <xf numFmtId="4" fontId="12" fillId="0" borderId="13" xfId="0" applyNumberFormat="1" applyFont="1" applyFill="1" applyBorder="1"/>
    <xf numFmtId="0" fontId="8" fillId="0" borderId="4" xfId="0" applyFont="1" applyBorder="1"/>
    <xf numFmtId="176" fontId="11" fillId="3" borderId="5" xfId="0" applyNumberFormat="1" applyFont="1" applyFill="1" applyBorder="1"/>
    <xf numFmtId="4" fontId="11" fillId="3" borderId="5" xfId="0" applyNumberFormat="1" applyFont="1" applyFill="1" applyBorder="1"/>
    <xf numFmtId="0" fontId="8" fillId="0" borderId="9" xfId="0" applyFont="1" applyFill="1" applyBorder="1"/>
    <xf numFmtId="3" fontId="11" fillId="3" borderId="10" xfId="0" applyNumberFormat="1" applyFont="1" applyFill="1" applyBorder="1"/>
    <xf numFmtId="3" fontId="11" fillId="0" borderId="10" xfId="0" applyNumberFormat="1" applyFont="1" applyFill="1" applyBorder="1"/>
    <xf numFmtId="168" fontId="12" fillId="0" borderId="0" xfId="3" applyNumberFormat="1" applyFont="1" applyBorder="1"/>
    <xf numFmtId="164" fontId="12" fillId="0" borderId="0" xfId="1" applyFont="1" applyBorder="1"/>
    <xf numFmtId="172" fontId="11" fillId="0" borderId="0" xfId="0" applyNumberFormat="1" applyFont="1" applyFill="1" applyBorder="1"/>
    <xf numFmtId="0" fontId="8" fillId="2" borderId="6" xfId="0" applyFont="1" applyFill="1" applyBorder="1" applyAlignment="1">
      <alignment horizontal="center"/>
    </xf>
    <xf numFmtId="0" fontId="12" fillId="0" borderId="5" xfId="0" applyFont="1" applyBorder="1"/>
    <xf numFmtId="0" fontId="12" fillId="0" borderId="4" xfId="0" applyFont="1" applyBorder="1"/>
    <xf numFmtId="0" fontId="12" fillId="0" borderId="8" xfId="0" applyFont="1" applyBorder="1"/>
    <xf numFmtId="0" fontId="12" fillId="0" borderId="7" xfId="0" applyFont="1" applyBorder="1" applyAlignment="1">
      <alignment horizontal="center"/>
    </xf>
    <xf numFmtId="164" fontId="12" fillId="0" borderId="8" xfId="1" applyNumberFormat="1" applyFont="1" applyFill="1" applyBorder="1"/>
    <xf numFmtId="164" fontId="12" fillId="0" borderId="8" xfId="1" applyFont="1" applyBorder="1"/>
    <xf numFmtId="165" fontId="12" fillId="0" borderId="10" xfId="0" applyNumberFormat="1" applyFont="1" applyBorder="1"/>
    <xf numFmtId="165" fontId="8" fillId="0" borderId="3" xfId="0" applyNumberFormat="1" applyFont="1" applyFill="1" applyBorder="1"/>
    <xf numFmtId="165" fontId="8" fillId="0" borderId="2" xfId="0" applyNumberFormat="1" applyFont="1" applyFill="1" applyBorder="1"/>
    <xf numFmtId="165" fontId="8" fillId="0" borderId="3" xfId="0" applyNumberFormat="1" applyFont="1" applyBorder="1"/>
    <xf numFmtId="0" fontId="40" fillId="0" borderId="24" xfId="0" applyFont="1" applyFill="1" applyBorder="1" applyAlignment="1">
      <alignment horizontal="left" indent="2"/>
    </xf>
    <xf numFmtId="3" fontId="40" fillId="0" borderId="10" xfId="0" applyNumberFormat="1" applyFont="1" applyFill="1" applyBorder="1" applyAlignment="1">
      <alignment horizontal="right"/>
    </xf>
    <xf numFmtId="0" fontId="40" fillId="0" borderId="10" xfId="0" applyFont="1" applyFill="1" applyBorder="1"/>
    <xf numFmtId="0" fontId="40" fillId="0" borderId="35" xfId="0" applyFont="1" applyFill="1" applyBorder="1"/>
    <xf numFmtId="0" fontId="40" fillId="0" borderId="25" xfId="0" applyFont="1" applyFill="1" applyBorder="1" applyAlignment="1">
      <alignment horizontal="left" indent="2"/>
    </xf>
    <xf numFmtId="3" fontId="40" fillId="0" borderId="3" xfId="0" applyNumberFormat="1" applyFont="1" applyFill="1" applyBorder="1" applyAlignment="1">
      <alignment horizontal="right"/>
    </xf>
    <xf numFmtId="3" fontId="40" fillId="0" borderId="33" xfId="0" applyNumberFormat="1" applyFont="1" applyFill="1" applyBorder="1" applyAlignment="1">
      <alignment horizontal="right"/>
    </xf>
    <xf numFmtId="165" fontId="8" fillId="0" borderId="0" xfId="0" applyNumberFormat="1" applyFont="1"/>
    <xf numFmtId="0" fontId="40" fillId="0" borderId="3" xfId="0" applyFont="1" applyFill="1" applyBorder="1"/>
    <xf numFmtId="164" fontId="12" fillId="0" borderId="0" xfId="0" applyNumberFormat="1" applyFont="1"/>
    <xf numFmtId="0" fontId="41" fillId="0" borderId="27" xfId="0" applyFont="1" applyFill="1" applyBorder="1" applyAlignment="1">
      <alignment horizontal="right"/>
    </xf>
    <xf numFmtId="3" fontId="41" fillId="0" borderId="31" xfId="0" applyNumberFormat="1" applyFont="1" applyFill="1" applyBorder="1" applyAlignment="1">
      <alignment horizontal="right"/>
    </xf>
    <xf numFmtId="3" fontId="41" fillId="0" borderId="34" xfId="0" applyNumberFormat="1" applyFont="1" applyFill="1" applyBorder="1" applyAlignment="1">
      <alignment horizontal="right"/>
    </xf>
    <xf numFmtId="0" fontId="8" fillId="5" borderId="3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1" fontId="12" fillId="0" borderId="0" xfId="0" applyNumberFormat="1" applyFont="1"/>
    <xf numFmtId="0" fontId="12" fillId="0" borderId="33" xfId="0" applyFont="1" applyBorder="1"/>
    <xf numFmtId="3" fontId="12" fillId="0" borderId="0" xfId="0" applyNumberFormat="1" applyFont="1"/>
    <xf numFmtId="169" fontId="12" fillId="0" borderId="0" xfId="0" applyNumberFormat="1" applyFont="1"/>
    <xf numFmtId="0" fontId="43" fillId="0" borderId="17" xfId="0" applyFont="1" applyBorder="1" applyAlignment="1"/>
    <xf numFmtId="0" fontId="43" fillId="0" borderId="20" xfId="0" applyFont="1" applyBorder="1" applyAlignment="1"/>
    <xf numFmtId="0" fontId="38" fillId="0" borderId="3" xfId="0" applyFont="1" applyBorder="1" applyAlignment="1">
      <alignment horizontal="center" wrapText="1"/>
    </xf>
    <xf numFmtId="0" fontId="8" fillId="2" borderId="33" xfId="0" applyFont="1" applyFill="1" applyBorder="1" applyAlignment="1">
      <alignment horizontal="center"/>
    </xf>
    <xf numFmtId="0" fontId="12" fillId="3" borderId="27" xfId="0" applyFont="1" applyFill="1" applyBorder="1"/>
    <xf numFmtId="0" fontId="12" fillId="3" borderId="31" xfId="0" applyFont="1" applyFill="1" applyBorder="1"/>
    <xf numFmtId="164" fontId="12" fillId="3" borderId="32" xfId="1" applyFont="1" applyFill="1" applyBorder="1"/>
    <xf numFmtId="164" fontId="12" fillId="3" borderId="41" xfId="1" applyFont="1" applyFill="1" applyBorder="1"/>
    <xf numFmtId="1" fontId="45" fillId="0" borderId="0" xfId="0" applyNumberFormat="1" applyFont="1"/>
    <xf numFmtId="0" fontId="12" fillId="0" borderId="23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4" xfId="0" applyFont="1" applyFill="1" applyBorder="1"/>
    <xf numFmtId="180" fontId="12" fillId="0" borderId="10" xfId="5" applyNumberFormat="1" applyFont="1" applyFill="1" applyBorder="1"/>
    <xf numFmtId="165" fontId="12" fillId="0" borderId="35" xfId="5" applyNumberFormat="1" applyFont="1" applyFill="1" applyBorder="1"/>
    <xf numFmtId="180" fontId="12" fillId="0" borderId="3" xfId="5" applyNumberFormat="1" applyFont="1" applyFill="1" applyBorder="1"/>
    <xf numFmtId="165" fontId="12" fillId="0" borderId="33" xfId="5" applyNumberFormat="1" applyFont="1" applyFill="1" applyBorder="1"/>
    <xf numFmtId="0" fontId="12" fillId="0" borderId="49" xfId="0" applyFont="1" applyFill="1" applyBorder="1"/>
    <xf numFmtId="180" fontId="12" fillId="0" borderId="5" xfId="5" applyNumberFormat="1" applyFont="1" applyFill="1" applyBorder="1"/>
    <xf numFmtId="165" fontId="12" fillId="0" borderId="50" xfId="5" applyNumberFormat="1" applyFont="1" applyFill="1" applyBorder="1"/>
    <xf numFmtId="0" fontId="12" fillId="0" borderId="23" xfId="0" applyFont="1" applyFill="1" applyBorder="1"/>
    <xf numFmtId="180" fontId="12" fillId="0" borderId="16" xfId="5" applyNumberFormat="1" applyFont="1" applyFill="1" applyBorder="1"/>
    <xf numFmtId="165" fontId="12" fillId="0" borderId="15" xfId="5" applyNumberFormat="1" applyFont="1" applyFill="1" applyBorder="1"/>
    <xf numFmtId="0" fontId="8" fillId="0" borderId="0" xfId="0" applyFont="1" applyFill="1"/>
    <xf numFmtId="0" fontId="46" fillId="0" borderId="25" xfId="4" applyFont="1" applyFill="1" applyBorder="1" applyAlignment="1">
      <alignment horizontal="center" vertical="center" wrapText="1"/>
    </xf>
    <xf numFmtId="0" fontId="46" fillId="0" borderId="3" xfId="4" applyFont="1" applyFill="1" applyBorder="1" applyAlignment="1">
      <alignment horizontal="center" vertical="center" wrapText="1"/>
    </xf>
    <xf numFmtId="2" fontId="47" fillId="0" borderId="33" xfId="4" applyNumberFormat="1" applyFont="1" applyFill="1" applyBorder="1" applyAlignment="1">
      <alignment horizontal="center" vertical="center" wrapText="1"/>
    </xf>
    <xf numFmtId="0" fontId="47" fillId="0" borderId="25" xfId="4" applyFont="1" applyFill="1" applyBorder="1" applyAlignment="1">
      <alignment horizontal="center" vertical="center"/>
    </xf>
    <xf numFmtId="0" fontId="47" fillId="0" borderId="3" xfId="4" applyFont="1" applyFill="1" applyBorder="1" applyAlignment="1">
      <alignment horizontal="center" vertical="center"/>
    </xf>
    <xf numFmtId="165" fontId="47" fillId="0" borderId="33" xfId="5" applyNumberFormat="1" applyFont="1" applyFill="1" applyBorder="1" applyAlignment="1">
      <alignment horizontal="center" vertical="center"/>
    </xf>
    <xf numFmtId="0" fontId="46" fillId="0" borderId="3" xfId="4" applyFont="1" applyFill="1" applyBorder="1" applyAlignment="1">
      <alignment horizontal="center" vertical="center"/>
    </xf>
    <xf numFmtId="3" fontId="46" fillId="0" borderId="3" xfId="4" applyNumberFormat="1" applyFont="1" applyFill="1" applyBorder="1" applyAlignment="1">
      <alignment horizontal="center" vertical="center"/>
    </xf>
    <xf numFmtId="3" fontId="46" fillId="0" borderId="31" xfId="4" applyNumberFormat="1" applyFont="1" applyFill="1" applyBorder="1" applyAlignment="1">
      <alignment horizontal="center" vertical="center"/>
    </xf>
    <xf numFmtId="165" fontId="47" fillId="0" borderId="34" xfId="5" applyNumberFormat="1" applyFont="1" applyFill="1" applyBorder="1" applyAlignment="1">
      <alignment horizontal="center" vertical="center"/>
    </xf>
    <xf numFmtId="165" fontId="12" fillId="0" borderId="0" xfId="5" applyNumberFormat="1" applyFont="1" applyAlignment="1">
      <alignment horizontal="center" vertical="center"/>
    </xf>
    <xf numFmtId="165" fontId="12" fillId="0" borderId="0" xfId="5" applyNumberFormat="1" applyFont="1" applyFill="1" applyAlignment="1">
      <alignment horizontal="center" vertical="center"/>
    </xf>
    <xf numFmtId="165" fontId="12" fillId="0" borderId="0" xfId="5" applyNumberFormat="1" applyFont="1" applyFill="1" applyBorder="1"/>
    <xf numFmtId="9" fontId="12" fillId="0" borderId="0" xfId="6" applyFont="1" applyFill="1" applyAlignment="1">
      <alignment horizontal="center" vertical="center"/>
    </xf>
    <xf numFmtId="168" fontId="12" fillId="0" borderId="0" xfId="6" applyNumberFormat="1" applyFont="1" applyFill="1" applyBorder="1" applyAlignment="1">
      <alignment horizontal="center" vertical="center"/>
    </xf>
    <xf numFmtId="10" fontId="12" fillId="0" borderId="0" xfId="6" applyNumberFormat="1" applyFont="1" applyFill="1" applyBorder="1" applyAlignment="1">
      <alignment horizontal="center" vertical="center"/>
    </xf>
    <xf numFmtId="0" fontId="8" fillId="2" borderId="2" xfId="0" applyFont="1" applyFill="1" applyBorder="1"/>
    <xf numFmtId="2" fontId="12" fillId="0" borderId="5" xfId="0" applyNumberFormat="1" applyFont="1" applyBorder="1"/>
    <xf numFmtId="0" fontId="12" fillId="0" borderId="8" xfId="0" applyFont="1" applyBorder="1" applyAlignment="1">
      <alignment horizontal="center"/>
    </xf>
    <xf numFmtId="164" fontId="37" fillId="3" borderId="7" xfId="1" applyNumberFormat="1" applyFont="1" applyFill="1" applyBorder="1"/>
    <xf numFmtId="2" fontId="12" fillId="0" borderId="6" xfId="0" applyNumberFormat="1" applyFont="1" applyBorder="1"/>
    <xf numFmtId="10" fontId="8" fillId="0" borderId="1" xfId="3" applyNumberFormat="1" applyFont="1" applyBorder="1"/>
    <xf numFmtId="0" fontId="12" fillId="0" borderId="7" xfId="0" quotePrefix="1" applyFont="1" applyBorder="1" applyAlignment="1">
      <alignment horizontal="left"/>
    </xf>
    <xf numFmtId="165" fontId="37" fillId="3" borderId="7" xfId="1" applyNumberFormat="1" applyFont="1" applyFill="1" applyBorder="1"/>
    <xf numFmtId="3" fontId="12" fillId="0" borderId="8" xfId="0" applyNumberFormat="1" applyFont="1" applyBorder="1"/>
    <xf numFmtId="3" fontId="12" fillId="0" borderId="1" xfId="0" applyNumberFormat="1" applyFont="1" applyBorder="1"/>
    <xf numFmtId="0" fontId="12" fillId="0" borderId="9" xfId="0" applyFont="1" applyBorder="1"/>
    <xf numFmtId="0" fontId="12" fillId="0" borderId="10" xfId="0" applyFont="1" applyBorder="1" applyAlignment="1">
      <alignment horizontal="center"/>
    </xf>
    <xf numFmtId="10" fontId="8" fillId="0" borderId="13" xfId="3" applyNumberFormat="1" applyFont="1" applyBorder="1"/>
    <xf numFmtId="0" fontId="12" fillId="0" borderId="3" xfId="0" applyFont="1" applyBorder="1" applyAlignment="1">
      <alignment horizontal="center"/>
    </xf>
    <xf numFmtId="2" fontId="12" fillId="0" borderId="3" xfId="0" applyNumberFormat="1" applyFont="1" applyBorder="1"/>
    <xf numFmtId="3" fontId="12" fillId="0" borderId="3" xfId="0" applyNumberFormat="1" applyFont="1" applyBorder="1"/>
    <xf numFmtId="10" fontId="8" fillId="0" borderId="3" xfId="3" applyNumberFormat="1" applyFont="1" applyBorder="1"/>
    <xf numFmtId="2" fontId="12" fillId="0" borderId="0" xfId="0" applyNumberFormat="1" applyFont="1" applyBorder="1"/>
    <xf numFmtId="2" fontId="12" fillId="0" borderId="0" xfId="0" applyNumberFormat="1" applyFont="1" applyFill="1" applyBorder="1"/>
    <xf numFmtId="0" fontId="48" fillId="0" borderId="0" xfId="0" applyFont="1"/>
    <xf numFmtId="165" fontId="12" fillId="0" borderId="0" xfId="0" applyNumberFormat="1" applyFont="1" applyFill="1" applyBorder="1"/>
    <xf numFmtId="166" fontId="12" fillId="0" borderId="0" xfId="0" applyNumberFormat="1" applyFont="1" applyFill="1" applyBorder="1"/>
    <xf numFmtId="3" fontId="12" fillId="0" borderId="0" xfId="0" applyNumberFormat="1" applyFont="1" applyFill="1" applyBorder="1"/>
    <xf numFmtId="165" fontId="37" fillId="0" borderId="0" xfId="1" applyNumberFormat="1" applyFont="1" applyFill="1" applyBorder="1"/>
    <xf numFmtId="0" fontId="8" fillId="0" borderId="2" xfId="0" applyFont="1" applyFill="1" applyBorder="1"/>
    <xf numFmtId="0" fontId="25" fillId="0" borderId="2" xfId="0" applyFont="1" applyBorder="1"/>
    <xf numFmtId="0" fontId="31" fillId="0" borderId="3" xfId="0" applyFont="1" applyFill="1" applyBorder="1"/>
    <xf numFmtId="0" fontId="9" fillId="0" borderId="3" xfId="0" applyFont="1" applyBorder="1"/>
    <xf numFmtId="3" fontId="12" fillId="0" borderId="3" xfId="0" applyNumberFormat="1" applyFont="1" applyFill="1" applyBorder="1"/>
    <xf numFmtId="0" fontId="9" fillId="0" borderId="3" xfId="0" quotePrefix="1" applyFont="1" applyBorder="1" applyAlignment="1">
      <alignment horizontal="left"/>
    </xf>
    <xf numFmtId="2" fontId="9" fillId="0" borderId="3" xfId="0" applyNumberFormat="1" applyFont="1" applyBorder="1" applyAlignment="1">
      <alignment horizontal="center"/>
    </xf>
    <xf numFmtId="0" fontId="25" fillId="0" borderId="12" xfId="0" applyFont="1" applyBorder="1"/>
    <xf numFmtId="0" fontId="31" fillId="0" borderId="16" xfId="0" applyFont="1" applyFill="1" applyBorder="1"/>
    <xf numFmtId="4" fontId="31" fillId="0" borderId="16" xfId="0" applyNumberFormat="1" applyFont="1" applyFill="1" applyBorder="1"/>
    <xf numFmtId="4" fontId="31" fillId="0" borderId="15" xfId="0" applyNumberFormat="1" applyFont="1" applyFill="1" applyBorder="1"/>
    <xf numFmtId="4" fontId="12" fillId="0" borderId="0" xfId="0" applyNumberFormat="1" applyFont="1"/>
    <xf numFmtId="0" fontId="8" fillId="0" borderId="3" xfId="0" applyFont="1" applyFill="1" applyBorder="1"/>
    <xf numFmtId="0" fontId="12" fillId="0" borderId="12" xfId="0" applyFont="1" applyFill="1" applyBorder="1"/>
    <xf numFmtId="0" fontId="29" fillId="0" borderId="16" xfId="0" applyFont="1" applyFill="1" applyBorder="1"/>
    <xf numFmtId="4" fontId="29" fillId="0" borderId="16" xfId="0" applyNumberFormat="1" applyFont="1" applyFill="1" applyBorder="1"/>
    <xf numFmtId="4" fontId="29" fillId="0" borderId="15" xfId="0" applyNumberFormat="1" applyFont="1" applyFill="1" applyBorder="1"/>
    <xf numFmtId="0" fontId="31" fillId="0" borderId="12" xfId="0" applyFont="1" applyBorder="1"/>
    <xf numFmtId="0" fontId="12" fillId="0" borderId="55" xfId="0" applyFont="1" applyBorder="1"/>
    <xf numFmtId="0" fontId="12" fillId="0" borderId="26" xfId="0" applyFont="1" applyBorder="1"/>
    <xf numFmtId="0" fontId="36" fillId="0" borderId="20" xfId="0" applyFont="1" applyBorder="1" applyAlignment="1">
      <alignment horizontal="right"/>
    </xf>
    <xf numFmtId="0" fontId="36" fillId="0" borderId="26" xfId="0" applyFont="1" applyBorder="1"/>
    <xf numFmtId="0" fontId="36" fillId="0" borderId="51" xfId="0" applyFont="1" applyFill="1" applyBorder="1" applyAlignment="1">
      <alignment horizontal="right"/>
    </xf>
    <xf numFmtId="0" fontId="8" fillId="0" borderId="7" xfId="0" applyFont="1" applyBorder="1"/>
    <xf numFmtId="1" fontId="12" fillId="0" borderId="5" xfId="0" applyNumberFormat="1" applyFont="1" applyFill="1" applyBorder="1"/>
    <xf numFmtId="1" fontId="12" fillId="0" borderId="6" xfId="0" applyNumberFormat="1" applyFont="1" applyFill="1" applyBorder="1"/>
    <xf numFmtId="164" fontId="31" fillId="0" borderId="3" xfId="1" applyFont="1" applyBorder="1"/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10" fontId="9" fillId="0" borderId="36" xfId="3" applyNumberFormat="1" applyFont="1" applyFill="1" applyBorder="1" applyAlignment="1">
      <alignment horizontal="center" vertical="center"/>
    </xf>
    <xf numFmtId="174" fontId="9" fillId="0" borderId="37" xfId="3" applyNumberFormat="1" applyFont="1" applyFill="1" applyBorder="1" applyAlignment="1">
      <alignment horizontal="center" vertical="center"/>
    </xf>
    <xf numFmtId="10" fontId="9" fillId="0" borderId="37" xfId="3" applyNumberFormat="1" applyFont="1" applyFill="1" applyBorder="1" applyAlignment="1">
      <alignment horizontal="center" vertical="center"/>
    </xf>
    <xf numFmtId="10" fontId="10" fillId="0" borderId="37" xfId="3" applyNumberFormat="1" applyFont="1" applyFill="1" applyBorder="1" applyAlignment="1">
      <alignment horizontal="center" vertical="center"/>
    </xf>
    <xf numFmtId="9" fontId="9" fillId="0" borderId="37" xfId="3" applyNumberFormat="1" applyFont="1" applyFill="1" applyBorder="1" applyAlignment="1">
      <alignment horizontal="center" vertical="center"/>
    </xf>
    <xf numFmtId="10" fontId="10" fillId="0" borderId="38" xfId="3" applyNumberFormat="1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/>
    </xf>
    <xf numFmtId="0" fontId="31" fillId="2" borderId="42" xfId="0" applyFont="1" applyFill="1" applyBorder="1" applyAlignment="1">
      <alignment horizontal="center"/>
    </xf>
    <xf numFmtId="0" fontId="31" fillId="2" borderId="40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 vertical="justify"/>
    </xf>
    <xf numFmtId="0" fontId="8" fillId="6" borderId="39" xfId="0" applyFont="1" applyFill="1" applyBorder="1" applyAlignment="1">
      <alignment horizontal="center" vertical="justify"/>
    </xf>
    <xf numFmtId="0" fontId="25" fillId="2" borderId="19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9" fillId="0" borderId="0" xfId="0" applyFont="1" applyAlignment="1"/>
    <xf numFmtId="0" fontId="26" fillId="0" borderId="28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6" fillId="0" borderId="29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wrapText="1"/>
    </xf>
    <xf numFmtId="0" fontId="44" fillId="0" borderId="44" xfId="0" applyFont="1" applyBorder="1" applyAlignment="1">
      <alignment horizontal="center" wrapText="1"/>
    </xf>
    <xf numFmtId="0" fontId="44" fillId="0" borderId="45" xfId="0" applyFont="1" applyBorder="1" applyAlignment="1">
      <alignment horizontal="center" wrapText="1"/>
    </xf>
    <xf numFmtId="0" fontId="26" fillId="0" borderId="30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46" fillId="0" borderId="51" xfId="4" applyFont="1" applyFill="1" applyBorder="1" applyAlignment="1">
      <alignment horizontal="left" vertical="center"/>
    </xf>
    <xf numFmtId="0" fontId="46" fillId="0" borderId="52" xfId="4" applyFont="1" applyFill="1" applyBorder="1" applyAlignment="1">
      <alignment horizontal="left" vertical="center"/>
    </xf>
    <xf numFmtId="0" fontId="46" fillId="0" borderId="53" xfId="4" applyFont="1" applyFill="1" applyBorder="1" applyAlignment="1">
      <alignment horizontal="left" vertical="center"/>
    </xf>
    <xf numFmtId="0" fontId="8" fillId="0" borderId="4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6" fillId="0" borderId="26" xfId="4" applyFont="1" applyFill="1" applyBorder="1" applyAlignment="1">
      <alignment horizontal="left" vertical="center"/>
    </xf>
    <xf numFmtId="0" fontId="46" fillId="0" borderId="14" xfId="4" applyFont="1" applyFill="1" applyBorder="1" applyAlignment="1">
      <alignment horizontal="left" vertical="center"/>
    </xf>
    <xf numFmtId="0" fontId="46" fillId="0" borderId="22" xfId="4" applyFont="1" applyFill="1" applyBorder="1" applyAlignment="1">
      <alignment horizontal="left" vertical="center"/>
    </xf>
    <xf numFmtId="0" fontId="46" fillId="0" borderId="25" xfId="4" applyFont="1" applyFill="1" applyBorder="1" applyAlignment="1">
      <alignment horizontal="center" vertical="center"/>
    </xf>
    <xf numFmtId="0" fontId="46" fillId="0" borderId="3" xfId="4" applyFont="1" applyFill="1" applyBorder="1" applyAlignment="1">
      <alignment horizontal="center" vertical="center"/>
    </xf>
  </cellXfs>
  <cellStyles count="8">
    <cellStyle name="Millares" xfId="1" builtinId="3"/>
    <cellStyle name="Millares 2" xfId="5"/>
    <cellStyle name="Millares 2 2" xfId="7"/>
    <cellStyle name="Normal" xfId="0" builtinId="0"/>
    <cellStyle name="Normal 2" xfId="4"/>
    <cellStyle name="Normal_COyM_DDE_DOLAR_97-04_SANJUAN" xfId="2"/>
    <cellStyle name="Porcentual" xfId="3" builtinId="5"/>
    <cellStyle name="Porcentu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65"/>
  <sheetViews>
    <sheetView tabSelected="1" topLeftCell="A31" zoomScaleNormal="100" workbookViewId="0">
      <selection activeCell="B35" sqref="B35:D35"/>
    </sheetView>
  </sheetViews>
  <sheetFormatPr baseColWidth="10" defaultRowHeight="12.75"/>
  <cols>
    <col min="1" max="1" width="4.5703125" style="3" customWidth="1"/>
    <col min="2" max="2" width="63" style="3" bestFit="1" customWidth="1"/>
    <col min="3" max="3" width="18.140625" style="3" customWidth="1"/>
    <col min="4" max="4" width="28.5703125" style="3" customWidth="1"/>
    <col min="5" max="5" width="22" style="3" customWidth="1"/>
    <col min="6" max="6" width="17.140625" style="3" customWidth="1"/>
    <col min="7" max="7" width="20.42578125" style="3" customWidth="1"/>
    <col min="8" max="8" width="20.5703125" style="3" customWidth="1"/>
    <col min="9" max="9" width="17.140625" style="3" bestFit="1" customWidth="1"/>
    <col min="10" max="10" width="15.28515625" style="3" hidden="1" customWidth="1"/>
    <col min="11" max="11" width="22.42578125" style="3" customWidth="1"/>
    <col min="12" max="13" width="17.140625" style="3" bestFit="1" customWidth="1"/>
    <col min="14" max="14" width="16.7109375" style="3" customWidth="1"/>
    <col min="15" max="16" width="17.140625" style="3" bestFit="1" customWidth="1"/>
    <col min="17" max="16384" width="11.42578125" style="3"/>
  </cols>
  <sheetData>
    <row r="1" spans="2:6" ht="23.25">
      <c r="B1" s="79" t="s">
        <v>149</v>
      </c>
      <c r="C1" s="80"/>
    </row>
    <row r="3" spans="2:6" ht="23.25">
      <c r="B3" s="79" t="s">
        <v>129</v>
      </c>
    </row>
    <row r="5" spans="2:6" ht="15.75">
      <c r="B5" s="81"/>
    </row>
    <row r="6" spans="2:6" ht="15.75">
      <c r="B6" s="82" t="s">
        <v>88</v>
      </c>
    </row>
    <row r="8" spans="2:6">
      <c r="B8" s="83"/>
      <c r="C8" s="1" t="s">
        <v>143</v>
      </c>
      <c r="D8" s="1" t="s">
        <v>144</v>
      </c>
      <c r="E8" s="1" t="s">
        <v>145</v>
      </c>
      <c r="F8" s="1" t="s">
        <v>146</v>
      </c>
    </row>
    <row r="9" spans="2:6">
      <c r="B9" s="84"/>
      <c r="C9" s="85"/>
      <c r="D9" s="85"/>
      <c r="E9" s="85"/>
      <c r="F9" s="85"/>
    </row>
    <row r="10" spans="2:6">
      <c r="B10" s="59" t="s">
        <v>36</v>
      </c>
      <c r="C10" s="86">
        <f>+IMPD!D15</f>
        <v>65228.082883842726</v>
      </c>
      <c r="D10" s="86">
        <f>+IMPD!E15</f>
        <v>72927.6904877013</v>
      </c>
      <c r="E10" s="86">
        <f>+IMPD!F15</f>
        <v>79709.845046350878</v>
      </c>
      <c r="F10" s="86">
        <f>+IMPD!G15</f>
        <v>85405.160178623759</v>
      </c>
    </row>
    <row r="11" spans="2:6">
      <c r="B11" s="59" t="s">
        <v>18</v>
      </c>
      <c r="C11" s="86">
        <f>+IMPCO!D14</f>
        <v>27651.271966786149</v>
      </c>
      <c r="D11" s="86">
        <f>+IMPCO!E14</f>
        <v>28760.272676252131</v>
      </c>
      <c r="E11" s="86">
        <f>+IMPCO!F14</f>
        <v>29695.824321245949</v>
      </c>
      <c r="F11" s="86">
        <f>+IMPCO!G14</f>
        <v>30591.71431383973</v>
      </c>
    </row>
    <row r="12" spans="2:6">
      <c r="B12" s="59" t="s">
        <v>16</v>
      </c>
      <c r="C12" s="86">
        <f>+ALUMPU!D14</f>
        <v>2858.7471991947427</v>
      </c>
      <c r="D12" s="86">
        <f>+ALUMPU!E14</f>
        <v>3152.8092073693597</v>
      </c>
      <c r="E12" s="86">
        <f>+ALUMPU!F14</f>
        <v>3287.1128553652125</v>
      </c>
      <c r="F12" s="86">
        <f>+ALUMPU!G14</f>
        <v>3337.5492462260436</v>
      </c>
    </row>
    <row r="13" spans="2:6">
      <c r="B13" s="59" t="s">
        <v>13</v>
      </c>
      <c r="C13" s="86">
        <f>+IMPD!D19</f>
        <v>53267.884336223571</v>
      </c>
      <c r="D13" s="86">
        <f>+IMPD!E19</f>
        <v>54219.770418817781</v>
      </c>
      <c r="E13" s="86">
        <f>+IMPD!F19</f>
        <v>56916.639550265521</v>
      </c>
      <c r="F13" s="86">
        <f>+IMPD!G19</f>
        <v>58185.507542852407</v>
      </c>
    </row>
    <row r="14" spans="2:6">
      <c r="B14" s="59" t="s">
        <v>388</v>
      </c>
      <c r="C14" s="86">
        <f>-27319196.9749464/1000</f>
        <v>-27319.196974946397</v>
      </c>
      <c r="D14" s="86"/>
      <c r="E14" s="86"/>
      <c r="F14" s="86"/>
    </row>
    <row r="15" spans="2:6">
      <c r="B15" s="59"/>
      <c r="C15" s="87"/>
      <c r="D15" s="87"/>
      <c r="E15" s="87"/>
      <c r="F15" s="87"/>
    </row>
    <row r="16" spans="2:6" ht="21">
      <c r="B16" s="88" t="s">
        <v>19</v>
      </c>
      <c r="C16" s="89">
        <f>+C10+C13+C11+C12+C14</f>
        <v>121686.78941110079</v>
      </c>
      <c r="D16" s="89">
        <f>+D10+D13+D11+D12+D15</f>
        <v>159060.54279014058</v>
      </c>
      <c r="E16" s="89">
        <f>+E10+E13+E11+E12+E15</f>
        <v>169609.42177322757</v>
      </c>
      <c r="F16" s="89">
        <f>+F10+F13+F11+F12+F15</f>
        <v>177519.93128154194</v>
      </c>
    </row>
    <row r="17" spans="1:7" ht="21">
      <c r="B17" s="90"/>
      <c r="C17" s="91"/>
      <c r="D17" s="91"/>
      <c r="E17" s="91"/>
      <c r="F17" s="91"/>
    </row>
    <row r="18" spans="1:7">
      <c r="B18" s="92" t="s">
        <v>79</v>
      </c>
      <c r="C18" s="93">
        <f>1/(1+RETORNO!G9)</f>
        <v>0.91253364967833195</v>
      </c>
      <c r="D18" s="94">
        <f>1/(1+RETORNO!G9)*1/(1+RETORNO!G9)</f>
        <v>0.83271766179525664</v>
      </c>
      <c r="E18" s="94">
        <f>1/(1+RETORNO!G9)*1/(1+RETORNO!G9)*1/(1+RETORNO!G9)</f>
        <v>0.75988288706963236</v>
      </c>
      <c r="F18" s="94">
        <f>1/(1+RETORNO!G9)*1/(1+RETORNO!G9)*1/(1+RETORNO!G9)*1/(1+RETORNO!G9)</f>
        <v>0.69341870426575936</v>
      </c>
      <c r="G18" s="95"/>
    </row>
    <row r="19" spans="1:7">
      <c r="B19" s="96" t="s">
        <v>80</v>
      </c>
      <c r="C19" s="97">
        <f>+(1+C18)/2</f>
        <v>0.95626682483916592</v>
      </c>
      <c r="D19" s="97">
        <f>+(C18+D18)/2</f>
        <v>0.87262565573679429</v>
      </c>
      <c r="E19" s="97">
        <f>+(D18+E18)/2</f>
        <v>0.79630027443244455</v>
      </c>
      <c r="F19" s="97">
        <f>+(E18+F18)/2</f>
        <v>0.72665079566769586</v>
      </c>
      <c r="G19" s="95"/>
    </row>
    <row r="20" spans="1:7">
      <c r="D20" s="98"/>
      <c r="E20" s="98"/>
      <c r="F20" s="98"/>
      <c r="G20" s="95"/>
    </row>
    <row r="21" spans="1:7">
      <c r="B21" s="99" t="s">
        <v>77</v>
      </c>
      <c r="C21" s="100"/>
      <c r="D21" s="101"/>
      <c r="E21" s="101"/>
      <c r="F21" s="102"/>
      <c r="G21" s="95"/>
    </row>
    <row r="22" spans="1:7">
      <c r="B22" s="301"/>
      <c r="C22" s="186"/>
      <c r="D22" s="302"/>
      <c r="E22" s="302"/>
      <c r="F22" s="303"/>
      <c r="G22" s="95"/>
    </row>
    <row r="23" spans="1:7">
      <c r="A23" s="3" t="s">
        <v>78</v>
      </c>
      <c r="B23" s="59" t="s">
        <v>36</v>
      </c>
      <c r="C23" s="60">
        <f>+(C10+$C$14/SUM($C$10:$C$13)*C10)*C$19</f>
        <v>50939.35244288043</v>
      </c>
      <c r="D23" s="60">
        <f t="shared" ref="D23:F26" si="0">+D10*D$19</f>
        <v>63638.573733200319</v>
      </c>
      <c r="E23" s="60">
        <f t="shared" si="0"/>
        <v>63472.971485376838</v>
      </c>
      <c r="F23" s="60">
        <f t="shared" si="0"/>
        <v>62059.727597923971</v>
      </c>
      <c r="G23" s="98"/>
    </row>
    <row r="24" spans="1:7">
      <c r="B24" s="59" t="s">
        <v>18</v>
      </c>
      <c r="C24" s="60">
        <f>+(C11+$C$14/SUM($C$10:$C$13)*C11)*C$19</f>
        <v>21594.040878349348</v>
      </c>
      <c r="D24" s="60">
        <f t="shared" si="0"/>
        <v>25096.951803283522</v>
      </c>
      <c r="E24" s="60">
        <f t="shared" si="0"/>
        <v>23646.793056505812</v>
      </c>
      <c r="F24" s="60">
        <f t="shared" si="0"/>
        <v>22229.493546990481</v>
      </c>
      <c r="G24" s="95"/>
    </row>
    <row r="25" spans="1:7">
      <c r="B25" s="59" t="s">
        <v>16</v>
      </c>
      <c r="C25" s="60">
        <f>+(C12+$C$14/SUM($C$10:$C$13)*C12)*C$19</f>
        <v>2232.515884058731</v>
      </c>
      <c r="D25" s="60">
        <f t="shared" si="0"/>
        <v>2751.2222019936903</v>
      </c>
      <c r="E25" s="60">
        <f t="shared" si="0"/>
        <v>2617.5288688177352</v>
      </c>
      <c r="F25" s="60">
        <f t="shared" si="0"/>
        <v>2425.2328153502731</v>
      </c>
      <c r="G25" s="95"/>
    </row>
    <row r="26" spans="1:7">
      <c r="B26" s="59" t="s">
        <v>13</v>
      </c>
      <c r="C26" s="60">
        <f>+(C13+$C$14/SUM($C$10:$C$13)*C13)*C$19</f>
        <v>41599.130529737085</v>
      </c>
      <c r="D26" s="60">
        <f t="shared" si="0"/>
        <v>47313.562715619308</v>
      </c>
      <c r="E26" s="60">
        <f t="shared" si="0"/>
        <v>45322.73569364896</v>
      </c>
      <c r="F26" s="60">
        <f t="shared" si="0"/>
        <v>42280.545352342422</v>
      </c>
      <c r="G26" s="95"/>
    </row>
    <row r="27" spans="1:7">
      <c r="B27" s="103"/>
      <c r="C27" s="104"/>
      <c r="D27" s="104"/>
      <c r="E27" s="104"/>
      <c r="F27" s="104"/>
      <c r="G27" s="95"/>
    </row>
    <row r="28" spans="1:7" ht="21">
      <c r="B28" s="88" t="s">
        <v>19</v>
      </c>
      <c r="C28" s="304">
        <f>SUM(C23:C27)</f>
        <v>116365.0397350256</v>
      </c>
      <c r="D28" s="304">
        <f>SUM(D23:D27)</f>
        <v>138800.31045409682</v>
      </c>
      <c r="E28" s="304">
        <f>SUM(E23:E27)</f>
        <v>135060.02910434935</v>
      </c>
      <c r="F28" s="304">
        <f>SUM(F23:F27)</f>
        <v>128994.99931260715</v>
      </c>
      <c r="G28" s="95"/>
    </row>
    <row r="29" spans="1:7">
      <c r="D29" s="98"/>
      <c r="E29" s="98"/>
      <c r="F29" s="98"/>
      <c r="G29" s="95"/>
    </row>
    <row r="30" spans="1:7">
      <c r="B30" s="100" t="s">
        <v>123</v>
      </c>
      <c r="C30" s="105">
        <f>C19*DEMANDA!E7</f>
        <v>3306403.3906695736</v>
      </c>
      <c r="D30" s="105">
        <f>D19*DEMANDA!F7</f>
        <v>3155189.0167652471</v>
      </c>
      <c r="E30" s="105">
        <f>E19*DEMANDA!G7</f>
        <v>2993591.5866133198</v>
      </c>
      <c r="F30" s="105">
        <f>F19*DEMANDA!H7</f>
        <v>2840753.5913377716</v>
      </c>
      <c r="G30" s="106">
        <f>SUM(C30:F30)</f>
        <v>12295937.585385913</v>
      </c>
    </row>
    <row r="33" spans="2:10" ht="15.75">
      <c r="B33" s="82"/>
    </row>
    <row r="34" spans="2:10" ht="13.5" thickBot="1"/>
    <row r="35" spans="2:10" ht="21.75" thickBot="1">
      <c r="B35" s="314" t="s">
        <v>130</v>
      </c>
      <c r="C35" s="315"/>
      <c r="D35" s="316"/>
    </row>
    <row r="36" spans="2:10" ht="20.25" customHeight="1" thickBot="1">
      <c r="B36" s="107"/>
      <c r="C36" s="319" t="s">
        <v>65</v>
      </c>
      <c r="D36" s="319" t="s">
        <v>148</v>
      </c>
      <c r="F36" s="317" t="s">
        <v>147</v>
      </c>
      <c r="J36" s="3" t="s">
        <v>64</v>
      </c>
    </row>
    <row r="37" spans="2:10" ht="21.75" thickBot="1">
      <c r="B37" s="108"/>
      <c r="C37" s="320"/>
      <c r="D37" s="320"/>
      <c r="F37" s="318"/>
      <c r="G37" s="109" t="s">
        <v>112</v>
      </c>
      <c r="H37" s="110"/>
      <c r="I37" s="110"/>
      <c r="J37" s="3" t="s">
        <v>110</v>
      </c>
    </row>
    <row r="38" spans="2:10" ht="21" customHeight="1" thickBot="1">
      <c r="B38" s="111"/>
      <c r="C38" s="42"/>
      <c r="D38" s="42"/>
      <c r="F38" s="112"/>
      <c r="G38" s="113"/>
      <c r="H38" s="110"/>
      <c r="I38" s="110"/>
    </row>
    <row r="39" spans="2:10" ht="21">
      <c r="B39" s="114" t="s">
        <v>23</v>
      </c>
      <c r="C39" s="115" t="s">
        <v>132</v>
      </c>
      <c r="D39" s="116">
        <f>+C23+D23+E23+F23</f>
        <v>240110.62525938157</v>
      </c>
      <c r="F39" s="112"/>
      <c r="G39" s="113"/>
      <c r="H39" s="117"/>
      <c r="I39" s="110"/>
      <c r="J39" s="118">
        <v>225111.94570124557</v>
      </c>
    </row>
    <row r="40" spans="2:10" ht="21">
      <c r="B40" s="114" t="s">
        <v>9</v>
      </c>
      <c r="C40" s="115" t="s">
        <v>132</v>
      </c>
      <c r="D40" s="116">
        <f>+C24+D24+E24+F24</f>
        <v>92567.27928512916</v>
      </c>
      <c r="F40" s="112"/>
      <c r="G40" s="113"/>
      <c r="H40" s="117"/>
      <c r="I40" s="110"/>
      <c r="J40" s="119">
        <v>80643.461822142766</v>
      </c>
    </row>
    <row r="41" spans="2:10" ht="21">
      <c r="B41" s="114" t="s">
        <v>10</v>
      </c>
      <c r="C41" s="115" t="s">
        <v>132</v>
      </c>
      <c r="D41" s="116">
        <f>+C25+D25+E25+F25</f>
        <v>10026.499770220429</v>
      </c>
      <c r="F41" s="112"/>
      <c r="G41" s="113"/>
      <c r="H41" s="117"/>
      <c r="I41" s="110"/>
      <c r="J41" s="119">
        <v>7923.8430994586652</v>
      </c>
    </row>
    <row r="42" spans="2:10" ht="21">
      <c r="B42" s="114" t="s">
        <v>131</v>
      </c>
      <c r="C42" s="115" t="s">
        <v>132</v>
      </c>
      <c r="D42" s="116">
        <f>SUM(D39:D41)</f>
        <v>342704.40431473119</v>
      </c>
      <c r="F42" s="112"/>
      <c r="G42" s="113"/>
      <c r="H42" s="117"/>
      <c r="I42" s="110"/>
      <c r="J42" s="119"/>
    </row>
    <row r="43" spans="2:10" ht="21.75" thickBot="1">
      <c r="B43" s="114" t="s">
        <v>81</v>
      </c>
      <c r="C43" s="115" t="s">
        <v>132</v>
      </c>
      <c r="D43" s="116">
        <f>+C26+D26+E26+F26</f>
        <v>176515.97429134778</v>
      </c>
      <c r="F43" s="112"/>
      <c r="G43" s="113"/>
      <c r="H43" s="117"/>
      <c r="I43" s="110"/>
      <c r="J43" s="119">
        <v>100703.09025605043</v>
      </c>
    </row>
    <row r="44" spans="2:10" ht="21.75" thickBot="1">
      <c r="B44" s="120" t="s">
        <v>26</v>
      </c>
      <c r="C44" s="121" t="s">
        <v>132</v>
      </c>
      <c r="D44" s="122">
        <f>SUM(D39:D41)+D43</f>
        <v>519220.37860607897</v>
      </c>
      <c r="F44" s="112"/>
      <c r="G44" s="113"/>
      <c r="H44" s="117"/>
      <c r="I44" s="110"/>
      <c r="J44" s="119">
        <v>414382.34087889746</v>
      </c>
    </row>
    <row r="45" spans="2:10" ht="21.75" thickBot="1">
      <c r="B45" s="114" t="s">
        <v>141</v>
      </c>
      <c r="C45" s="115" t="s">
        <v>11</v>
      </c>
      <c r="D45" s="123">
        <f>+C30+D30+E30+F30</f>
        <v>12295937.585385913</v>
      </c>
      <c r="F45" s="112"/>
      <c r="G45" s="113"/>
      <c r="H45" s="110"/>
      <c r="I45" s="110"/>
      <c r="J45" s="124">
        <v>10643214.090501245</v>
      </c>
    </row>
    <row r="46" spans="2:10" ht="21.75" thickBot="1">
      <c r="B46" s="125" t="s">
        <v>133</v>
      </c>
      <c r="C46" s="126" t="s">
        <v>89</v>
      </c>
      <c r="D46" s="127">
        <f>D44/G30*1000</f>
        <v>42.226985538962708</v>
      </c>
      <c r="F46" s="128">
        <v>55.96</v>
      </c>
      <c r="G46" s="129">
        <f>(D46-F46)/F46</f>
        <v>-0.24540769229873646</v>
      </c>
      <c r="H46" s="110"/>
      <c r="I46" s="110"/>
      <c r="J46" s="130">
        <v>39.593937750614408</v>
      </c>
    </row>
    <row r="47" spans="2:10" ht="21.75" thickBot="1">
      <c r="B47" s="125" t="s">
        <v>134</v>
      </c>
      <c r="C47" s="126" t="s">
        <v>89</v>
      </c>
      <c r="D47" s="127">
        <f>(D44-D43)/G30*1000</f>
        <v>27.871351975797726</v>
      </c>
      <c r="F47" s="128">
        <v>41.31</v>
      </c>
      <c r="G47" s="131">
        <f>(D47-F47)/F47</f>
        <v>-0.32531222522881326</v>
      </c>
      <c r="H47" s="110"/>
      <c r="I47" s="110"/>
      <c r="J47" s="132">
        <v>29.971829148120101</v>
      </c>
    </row>
    <row r="48" spans="2:10" ht="18.75">
      <c r="D48" s="133"/>
      <c r="H48" s="110"/>
      <c r="I48" s="110"/>
      <c r="J48" s="110"/>
    </row>
    <row r="50" spans="2:8" hidden="1">
      <c r="B50" s="134"/>
    </row>
    <row r="51" spans="2:8" ht="26.25" hidden="1">
      <c r="B51" s="134"/>
      <c r="D51" s="135"/>
    </row>
    <row r="52" spans="2:8" ht="45" hidden="1">
      <c r="C52" s="136" t="s">
        <v>125</v>
      </c>
      <c r="H52" s="3" t="s">
        <v>127</v>
      </c>
    </row>
    <row r="53" spans="2:8" ht="15.75" hidden="1">
      <c r="C53" s="137" t="s">
        <v>127</v>
      </c>
      <c r="H53" s="3" t="s">
        <v>126</v>
      </c>
    </row>
    <row r="65" spans="2:2" ht="15.75">
      <c r="B65" s="82"/>
    </row>
  </sheetData>
  <sheetProtection password="CCC5" sheet="1" objects="1" scenarios="1"/>
  <mergeCells count="4">
    <mergeCell ref="B35:D35"/>
    <mergeCell ref="F36:F37"/>
    <mergeCell ref="D36:D37"/>
    <mergeCell ref="C36:C37"/>
  </mergeCells>
  <phoneticPr fontId="0" type="noConversion"/>
  <dataValidations count="1">
    <dataValidation type="list" allowBlank="1" showInputMessage="1" showErrorMessage="1" sqref="C53">
      <formula1>$H$52:$H$53</formula1>
    </dataValidation>
  </dataValidations>
  <pageMargins left="0.74803149606299213" right="0.74803149606299213" top="0.98425196850393704" bottom="0.98425196850393704" header="0" footer="0"/>
  <pageSetup scale="67" orientation="landscape" horizontalDpi="300" verticalDpi="30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G44"/>
  <sheetViews>
    <sheetView zoomScale="75" workbookViewId="0">
      <selection activeCell="C7" sqref="C7:D20"/>
    </sheetView>
  </sheetViews>
  <sheetFormatPr baseColWidth="10" defaultRowHeight="12.75"/>
  <cols>
    <col min="1" max="1" width="11.42578125" style="3"/>
    <col min="2" max="2" width="52.85546875" style="3" customWidth="1"/>
    <col min="3" max="5" width="11.42578125" style="3"/>
    <col min="6" max="6" width="33.7109375" style="3" bestFit="1" customWidth="1"/>
    <col min="7" max="16384" width="11.42578125" style="3"/>
  </cols>
  <sheetData>
    <row r="2" spans="2:7" ht="18.75">
      <c r="B2" s="138"/>
    </row>
    <row r="3" spans="2:7" ht="19.5" thickBot="1">
      <c r="B3" s="139" t="s">
        <v>149</v>
      </c>
    </row>
    <row r="4" spans="2:7" ht="13.5" thickBot="1">
      <c r="B4" s="140" t="s">
        <v>50</v>
      </c>
    </row>
    <row r="5" spans="2:7" ht="16.5" thickBot="1">
      <c r="C5" s="141"/>
      <c r="F5" s="81" t="s">
        <v>50</v>
      </c>
    </row>
    <row r="6" spans="2:7" ht="13.5" thickBot="1">
      <c r="B6" s="142" t="s">
        <v>91</v>
      </c>
      <c r="C6" s="143" t="s">
        <v>92</v>
      </c>
      <c r="D6" s="143" t="s">
        <v>92</v>
      </c>
    </row>
    <row r="7" spans="2:7" ht="15">
      <c r="B7" s="296" t="s">
        <v>93</v>
      </c>
      <c r="C7" s="308">
        <v>3.585E-2</v>
      </c>
      <c r="D7" s="308">
        <f>+C7</f>
        <v>3.585E-2</v>
      </c>
      <c r="F7" s="144" t="s">
        <v>109</v>
      </c>
    </row>
    <row r="8" spans="2:7" ht="15.75" thickBot="1">
      <c r="B8" s="297" t="s">
        <v>94</v>
      </c>
      <c r="C8" s="309">
        <v>0.70556234718826394</v>
      </c>
      <c r="D8" s="309">
        <v>0.7272045559994742</v>
      </c>
    </row>
    <row r="9" spans="2:7" ht="15.75" thickBot="1">
      <c r="B9" s="297" t="s">
        <v>95</v>
      </c>
      <c r="C9" s="310">
        <v>6.7000000000000004E-2</v>
      </c>
      <c r="D9" s="310">
        <v>4.1826829268292703E-2</v>
      </c>
      <c r="F9" s="146" t="s">
        <v>25</v>
      </c>
      <c r="G9" s="2">
        <v>9.5850000000000005E-2</v>
      </c>
    </row>
    <row r="10" spans="2:7" ht="15">
      <c r="B10" s="297" t="s">
        <v>96</v>
      </c>
      <c r="C10" s="311">
        <v>1.9357642104272502E-2</v>
      </c>
      <c r="D10" s="311">
        <f>+C10</f>
        <v>1.9357642104272502E-2</v>
      </c>
    </row>
    <row r="11" spans="2:7" ht="15">
      <c r="B11" s="298" t="s">
        <v>97</v>
      </c>
      <c r="C11" s="311">
        <f>+C7+C8*C9+C10</f>
        <v>0.10248031936588618</v>
      </c>
      <c r="D11" s="311">
        <f>+D7+D8*D9+D10</f>
        <v>8.5624302911187111E-2</v>
      </c>
      <c r="F11" s="144" t="s">
        <v>75</v>
      </c>
    </row>
    <row r="12" spans="2:7" ht="15.75" thickBot="1">
      <c r="B12" s="299" t="s">
        <v>98</v>
      </c>
      <c r="C12" s="310">
        <v>7.5200000000000003E-2</v>
      </c>
      <c r="D12" s="310">
        <v>6.0699999999999997E-2</v>
      </c>
    </row>
    <row r="13" spans="2:7" ht="15.75" thickBot="1">
      <c r="B13" s="299" t="s">
        <v>99</v>
      </c>
      <c r="C13" s="311">
        <f>C12*0.7</f>
        <v>5.2639999999999999E-2</v>
      </c>
      <c r="D13" s="311">
        <f>D12*0.7</f>
        <v>4.2489999999999993E-2</v>
      </c>
      <c r="F13" s="146" t="s">
        <v>25</v>
      </c>
      <c r="G13" s="2">
        <f>C20</f>
        <v>8.7314240523189257E-2</v>
      </c>
    </row>
    <row r="14" spans="2:7" ht="15.75" thickBot="1">
      <c r="B14" s="297" t="s">
        <v>100</v>
      </c>
      <c r="C14" s="312">
        <v>0.5</v>
      </c>
      <c r="D14" s="312">
        <v>0.56600000000000006</v>
      </c>
      <c r="F14" s="146" t="s">
        <v>25</v>
      </c>
      <c r="G14" s="2">
        <f>+D20</f>
        <v>6.2933786250314205E-2</v>
      </c>
    </row>
    <row r="15" spans="2:7" ht="15">
      <c r="B15" s="297" t="s">
        <v>101</v>
      </c>
      <c r="C15" s="312">
        <f>1-C14</f>
        <v>0.5</v>
      </c>
      <c r="D15" s="312">
        <f>1-D14</f>
        <v>0.43399999999999994</v>
      </c>
    </row>
    <row r="16" spans="2:7" ht="15">
      <c r="B16" s="147" t="s">
        <v>102</v>
      </c>
      <c r="C16" s="311">
        <f>+C11*C15+C13*C14</f>
        <v>7.7560159682943094E-2</v>
      </c>
      <c r="D16" s="311">
        <f>+D11*D15+D13*D14</f>
        <v>6.1210287463455207E-2</v>
      </c>
    </row>
    <row r="17" spans="2:4" ht="15">
      <c r="B17" s="147" t="s">
        <v>103</v>
      </c>
      <c r="C17" s="311">
        <f>+C16/0.7</f>
        <v>0.11080022811849015</v>
      </c>
      <c r="D17" s="311">
        <f>+D16/0.7</f>
        <v>8.7443267804936012E-2</v>
      </c>
    </row>
    <row r="18" spans="2:4" ht="15">
      <c r="B18" s="297" t="s">
        <v>104</v>
      </c>
      <c r="C18" s="310">
        <v>2.1600000000000001E-2</v>
      </c>
      <c r="D18" s="310">
        <v>2.3058333333333299E-2</v>
      </c>
    </row>
    <row r="19" spans="2:4" ht="15">
      <c r="B19" s="147" t="s">
        <v>105</v>
      </c>
      <c r="C19" s="311">
        <f>+(C16-C18)/(1+C18)</f>
        <v>5.4776976980171387E-2</v>
      </c>
      <c r="D19" s="311">
        <f>+(D16-D18)/(1+D18)</f>
        <v>3.7292061348852941E-2</v>
      </c>
    </row>
    <row r="20" spans="2:4" ht="15.75" thickBot="1">
      <c r="B20" s="300" t="s">
        <v>106</v>
      </c>
      <c r="C20" s="313">
        <f>+(C17-C18)/(1+C18)</f>
        <v>8.7314240523189257E-2</v>
      </c>
      <c r="D20" s="313">
        <f>+(D17-D18)/(1+D18)</f>
        <v>6.2933786250314205E-2</v>
      </c>
    </row>
    <row r="21" spans="2:4">
      <c r="B21" s="148"/>
      <c r="C21" s="148"/>
    </row>
    <row r="22" spans="2:4">
      <c r="B22" s="148"/>
      <c r="C22" s="148"/>
    </row>
    <row r="23" spans="2:4">
      <c r="B23" s="148"/>
      <c r="C23" s="148"/>
    </row>
    <row r="24" spans="2:4">
      <c r="B24" s="148"/>
      <c r="C24" s="148"/>
    </row>
    <row r="25" spans="2:4">
      <c r="B25" s="148"/>
      <c r="C25" s="148"/>
    </row>
    <row r="26" spans="2:4">
      <c r="B26" s="148"/>
      <c r="C26" s="148"/>
    </row>
    <row r="27" spans="2:4">
      <c r="B27" s="148"/>
      <c r="C27" s="148"/>
    </row>
    <row r="28" spans="2:4">
      <c r="B28" s="148"/>
      <c r="C28" s="148"/>
    </row>
    <row r="29" spans="2:4">
      <c r="B29" s="148"/>
      <c r="C29" s="148"/>
    </row>
    <row r="30" spans="2:4">
      <c r="B30" s="148"/>
      <c r="C30" s="148"/>
    </row>
    <row r="31" spans="2:4">
      <c r="B31" s="148"/>
      <c r="C31" s="148"/>
    </row>
    <row r="32" spans="2:4">
      <c r="B32" s="148"/>
      <c r="C32" s="148"/>
    </row>
    <row r="33" spans="2:3">
      <c r="B33" s="148"/>
      <c r="C33" s="148"/>
    </row>
    <row r="34" spans="2:3">
      <c r="B34" s="148"/>
      <c r="C34" s="148"/>
    </row>
    <row r="35" spans="2:3">
      <c r="B35" s="148"/>
      <c r="C35" s="148"/>
    </row>
    <row r="36" spans="2:3">
      <c r="B36" s="148"/>
      <c r="C36" s="148"/>
    </row>
    <row r="37" spans="2:3">
      <c r="B37" s="148"/>
      <c r="C37" s="148"/>
    </row>
    <row r="38" spans="2:3">
      <c r="B38" s="148"/>
      <c r="C38" s="148"/>
    </row>
    <row r="39" spans="2:3">
      <c r="B39" s="148"/>
      <c r="C39" s="148"/>
    </row>
    <row r="40" spans="2:3">
      <c r="B40" s="148"/>
      <c r="C40" s="148"/>
    </row>
    <row r="41" spans="2:3">
      <c r="B41" s="148"/>
      <c r="C41" s="148"/>
    </row>
    <row r="42" spans="2:3">
      <c r="B42" s="148"/>
      <c r="C42" s="148"/>
    </row>
    <row r="43" spans="2:3">
      <c r="B43" s="148"/>
      <c r="C43" s="148"/>
    </row>
    <row r="44" spans="2:3">
      <c r="B44" s="148"/>
      <c r="C44" s="148"/>
    </row>
  </sheetData>
  <sheetProtection password="CCC5" sheet="1" objects="1" scenarios="1"/>
  <phoneticPr fontId="0" type="noConversion"/>
  <pageMargins left="0.74803149606299213" right="0.74803149606299213" top="0.98425196850393704" bottom="0.98425196850393704" header="0" footer="0"/>
  <pageSetup scale="79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L29"/>
  <sheetViews>
    <sheetView zoomScaleNormal="100" workbookViewId="0">
      <selection activeCell="B4" sqref="B4"/>
    </sheetView>
  </sheetViews>
  <sheetFormatPr baseColWidth="10" defaultRowHeight="12.75"/>
  <cols>
    <col min="1" max="1" width="1.7109375" style="3" customWidth="1"/>
    <col min="2" max="2" width="22.7109375" style="3" customWidth="1"/>
    <col min="3" max="3" width="20.28515625" style="3" bestFit="1" customWidth="1"/>
    <col min="4" max="7" width="18.5703125" style="3" bestFit="1" customWidth="1"/>
    <col min="8" max="8" width="13.42578125" style="3" bestFit="1" customWidth="1"/>
    <col min="9" max="16384" width="11.42578125" style="3"/>
  </cols>
  <sheetData>
    <row r="2" spans="2:8" ht="18.75">
      <c r="B2" s="139" t="s">
        <v>149</v>
      </c>
    </row>
    <row r="4" spans="2:8" ht="15.75">
      <c r="B4" s="81" t="s">
        <v>137</v>
      </c>
    </row>
    <row r="5" spans="2:8" ht="15.75">
      <c r="B5" s="82" t="s">
        <v>88</v>
      </c>
    </row>
    <row r="7" spans="2:8">
      <c r="B7" s="290" t="s">
        <v>12</v>
      </c>
      <c r="C7" s="52"/>
      <c r="D7" s="1" t="s">
        <v>143</v>
      </c>
      <c r="E7" s="1" t="s">
        <v>144</v>
      </c>
      <c r="F7" s="1" t="s">
        <v>145</v>
      </c>
      <c r="G7" s="1" t="s">
        <v>146</v>
      </c>
    </row>
    <row r="8" spans="2:8">
      <c r="B8" s="59"/>
      <c r="C8" s="85"/>
      <c r="D8" s="1" t="s">
        <v>135</v>
      </c>
      <c r="E8" s="1" t="s">
        <v>135</v>
      </c>
      <c r="F8" s="1" t="s">
        <v>135</v>
      </c>
      <c r="G8" s="1" t="s">
        <v>135</v>
      </c>
    </row>
    <row r="9" spans="2:8">
      <c r="B9" s="84"/>
      <c r="C9" s="85"/>
      <c r="D9" s="85"/>
      <c r="E9" s="85"/>
      <c r="F9" s="85"/>
      <c r="G9" s="85"/>
    </row>
    <row r="10" spans="2:8">
      <c r="B10" s="84" t="s">
        <v>5</v>
      </c>
      <c r="C10" s="85" t="s">
        <v>34</v>
      </c>
      <c r="D10" s="170">
        <f>+ACTIVOS!G15*RETORNO!$G$9</f>
        <v>24025.292891281901</v>
      </c>
      <c r="E10" s="170">
        <f>+ACTIVOS!H15*RETORNO!$G$9</f>
        <v>28407.960632314695</v>
      </c>
      <c r="F10" s="170">
        <f>+ACTIVOS!I15*RETORNO!$G$9</f>
        <v>32153.374937435263</v>
      </c>
      <c r="G10" s="170">
        <f>+ACTIVOS!J15*RETORNO!$G$9</f>
        <v>35082.996485295909</v>
      </c>
    </row>
    <row r="11" spans="2:8">
      <c r="B11" s="84" t="s">
        <v>6</v>
      </c>
      <c r="C11" s="85" t="s">
        <v>35</v>
      </c>
      <c r="D11" s="170">
        <f>+ACTIVOS!G10*'PERDIDAS y OTROS'!E12</f>
        <v>16308.978762531635</v>
      </c>
      <c r="E11" s="170">
        <f>+ACTIVOS!H10*'PERDIDAS y OTROS'!F12</f>
        <v>18558.888000462779</v>
      </c>
      <c r="F11" s="170">
        <f>+ACTIVOS!I10*'PERDIDAS y OTROS'!G12</f>
        <v>20649.264859801744</v>
      </c>
      <c r="G11" s="170">
        <f>+ACTIVOS!J10*'PERDIDAS y OTROS'!H12</f>
        <v>22506.764303973661</v>
      </c>
    </row>
    <row r="12" spans="2:8">
      <c r="B12" s="84" t="s">
        <v>7</v>
      </c>
      <c r="C12" s="85" t="s">
        <v>33</v>
      </c>
      <c r="D12" s="170">
        <f>+REGRESIONES!D57/1000</f>
        <v>12583.6652574704</v>
      </c>
      <c r="E12" s="170">
        <f>+REGRESIONES!E57/1000</f>
        <v>13138.265926387565</v>
      </c>
      <c r="F12" s="170">
        <f>+REGRESIONES!F57/1000</f>
        <v>13635.250013505762</v>
      </c>
      <c r="G12" s="170">
        <f>+REGRESIONES!G57/1000</f>
        <v>14107.634024951343</v>
      </c>
      <c r="H12" s="289"/>
    </row>
    <row r="13" spans="2:8">
      <c r="B13" s="84" t="s">
        <v>8</v>
      </c>
      <c r="C13" s="85" t="s">
        <v>31</v>
      </c>
      <c r="D13" s="170">
        <f>+REGRESIONES!D59/1000</f>
        <v>12310.14597255879</v>
      </c>
      <c r="E13" s="170">
        <f>+REGRESIONES!E59/1000</f>
        <v>12822.575928536271</v>
      </c>
      <c r="F13" s="170">
        <f>+REGRESIONES!F59/1000</f>
        <v>13271.955235608108</v>
      </c>
      <c r="G13" s="170">
        <f>+REGRESIONES!G59/1000</f>
        <v>13707.765364402841</v>
      </c>
      <c r="H13" s="289"/>
    </row>
    <row r="14" spans="2:8" ht="13.5" thickBot="1">
      <c r="B14" s="84"/>
      <c r="C14" s="85"/>
      <c r="D14" s="167"/>
      <c r="E14" s="167"/>
      <c r="F14" s="167"/>
      <c r="G14" s="167"/>
    </row>
    <row r="15" spans="2:8" ht="16.5" thickBot="1">
      <c r="B15" s="291"/>
      <c r="C15" s="292" t="s">
        <v>36</v>
      </c>
      <c r="D15" s="293">
        <f>+D13+D12+D11+D10</f>
        <v>65228.082883842726</v>
      </c>
      <c r="E15" s="293">
        <f>+E13+E12+E11+E10</f>
        <v>72927.6904877013</v>
      </c>
      <c r="F15" s="294">
        <f>+F13+F12+F11+F10</f>
        <v>79709.845046350878</v>
      </c>
      <c r="G15" s="294">
        <f>+G13+G12+G11+G10</f>
        <v>85405.160178623759</v>
      </c>
    </row>
    <row r="16" spans="2:8">
      <c r="B16" s="164"/>
      <c r="C16" s="187"/>
      <c r="D16" s="170"/>
      <c r="E16" s="170"/>
      <c r="F16" s="170"/>
      <c r="G16" s="170"/>
    </row>
    <row r="17" spans="2:12">
      <c r="B17" s="84" t="s">
        <v>136</v>
      </c>
      <c r="C17" s="84" t="s">
        <v>37</v>
      </c>
      <c r="D17" s="170">
        <f>+('PERDIDAS y OTROS'!E9+'PERDIDAS y OTROS'!E11)*'PERDIDAS y OTROS'!E8*DEMANDA!E8/1000</f>
        <v>52740.711132815879</v>
      </c>
      <c r="E17" s="170">
        <f>+('PERDIDAS y OTROS'!F9+'PERDIDAS y OTROS'!F11)*'PERDIDAS y OTROS'!F8*DEMANDA!F8/1000</f>
        <v>53707.44213501647</v>
      </c>
      <c r="F17" s="170">
        <f>+('PERDIDAS y OTROS'!G9+'PERDIDAS y OTROS'!G11)*'PERDIDAS y OTROS'!G8*DEMANDA!G8/1000</f>
        <v>56400.256769158208</v>
      </c>
      <c r="G17" s="170">
        <f>+('PERDIDAS y OTROS'!H9+'PERDIDAS y OTROS'!H11)*'PERDIDAS y OTROS'!H8*DEMANDA!H8/1000</f>
        <v>57678.699000096545</v>
      </c>
    </row>
    <row r="18" spans="2:12" ht="13.5" thickBot="1">
      <c r="B18" s="84" t="s">
        <v>118</v>
      </c>
      <c r="C18" s="187"/>
      <c r="D18" s="170">
        <f>+'PERDIDAS y OTROS'!E10*'PERDIDAS y OTROS'!E8*DEMANDA!E9/1000</f>
        <v>527.17320340768947</v>
      </c>
      <c r="E18" s="170">
        <f>+'PERDIDAS y OTROS'!F10*'PERDIDAS y OTROS'!F8*DEMANDA!F9/1000</f>
        <v>512.32828380131036</v>
      </c>
      <c r="F18" s="170">
        <f>+'PERDIDAS y OTROS'!G10*'PERDIDAS y OTROS'!G8*DEMANDA!G9/1000</f>
        <v>516.38278110731301</v>
      </c>
      <c r="G18" s="170">
        <f>+'PERDIDAS y OTROS'!H10*'PERDIDAS y OTROS'!H8*DEMANDA!H9/1000</f>
        <v>506.80854275586194</v>
      </c>
    </row>
    <row r="19" spans="2:12" ht="16.5" thickBot="1">
      <c r="B19" s="291"/>
      <c r="C19" s="292" t="s">
        <v>13</v>
      </c>
      <c r="D19" s="293">
        <f>+D17+D18</f>
        <v>53267.884336223571</v>
      </c>
      <c r="E19" s="293">
        <f>+E17+E18</f>
        <v>54219.770418817781</v>
      </c>
      <c r="F19" s="294">
        <f>+F17+F18</f>
        <v>56916.639550265521</v>
      </c>
      <c r="G19" s="294">
        <f>+G17+G18</f>
        <v>58185.507542852407</v>
      </c>
      <c r="L19" s="289"/>
    </row>
    <row r="20" spans="2:12" ht="13.5" thickBot="1">
      <c r="B20" s="164"/>
      <c r="C20" s="85"/>
      <c r="D20" s="170"/>
      <c r="E20" s="170"/>
      <c r="F20" s="170"/>
      <c r="G20" s="170"/>
    </row>
    <row r="21" spans="2:12" ht="21.75" thickBot="1">
      <c r="B21" s="295"/>
      <c r="C21" s="286" t="s">
        <v>17</v>
      </c>
      <c r="D21" s="287">
        <f>+D15+D19</f>
        <v>118495.96722006629</v>
      </c>
      <c r="E21" s="287">
        <f>+E15+E19</f>
        <v>127147.46090651909</v>
      </c>
      <c r="F21" s="287">
        <f>+F15+F19</f>
        <v>136626.48459661641</v>
      </c>
      <c r="G21" s="288">
        <f>+G15+G19</f>
        <v>143590.66772147617</v>
      </c>
    </row>
    <row r="23" spans="2:12">
      <c r="B23" s="160"/>
      <c r="C23" s="160"/>
    </row>
    <row r="24" spans="2:12">
      <c r="B24" s="160"/>
    </row>
    <row r="25" spans="2:12">
      <c r="B25" s="160"/>
      <c r="C25" s="160"/>
    </row>
    <row r="26" spans="2:12">
      <c r="B26" s="160"/>
    </row>
    <row r="27" spans="2:12">
      <c r="B27" s="160"/>
      <c r="C27" s="160"/>
    </row>
    <row r="28" spans="2:12">
      <c r="B28" s="160"/>
      <c r="C28" s="160"/>
    </row>
    <row r="29" spans="2:12">
      <c r="B29" s="160"/>
      <c r="C29" s="160"/>
    </row>
  </sheetData>
  <sheetProtection password="CCC5" sheet="1" objects="1" scenarios="1"/>
  <phoneticPr fontId="0" type="noConversion"/>
  <pageMargins left="0.74803149606299213" right="0.74803149606299213" top="0.98425196850393704" bottom="0.98425196850393704" header="0" footer="0"/>
  <pageSetup orientation="landscape" horizontalDpi="300" verticalDpi="30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2:G20"/>
  <sheetViews>
    <sheetView zoomScaleNormal="100" workbookViewId="0">
      <selection activeCell="B3" sqref="B3"/>
    </sheetView>
  </sheetViews>
  <sheetFormatPr baseColWidth="10" defaultRowHeight="12.75"/>
  <cols>
    <col min="1" max="1" width="2.7109375" style="3" customWidth="1"/>
    <col min="2" max="2" width="20.28515625" style="3" bestFit="1" customWidth="1"/>
    <col min="3" max="3" width="12.28515625" style="3" bestFit="1" customWidth="1"/>
    <col min="4" max="7" width="18.5703125" style="3" bestFit="1" customWidth="1"/>
    <col min="8" max="8" width="13.42578125" style="3" bestFit="1" customWidth="1"/>
    <col min="9" max="16384" width="11.42578125" style="3"/>
  </cols>
  <sheetData>
    <row r="2" spans="2:7" ht="18.75">
      <c r="B2" s="139" t="s">
        <v>149</v>
      </c>
    </row>
    <row r="4" spans="2:7" ht="15.75">
      <c r="B4" s="81" t="s">
        <v>138</v>
      </c>
    </row>
    <row r="5" spans="2:7" ht="15.75">
      <c r="B5" s="82" t="s">
        <v>88</v>
      </c>
    </row>
    <row r="6" spans="2:7">
      <c r="B6" s="237"/>
      <c r="C6" s="160"/>
    </row>
    <row r="7" spans="2:7">
      <c r="B7" s="278" t="s">
        <v>14</v>
      </c>
      <c r="C7" s="52"/>
      <c r="D7" s="1" t="s">
        <v>143</v>
      </c>
      <c r="E7" s="1" t="s">
        <v>144</v>
      </c>
      <c r="F7" s="1" t="s">
        <v>145</v>
      </c>
      <c r="G7" s="1" t="s">
        <v>146</v>
      </c>
    </row>
    <row r="8" spans="2:7">
      <c r="B8" s="59"/>
      <c r="C8" s="85"/>
      <c r="D8" s="1" t="s">
        <v>135</v>
      </c>
      <c r="E8" s="1" t="s">
        <v>135</v>
      </c>
      <c r="F8" s="1" t="s">
        <v>135</v>
      </c>
      <c r="G8" s="1" t="s">
        <v>135</v>
      </c>
    </row>
    <row r="9" spans="2:7">
      <c r="B9" s="59"/>
      <c r="C9" s="85"/>
      <c r="D9" s="85"/>
      <c r="E9" s="85"/>
      <c r="F9" s="85"/>
      <c r="G9" s="85"/>
    </row>
    <row r="10" spans="2:7">
      <c r="B10" s="84" t="s">
        <v>5</v>
      </c>
      <c r="C10" s="85" t="s">
        <v>41</v>
      </c>
      <c r="D10" s="170">
        <f>+ACTIVOS!G16*RETORNO!$G$9</f>
        <v>2644.6682020233479</v>
      </c>
      <c r="E10" s="170">
        <f>+ACTIVOS!H16*RETORNO!$G$9</f>
        <v>2598.7952826987994</v>
      </c>
      <c r="F10" s="170">
        <f>+ACTIVOS!I16*RETORNO!$G$9</f>
        <v>2516.5372823546641</v>
      </c>
      <c r="G10" s="170">
        <f>+ACTIVOS!J16*RETORNO!$G$9</f>
        <v>2419.3111604069995</v>
      </c>
    </row>
    <row r="11" spans="2:7">
      <c r="B11" s="84" t="s">
        <v>6</v>
      </c>
      <c r="C11" s="85" t="s">
        <v>42</v>
      </c>
      <c r="D11" s="170">
        <f>+ACTIVOS!G11*'PERDIDAS y OTROS'!E13</f>
        <v>2594.4558678978437</v>
      </c>
      <c r="E11" s="170">
        <f>+ACTIVOS!H11*'PERDIDAS y OTROS'!F13</f>
        <v>2715.907335192202</v>
      </c>
      <c r="F11" s="170">
        <f>+ACTIVOS!I11*'PERDIDAS y OTROS'!G13</f>
        <v>2822.5407261085916</v>
      </c>
      <c r="G11" s="170">
        <f>+ACTIVOS!J11*'PERDIDAS y OTROS'!H13</f>
        <v>2926.3311596218714</v>
      </c>
    </row>
    <row r="12" spans="2:7">
      <c r="B12" s="84" t="s">
        <v>43</v>
      </c>
      <c r="C12" s="85" t="s">
        <v>24</v>
      </c>
      <c r="D12" s="170">
        <f>+REGRESIONES!D58/1000</f>
        <v>22412.147896864957</v>
      </c>
      <c r="E12" s="170">
        <f>+REGRESIONES!E58/1000</f>
        <v>23445.570058361129</v>
      </c>
      <c r="F12" s="170">
        <f>+REGRESIONES!F58/1000</f>
        <v>24356.746312782696</v>
      </c>
      <c r="G12" s="170">
        <f>+REGRESIONES!G58/1000</f>
        <v>25246.07199381086</v>
      </c>
    </row>
    <row r="13" spans="2:7" ht="13.5" thickBot="1">
      <c r="B13" s="164"/>
      <c r="C13" s="187"/>
      <c r="D13" s="170"/>
      <c r="E13" s="170"/>
      <c r="F13" s="170"/>
      <c r="G13" s="170"/>
    </row>
    <row r="14" spans="2:7" ht="21.75" thickBot="1">
      <c r="B14" s="285"/>
      <c r="C14" s="286" t="s">
        <v>15</v>
      </c>
      <c r="D14" s="287">
        <f>+D10+D11+D12</f>
        <v>27651.271966786149</v>
      </c>
      <c r="E14" s="287">
        <f>+E10+E11+E12</f>
        <v>28760.272676252131</v>
      </c>
      <c r="F14" s="287">
        <f>+F10+F11+F12</f>
        <v>29695.824321245949</v>
      </c>
      <c r="G14" s="288">
        <f>+G10+G11+G12</f>
        <v>30591.71431383973</v>
      </c>
    </row>
    <row r="17" spans="4:7">
      <c r="D17" s="289"/>
      <c r="E17" s="289"/>
      <c r="F17" s="289"/>
      <c r="G17" s="289"/>
    </row>
    <row r="18" spans="4:7">
      <c r="D18" s="289"/>
      <c r="E18" s="289"/>
      <c r="F18" s="289"/>
      <c r="G18" s="289"/>
    </row>
    <row r="19" spans="4:7">
      <c r="D19" s="134"/>
      <c r="E19" s="134"/>
      <c r="F19" s="134"/>
      <c r="G19" s="134"/>
    </row>
    <row r="20" spans="4:7">
      <c r="D20" s="289"/>
      <c r="E20" s="289"/>
      <c r="F20" s="289"/>
      <c r="G20" s="289"/>
    </row>
  </sheetData>
  <sheetProtection password="CCC5" sheet="1" objects="1" scenarios="1"/>
  <phoneticPr fontId="0" type="noConversion"/>
  <pageMargins left="0.74803149606299213" right="0.74803149606299213" top="0.98425196850393704" bottom="0.98425196850393704" header="0" footer="0"/>
  <pageSetup orientation="landscape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2:H25"/>
  <sheetViews>
    <sheetView zoomScaleNormal="100" workbookViewId="0">
      <selection activeCell="B4" sqref="B4"/>
    </sheetView>
  </sheetViews>
  <sheetFormatPr baseColWidth="10" defaultRowHeight="12.75"/>
  <cols>
    <col min="1" max="1" width="1.42578125" style="3" customWidth="1"/>
    <col min="2" max="2" width="23.7109375" style="3" customWidth="1"/>
    <col min="3" max="3" width="16" style="3" bestFit="1" customWidth="1"/>
    <col min="4" max="7" width="18.5703125" style="3" bestFit="1" customWidth="1"/>
    <col min="8" max="8" width="13.42578125" style="3" bestFit="1" customWidth="1"/>
    <col min="9" max="16384" width="11.42578125" style="3"/>
  </cols>
  <sheetData>
    <row r="2" spans="2:7" ht="18.75">
      <c r="B2" s="139" t="s">
        <v>149</v>
      </c>
    </row>
    <row r="4" spans="2:7" ht="15.75">
      <c r="B4" s="81" t="s">
        <v>139</v>
      </c>
    </row>
    <row r="5" spans="2:7" ht="15.75">
      <c r="B5" s="82" t="s">
        <v>88</v>
      </c>
    </row>
    <row r="7" spans="2:7">
      <c r="B7" s="278"/>
      <c r="C7" s="52"/>
      <c r="D7" s="1" t="s">
        <v>143</v>
      </c>
      <c r="E7" s="1" t="s">
        <v>144</v>
      </c>
      <c r="F7" s="1" t="s">
        <v>145</v>
      </c>
      <c r="G7" s="1" t="s">
        <v>146</v>
      </c>
    </row>
    <row r="8" spans="2:7">
      <c r="B8" s="59"/>
      <c r="C8" s="85"/>
      <c r="D8" s="1" t="s">
        <v>135</v>
      </c>
      <c r="E8" s="1" t="s">
        <v>135</v>
      </c>
      <c r="F8" s="1" t="s">
        <v>135</v>
      </c>
      <c r="G8" s="1" t="s">
        <v>135</v>
      </c>
    </row>
    <row r="9" spans="2:7">
      <c r="B9" s="84"/>
      <c r="C9" s="85"/>
      <c r="D9" s="85"/>
      <c r="E9" s="85"/>
      <c r="F9" s="85"/>
      <c r="G9" s="85"/>
    </row>
    <row r="10" spans="2:7">
      <c r="B10" s="84" t="s">
        <v>5</v>
      </c>
      <c r="C10" s="85" t="s">
        <v>44</v>
      </c>
      <c r="D10" s="170">
        <f>+ACTIVOS!G17*RETORNO!$G$9</f>
        <v>1377.6812999775348</v>
      </c>
      <c r="E10" s="170">
        <f>+ACTIVOS!H17*RETORNO!$G$9</f>
        <v>1560.456010967066</v>
      </c>
      <c r="F10" s="170">
        <f>+ACTIVOS!I17*RETORNO!$G$9</f>
        <v>1623.0543539413111</v>
      </c>
      <c r="G10" s="170">
        <f>+ACTIVOS!J17*RETORNO!$G$9</f>
        <v>1622.39485292777</v>
      </c>
    </row>
    <row r="11" spans="2:7">
      <c r="B11" s="84" t="s">
        <v>6</v>
      </c>
      <c r="C11" s="85" t="s">
        <v>45</v>
      </c>
      <c r="D11" s="170">
        <f>+ACTIVOS!G12*'PERDIDAS y OTROS'!E14</f>
        <v>856.95823281358958</v>
      </c>
      <c r="E11" s="170">
        <f>+ACTIVOS!H12*'PERDIDAS y OTROS'!F14</f>
        <v>952.16450623858964</v>
      </c>
      <c r="F11" s="170">
        <f>+ACTIVOS!I12*'PERDIDAS y OTROS'!G14</f>
        <v>1007.4607296635896</v>
      </c>
      <c r="G11" s="170">
        <f>+ACTIVOS!J12*'PERDIDAS y OTROS'!H14</f>
        <v>1041.9278030885896</v>
      </c>
    </row>
    <row r="12" spans="2:7">
      <c r="B12" s="84" t="s">
        <v>7</v>
      </c>
      <c r="C12" s="85" t="s">
        <v>46</v>
      </c>
      <c r="D12" s="170">
        <f>$D$25*(D24+E24)/2/1000</f>
        <v>624.10766640361851</v>
      </c>
      <c r="E12" s="170">
        <f>$D$25*(E24+F24)/2/1000</f>
        <v>640.18869016370411</v>
      </c>
      <c r="F12" s="170">
        <f>$D$25*(F24+G24)/2/1000</f>
        <v>656.59777176031184</v>
      </c>
      <c r="G12" s="170">
        <f>$D$25*(G24+H24)/2/1000</f>
        <v>673.22659020968422</v>
      </c>
    </row>
    <row r="13" spans="2:7">
      <c r="B13" s="164"/>
      <c r="C13" s="187"/>
      <c r="D13" s="170"/>
      <c r="E13" s="170"/>
      <c r="F13" s="170"/>
      <c r="G13" s="170"/>
    </row>
    <row r="14" spans="2:7" ht="21">
      <c r="B14" s="279"/>
      <c r="C14" s="280" t="s">
        <v>16</v>
      </c>
      <c r="D14" s="89">
        <f>+D10+D11+D12</f>
        <v>2858.7471991947427</v>
      </c>
      <c r="E14" s="89">
        <f>+E10+E11+E12</f>
        <v>3152.8092073693597</v>
      </c>
      <c r="F14" s="89">
        <f>+F10+F11+F12</f>
        <v>3287.1128553652125</v>
      </c>
      <c r="G14" s="89">
        <f>+G10+G11+G12</f>
        <v>3337.5492462260436</v>
      </c>
    </row>
    <row r="23" spans="2:8">
      <c r="D23" s="4">
        <v>41791</v>
      </c>
      <c r="E23" s="4">
        <v>42156</v>
      </c>
      <c r="F23" s="4">
        <v>42522</v>
      </c>
      <c r="G23" s="4">
        <v>42887</v>
      </c>
      <c r="H23" s="4">
        <v>43252</v>
      </c>
    </row>
    <row r="24" spans="2:8" ht="15">
      <c r="B24" s="281" t="s">
        <v>107</v>
      </c>
      <c r="C24" s="92"/>
      <c r="D24" s="282">
        <v>99647.636363636368</v>
      </c>
      <c r="E24" s="282">
        <v>102010.13636363637</v>
      </c>
      <c r="F24" s="282">
        <v>104843.63636363637</v>
      </c>
      <c r="G24" s="282">
        <v>107312.13636363637</v>
      </c>
      <c r="H24" s="282">
        <v>110216.63636363637</v>
      </c>
    </row>
    <row r="25" spans="2:8" ht="15">
      <c r="B25" s="283" t="s">
        <v>108</v>
      </c>
      <c r="C25" s="92"/>
      <c r="D25" s="284">
        <v>6.1897705004178354</v>
      </c>
    </row>
  </sheetData>
  <sheetProtection password="CCC5" sheet="1" objects="1" scenarios="1"/>
  <phoneticPr fontId="0" type="noConversion"/>
  <pageMargins left="0.74803149606299213" right="0.74803149606299213" top="0.98425196850393704" bottom="0.98425196850393704" header="0" footer="0"/>
  <pageSetup scale="96" orientation="landscape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3:M32"/>
  <sheetViews>
    <sheetView zoomScaleNormal="100" workbookViewId="0">
      <selection activeCell="B3" sqref="B3"/>
    </sheetView>
  </sheetViews>
  <sheetFormatPr baseColWidth="10" defaultRowHeight="12.75"/>
  <cols>
    <col min="1" max="1" width="1.7109375" style="3" customWidth="1"/>
    <col min="2" max="2" width="35.28515625" style="3" customWidth="1"/>
    <col min="3" max="3" width="11.42578125" style="3"/>
    <col min="4" max="4" width="13.85546875" style="3" customWidth="1"/>
    <col min="5" max="8" width="15.7109375" style="3" bestFit="1" customWidth="1"/>
    <col min="9" max="16384" width="11.42578125" style="3"/>
  </cols>
  <sheetData>
    <row r="3" spans="2:13" ht="18.75">
      <c r="B3" s="139" t="s">
        <v>149</v>
      </c>
    </row>
    <row r="5" spans="2:13">
      <c r="B5" s="254" t="s">
        <v>2</v>
      </c>
      <c r="C5" s="1"/>
      <c r="D5" s="161" t="s">
        <v>70</v>
      </c>
      <c r="E5" s="1" t="s">
        <v>143</v>
      </c>
      <c r="F5" s="1" t="s">
        <v>144</v>
      </c>
      <c r="G5" s="1" t="s">
        <v>145</v>
      </c>
      <c r="H5" s="1" t="s">
        <v>146</v>
      </c>
      <c r="I5" s="1" t="s">
        <v>69</v>
      </c>
    </row>
    <row r="6" spans="2:13">
      <c r="B6" s="164" t="s">
        <v>3</v>
      </c>
      <c r="C6" s="256" t="s">
        <v>82</v>
      </c>
      <c r="D6" s="257">
        <v>568.50492052601555</v>
      </c>
      <c r="E6" s="255">
        <v>593.79164103793869</v>
      </c>
      <c r="F6" s="255">
        <v>625.16231870494175</v>
      </c>
      <c r="G6" s="255">
        <v>654.46207477066014</v>
      </c>
      <c r="H6" s="258">
        <v>681.16953938426218</v>
      </c>
      <c r="I6" s="259">
        <f>(H6/D6)^(1/4)-1</f>
        <v>4.6237416815992027E-2</v>
      </c>
    </row>
    <row r="7" spans="2:13">
      <c r="B7" s="260" t="s">
        <v>387</v>
      </c>
      <c r="C7" s="256" t="s">
        <v>11</v>
      </c>
      <c r="D7" s="261">
        <v>3307687.6525737797</v>
      </c>
      <c r="E7" s="262">
        <v>3457615.913033139</v>
      </c>
      <c r="F7" s="262">
        <v>3615741.7513712556</v>
      </c>
      <c r="G7" s="262">
        <v>3759375.3044314515</v>
      </c>
      <c r="H7" s="263">
        <v>3909379.317100307</v>
      </c>
      <c r="I7" s="259">
        <f>(H7/D7)^(1/4)-1</f>
        <v>4.2667483084717572E-2</v>
      </c>
    </row>
    <row r="8" spans="2:13">
      <c r="B8" s="164" t="s">
        <v>116</v>
      </c>
      <c r="C8" s="256" t="s">
        <v>76</v>
      </c>
      <c r="D8" s="261">
        <v>3431085.037743777</v>
      </c>
      <c r="E8" s="262">
        <v>3593453.093088476</v>
      </c>
      <c r="F8" s="262">
        <v>3766678.5946584041</v>
      </c>
      <c r="G8" s="262">
        <v>3925691.923971069</v>
      </c>
      <c r="H8" s="263">
        <v>4091788.3466235991</v>
      </c>
      <c r="I8" s="259">
        <f>(H8/D8)^(1/4)-1</f>
        <v>4.5009936089389413E-2</v>
      </c>
    </row>
    <row r="9" spans="2:13">
      <c r="B9" s="164" t="s">
        <v>117</v>
      </c>
      <c r="C9" s="256" t="s">
        <v>76</v>
      </c>
      <c r="D9" s="261">
        <v>219330.53734741113</v>
      </c>
      <c r="E9" s="262">
        <v>219330.53734741113</v>
      </c>
      <c r="F9" s="262">
        <v>219330.53734741113</v>
      </c>
      <c r="G9" s="262">
        <v>219330.53734741113</v>
      </c>
      <c r="H9" s="263">
        <v>219330.53734741113</v>
      </c>
      <c r="I9" s="259">
        <f>(H9/D9)^(1/4)-1</f>
        <v>0</v>
      </c>
    </row>
    <row r="10" spans="2:13">
      <c r="B10" s="264" t="s">
        <v>4</v>
      </c>
      <c r="C10" s="265" t="s">
        <v>27</v>
      </c>
      <c r="D10" s="261">
        <v>392303.7499999993</v>
      </c>
      <c r="E10" s="262">
        <v>410137.49999999802</v>
      </c>
      <c r="F10" s="262">
        <v>426390.1083333313</v>
      </c>
      <c r="G10" s="262">
        <v>440686.12491666659</v>
      </c>
      <c r="H10" s="262">
        <v>454660.74116416764</v>
      </c>
      <c r="I10" s="266">
        <f>(H10/D10)^(1/4)-1</f>
        <v>3.7567235381424258E-2</v>
      </c>
    </row>
    <row r="11" spans="2:13">
      <c r="B11" s="92" t="s">
        <v>66</v>
      </c>
      <c r="C11" s="267" t="s">
        <v>68</v>
      </c>
      <c r="D11" s="268">
        <f>D6/D10*1000</f>
        <v>1.4491447520601486</v>
      </c>
      <c r="E11" s="268">
        <v>1.5396150878259025</v>
      </c>
      <c r="F11" s="268">
        <v>1.559914591446478</v>
      </c>
      <c r="G11" s="268">
        <v>1.5812807943095728</v>
      </c>
      <c r="H11" s="268">
        <v>1.5897413102318994</v>
      </c>
      <c r="I11" s="110"/>
      <c r="J11" s="110"/>
      <c r="K11" s="110"/>
      <c r="L11" s="110"/>
      <c r="M11" s="110"/>
    </row>
    <row r="12" spans="2:13">
      <c r="B12" s="92" t="s">
        <v>67</v>
      </c>
      <c r="C12" s="267" t="s">
        <v>72</v>
      </c>
      <c r="D12" s="268">
        <f>D7/D10</f>
        <v>8.4314454107914738</v>
      </c>
      <c r="E12" s="268">
        <v>8.0772374252181471</v>
      </c>
      <c r="F12" s="268">
        <v>8.1585343709515268</v>
      </c>
      <c r="G12" s="268">
        <v>8.2665099980850574</v>
      </c>
      <c r="H12" s="268">
        <v>8.3244045008837233</v>
      </c>
      <c r="I12" s="110"/>
      <c r="J12" s="110"/>
      <c r="K12" s="110"/>
      <c r="L12" s="110"/>
      <c r="M12" s="110"/>
    </row>
    <row r="13" spans="2:13">
      <c r="J13" s="110"/>
      <c r="K13" s="110"/>
      <c r="L13" s="110"/>
      <c r="M13" s="110"/>
    </row>
    <row r="14" spans="2:13">
      <c r="B14" s="92" t="s">
        <v>124</v>
      </c>
      <c r="C14" s="267" t="s">
        <v>11</v>
      </c>
      <c r="D14" s="269">
        <f>+D7+D9</f>
        <v>3527018.189921191</v>
      </c>
      <c r="E14" s="269">
        <f t="shared" ref="E14:H14" si="0">+E7+E9</f>
        <v>3676946.4503805502</v>
      </c>
      <c r="F14" s="269">
        <f t="shared" si="0"/>
        <v>3835072.2887186669</v>
      </c>
      <c r="G14" s="269">
        <f t="shared" si="0"/>
        <v>3978705.8417788628</v>
      </c>
      <c r="H14" s="269">
        <f t="shared" si="0"/>
        <v>4128709.8544477182</v>
      </c>
      <c r="I14" s="270">
        <f>(H14/D14)^(1/4)-1</f>
        <v>4.0163634270279802E-2</v>
      </c>
    </row>
    <row r="15" spans="2:13">
      <c r="B15" s="92" t="s">
        <v>128</v>
      </c>
      <c r="C15" s="267" t="s">
        <v>11</v>
      </c>
      <c r="D15" s="269">
        <f>D8+D9</f>
        <v>3650415.5750911883</v>
      </c>
      <c r="E15" s="269">
        <v>3289368.8765264302</v>
      </c>
      <c r="F15" s="269">
        <v>3457842.8685738398</v>
      </c>
      <c r="G15" s="269">
        <v>3639642.71235763</v>
      </c>
      <c r="H15" s="269">
        <v>3799852.8338788897</v>
      </c>
    </row>
    <row r="16" spans="2:13">
      <c r="D16" s="271"/>
      <c r="E16" s="271"/>
      <c r="F16" s="271"/>
      <c r="G16" s="271"/>
      <c r="H16" s="271"/>
    </row>
    <row r="17" spans="2:10">
      <c r="D17" s="271"/>
      <c r="E17" s="271"/>
      <c r="F17" s="271"/>
      <c r="G17" s="271"/>
      <c r="H17" s="271"/>
    </row>
    <row r="18" spans="2:10">
      <c r="B18" s="144"/>
      <c r="D18" s="271"/>
      <c r="E18" s="271"/>
      <c r="F18" s="271"/>
      <c r="G18" s="271"/>
      <c r="H18" s="271"/>
    </row>
    <row r="19" spans="2:10">
      <c r="D19" s="271"/>
      <c r="E19" s="271"/>
      <c r="F19" s="271"/>
      <c r="G19" s="271"/>
      <c r="H19" s="271"/>
    </row>
    <row r="21" spans="2:10">
      <c r="D21" s="272"/>
      <c r="E21" s="272"/>
      <c r="F21" s="272"/>
      <c r="G21" s="272"/>
      <c r="H21" s="272"/>
      <c r="I21" s="95"/>
      <c r="J21" s="95"/>
    </row>
    <row r="22" spans="2:10">
      <c r="D22" s="98"/>
      <c r="E22" s="98"/>
      <c r="F22" s="98"/>
      <c r="G22" s="98"/>
      <c r="H22" s="98"/>
      <c r="I22" s="95"/>
      <c r="J22" s="95"/>
    </row>
    <row r="23" spans="2:10">
      <c r="D23" s="98"/>
      <c r="E23" s="98"/>
      <c r="F23" s="98"/>
      <c r="G23" s="98"/>
      <c r="H23" s="98"/>
      <c r="I23" s="95"/>
      <c r="J23" s="95"/>
    </row>
    <row r="24" spans="2:10" ht="15.75">
      <c r="C24" s="273"/>
      <c r="D24" s="274"/>
      <c r="E24" s="274"/>
      <c r="F24" s="275"/>
      <c r="G24" s="274"/>
      <c r="H24" s="274"/>
      <c r="I24" s="95"/>
      <c r="J24" s="95"/>
    </row>
    <row r="25" spans="2:10" ht="15.75">
      <c r="C25" s="273"/>
      <c r="D25" s="276"/>
      <c r="E25" s="276"/>
      <c r="F25" s="275"/>
      <c r="G25" s="276"/>
      <c r="H25" s="276"/>
      <c r="I25" s="95"/>
      <c r="J25" s="95"/>
    </row>
    <row r="26" spans="2:10">
      <c r="D26" s="276"/>
      <c r="E26" s="276"/>
      <c r="F26" s="275"/>
      <c r="G26" s="276"/>
      <c r="H26" s="276"/>
      <c r="I26" s="95"/>
      <c r="J26" s="95"/>
    </row>
    <row r="27" spans="2:10">
      <c r="D27" s="98"/>
      <c r="E27" s="98"/>
      <c r="F27" s="98"/>
      <c r="G27" s="98"/>
      <c r="H27" s="98"/>
      <c r="I27" s="95"/>
      <c r="J27" s="95"/>
    </row>
    <row r="28" spans="2:10">
      <c r="D28" s="277"/>
      <c r="E28" s="277"/>
      <c r="F28" s="277"/>
      <c r="G28" s="277"/>
      <c r="H28" s="277"/>
      <c r="I28" s="95"/>
      <c r="J28" s="95"/>
    </row>
    <row r="29" spans="2:10">
      <c r="D29" s="98"/>
      <c r="E29" s="98"/>
      <c r="F29" s="98"/>
      <c r="G29" s="98"/>
      <c r="H29" s="98"/>
      <c r="I29" s="95"/>
      <c r="J29" s="95"/>
    </row>
    <row r="30" spans="2:10">
      <c r="D30" s="95"/>
      <c r="E30" s="95"/>
      <c r="F30" s="95"/>
      <c r="G30" s="95"/>
      <c r="H30" s="95"/>
      <c r="I30" s="95"/>
      <c r="J30" s="95"/>
    </row>
    <row r="31" spans="2:10">
      <c r="D31" s="95"/>
      <c r="E31" s="95"/>
      <c r="F31" s="95"/>
      <c r="G31" s="95"/>
      <c r="H31" s="95"/>
      <c r="I31" s="95"/>
      <c r="J31" s="95"/>
    </row>
    <row r="32" spans="2:10">
      <c r="D32" s="95"/>
      <c r="E32" s="95"/>
      <c r="F32" s="95"/>
      <c r="G32" s="95"/>
      <c r="H32" s="95"/>
      <c r="I32" s="95"/>
      <c r="J32" s="95"/>
    </row>
  </sheetData>
  <sheetProtection password="CCC5" sheet="1" objects="1" scenarios="1"/>
  <phoneticPr fontId="0" type="noConversion"/>
  <pageMargins left="0.74803149606299213" right="0.74803149606299213" top="0.98425196850393704" bottom="0.98425196850393704" header="0" footer="0"/>
  <pageSetup scale="90" orientation="landscape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1:Q96"/>
  <sheetViews>
    <sheetView showGridLines="0" topLeftCell="A49" workbookViewId="0">
      <selection activeCell="C63" sqref="C63"/>
    </sheetView>
  </sheetViews>
  <sheetFormatPr baseColWidth="10" defaultColWidth="16.7109375" defaultRowHeight="15"/>
  <cols>
    <col min="1" max="1" width="20.5703125" style="61" customWidth="1"/>
    <col min="2" max="2" width="16.7109375" style="61"/>
    <col min="3" max="7" width="16" style="61" customWidth="1"/>
    <col min="8" max="16384" width="16.7109375" style="61"/>
  </cols>
  <sheetData>
    <row r="1" spans="1:13">
      <c r="A1" s="5" t="s">
        <v>150</v>
      </c>
    </row>
    <row r="2" spans="1:13">
      <c r="A2" s="5"/>
    </row>
    <row r="3" spans="1:13">
      <c r="A3" s="5" t="s">
        <v>151</v>
      </c>
      <c r="G3" s="6"/>
    </row>
    <row r="4" spans="1:13" s="8" customFormat="1">
      <c r="A4" s="7" t="s">
        <v>152</v>
      </c>
      <c r="B4" s="8" t="s">
        <v>29</v>
      </c>
      <c r="C4" s="8" t="s">
        <v>30</v>
      </c>
      <c r="D4" s="8" t="s">
        <v>28</v>
      </c>
      <c r="E4" s="8" t="s">
        <v>24</v>
      </c>
      <c r="F4" s="8" t="s">
        <v>31</v>
      </c>
      <c r="G4" s="9"/>
      <c r="I4" s="62"/>
      <c r="J4" s="62"/>
      <c r="K4" s="62"/>
      <c r="L4" s="62"/>
      <c r="M4" s="62"/>
    </row>
    <row r="5" spans="1:13">
      <c r="A5" s="63" t="s">
        <v>153</v>
      </c>
      <c r="B5" s="10"/>
      <c r="C5" s="10"/>
      <c r="D5" s="10">
        <v>1.00346</v>
      </c>
      <c r="E5" s="11"/>
      <c r="F5" s="11"/>
      <c r="G5" s="12"/>
      <c r="I5" s="62"/>
      <c r="J5" s="62"/>
      <c r="K5" s="62"/>
      <c r="L5" s="62"/>
      <c r="M5" s="62"/>
    </row>
    <row r="6" spans="1:13">
      <c r="A6" s="63" t="s">
        <v>154</v>
      </c>
      <c r="B6" s="10">
        <v>0.99308719999999995</v>
      </c>
      <c r="C6" s="10">
        <v>1.0009459999999999</v>
      </c>
      <c r="D6" s="10">
        <v>-0.71858929999999999</v>
      </c>
      <c r="E6" s="10">
        <v>1.1359239999999999</v>
      </c>
      <c r="F6" s="10">
        <v>1.018411</v>
      </c>
      <c r="G6" s="12"/>
      <c r="I6" s="62"/>
      <c r="J6" s="62"/>
      <c r="K6" s="62"/>
      <c r="L6" s="62"/>
      <c r="M6" s="62"/>
    </row>
    <row r="7" spans="1:13">
      <c r="A7" s="63" t="s">
        <v>32</v>
      </c>
      <c r="B7" s="10">
        <v>8.31372</v>
      </c>
      <c r="C7" s="10">
        <v>5.2474100000000004</v>
      </c>
      <c r="D7" s="10">
        <v>5.7032350000000003</v>
      </c>
      <c r="E7" s="10">
        <v>2.5659749999999999</v>
      </c>
      <c r="F7" s="10">
        <v>3.783477</v>
      </c>
      <c r="G7" s="12"/>
      <c r="I7" s="62"/>
      <c r="J7" s="62"/>
      <c r="K7" s="62"/>
      <c r="L7" s="62"/>
      <c r="M7" s="62"/>
    </row>
    <row r="8" spans="1:13">
      <c r="G8" s="6"/>
      <c r="I8" s="62"/>
      <c r="J8" s="62"/>
      <c r="K8" s="62"/>
      <c r="L8" s="62"/>
      <c r="M8" s="62"/>
    </row>
    <row r="9" spans="1:13">
      <c r="D9" s="64"/>
      <c r="G9" s="6"/>
    </row>
    <row r="10" spans="1:13">
      <c r="A10" s="5" t="s">
        <v>155</v>
      </c>
    </row>
    <row r="11" spans="1:13" ht="6" customHeight="1">
      <c r="A11" s="5"/>
    </row>
    <row r="12" spans="1:13">
      <c r="A12" s="13" t="s">
        <v>149</v>
      </c>
      <c r="C12" s="14"/>
      <c r="D12" s="14"/>
      <c r="E12" s="14"/>
      <c r="F12" s="14"/>
      <c r="G12" s="14"/>
      <c r="H12" s="14"/>
    </row>
    <row r="13" spans="1:13">
      <c r="A13" s="321" t="s">
        <v>156</v>
      </c>
      <c r="B13" s="321" t="s">
        <v>157</v>
      </c>
      <c r="C13" s="8" t="s">
        <v>158</v>
      </c>
      <c r="D13" s="322" t="s">
        <v>159</v>
      </c>
      <c r="E13" s="322"/>
      <c r="F13" s="322"/>
      <c r="G13" s="322"/>
      <c r="H13" s="322"/>
    </row>
    <row r="14" spans="1:13">
      <c r="A14" s="321"/>
      <c r="B14" s="321"/>
      <c r="C14" s="15" t="s">
        <v>160</v>
      </c>
      <c r="D14" s="16" t="s">
        <v>161</v>
      </c>
      <c r="E14" s="16" t="s">
        <v>162</v>
      </c>
      <c r="F14" s="16" t="s">
        <v>163</v>
      </c>
      <c r="G14" s="16" t="s">
        <v>164</v>
      </c>
      <c r="H14" s="16" t="s">
        <v>165</v>
      </c>
    </row>
    <row r="15" spans="1:13">
      <c r="A15" s="63" t="s">
        <v>166</v>
      </c>
      <c r="B15" s="61" t="s">
        <v>82</v>
      </c>
      <c r="C15" s="17">
        <v>540.75661952057771</v>
      </c>
      <c r="D15" s="18">
        <v>568.50492052601555</v>
      </c>
      <c r="E15" s="19">
        <v>593.79164103793869</v>
      </c>
      <c r="F15" s="19">
        <v>625.16231870494175</v>
      </c>
      <c r="G15" s="19">
        <v>654.46207477066014</v>
      </c>
      <c r="H15" s="19">
        <v>681.16953938426218</v>
      </c>
    </row>
    <row r="16" spans="1:13">
      <c r="A16" s="63" t="s">
        <v>167</v>
      </c>
      <c r="B16" s="61" t="s">
        <v>11</v>
      </c>
      <c r="C16" s="20">
        <v>3272732.4858689569</v>
      </c>
      <c r="D16" s="20">
        <v>3431085.037743777</v>
      </c>
      <c r="E16" s="20">
        <v>3593453.093088476</v>
      </c>
      <c r="F16" s="20">
        <v>3766678.5946584041</v>
      </c>
      <c r="G16" s="20">
        <v>3925691.923971069</v>
      </c>
      <c r="H16" s="20">
        <v>4091788.3466235991</v>
      </c>
    </row>
    <row r="17" spans="1:10">
      <c r="A17" s="63" t="s">
        <v>4</v>
      </c>
      <c r="B17" s="61" t="s">
        <v>168</v>
      </c>
      <c r="C17" s="65">
        <v>376312.375</v>
      </c>
      <c r="D17" s="21">
        <v>392303.7499999993</v>
      </c>
      <c r="E17" s="21">
        <v>410137.49999999802</v>
      </c>
      <c r="F17" s="21">
        <v>426390.1083333313</v>
      </c>
      <c r="G17" s="21">
        <v>440686.12491666659</v>
      </c>
      <c r="H17" s="21">
        <v>454660.74116416764</v>
      </c>
    </row>
    <row r="20" spans="1:10">
      <c r="A20" s="5" t="s">
        <v>169</v>
      </c>
    </row>
    <row r="21" spans="1:10" ht="6" customHeight="1">
      <c r="A21" s="5"/>
    </row>
    <row r="22" spans="1:10">
      <c r="A22" s="13" t="s">
        <v>149</v>
      </c>
      <c r="C22" s="14"/>
      <c r="D22" s="14"/>
      <c r="E22" s="14"/>
      <c r="F22" s="14"/>
      <c r="G22" s="14"/>
      <c r="H22" s="14"/>
    </row>
    <row r="23" spans="1:10">
      <c r="A23" s="22" t="s">
        <v>170</v>
      </c>
      <c r="C23" s="14"/>
      <c r="D23" s="14"/>
      <c r="E23" s="14"/>
      <c r="F23" s="14"/>
      <c r="G23" s="14"/>
      <c r="H23" s="14"/>
    </row>
    <row r="24" spans="1:10">
      <c r="A24" s="14" t="s">
        <v>171</v>
      </c>
      <c r="B24" s="15" t="s">
        <v>160</v>
      </c>
      <c r="C24" s="16" t="s">
        <v>161</v>
      </c>
      <c r="D24" s="16" t="s">
        <v>162</v>
      </c>
      <c r="E24" s="16" t="s">
        <v>163</v>
      </c>
      <c r="F24" s="16" t="s">
        <v>164</v>
      </c>
      <c r="G24" s="16" t="s">
        <v>165</v>
      </c>
      <c r="I24" s="62"/>
      <c r="J24" s="62"/>
    </row>
    <row r="25" spans="1:10">
      <c r="A25" s="66" t="s">
        <v>29</v>
      </c>
      <c r="B25" s="248">
        <f t="shared" ref="B25:G25" si="0">EXP($B$7+$B$6*LN(C17)+$B$5*LN(C15))</f>
        <v>1404780818.9982133</v>
      </c>
      <c r="C25" s="248">
        <f t="shared" si="0"/>
        <v>1464055654.5416181</v>
      </c>
      <c r="D25" s="248">
        <f t="shared" si="0"/>
        <v>1530139903.6692653</v>
      </c>
      <c r="E25" s="248">
        <f t="shared" si="0"/>
        <v>1590347792.9856496</v>
      </c>
      <c r="F25" s="248">
        <f t="shared" si="0"/>
        <v>1643294340.0181742</v>
      </c>
      <c r="G25" s="248">
        <f t="shared" si="0"/>
        <v>1695039073.2583859</v>
      </c>
      <c r="I25" s="62"/>
      <c r="J25" s="62"/>
    </row>
    <row r="26" spans="1:10">
      <c r="A26" s="66" t="s">
        <v>30</v>
      </c>
      <c r="B26" s="248">
        <f t="shared" ref="B26:G26" si="1">EXP($C$7+$C$6*LN(C17)+$C$5*LN(C15))</f>
        <v>72400935.276448652</v>
      </c>
      <c r="C26" s="248">
        <f t="shared" si="1"/>
        <v>75480580.869001225</v>
      </c>
      <c r="D26" s="248">
        <f t="shared" si="1"/>
        <v>78915173.997218519</v>
      </c>
      <c r="E26" s="248">
        <f t="shared" si="1"/>
        <v>82045379.073120713</v>
      </c>
      <c r="F26" s="248">
        <f t="shared" si="1"/>
        <v>84798843.741707236</v>
      </c>
      <c r="G26" s="248">
        <f t="shared" si="1"/>
        <v>87490487.246198222</v>
      </c>
      <c r="I26" s="62"/>
      <c r="J26" s="62"/>
    </row>
    <row r="27" spans="1:10">
      <c r="A27" s="66" t="s">
        <v>28</v>
      </c>
      <c r="B27" s="248">
        <f t="shared" ref="B27:G27" si="2">EXP($D$7+$D$6*LN(C15/C17)+$D$5*LN(C15))</f>
        <v>18279534.500479124</v>
      </c>
      <c r="C27" s="248">
        <f t="shared" si="2"/>
        <v>19104857.600450896</v>
      </c>
      <c r="D27" s="248">
        <f t="shared" si="2"/>
        <v>19971083.945748456</v>
      </c>
      <c r="E27" s="248">
        <f t="shared" si="2"/>
        <v>20840065.134879086</v>
      </c>
      <c r="F27" s="248">
        <f t="shared" si="2"/>
        <v>21620087.727444749</v>
      </c>
      <c r="G27" s="248">
        <f t="shared" si="2"/>
        <v>22363952.197704021</v>
      </c>
      <c r="I27" s="62"/>
      <c r="J27" s="62"/>
    </row>
    <row r="28" spans="1:10">
      <c r="A28" s="66" t="s">
        <v>24</v>
      </c>
      <c r="B28" s="248">
        <f t="shared" ref="B28:G28" si="3">EXP($E$7+$E$6*LN(C17)+$E$5*LN(C15))</f>
        <v>28040653.952376235</v>
      </c>
      <c r="C28" s="248">
        <f t="shared" si="3"/>
        <v>29398067.445218053</v>
      </c>
      <c r="D28" s="248">
        <f t="shared" si="3"/>
        <v>30920755.000469375</v>
      </c>
      <c r="E28" s="248">
        <f t="shared" si="3"/>
        <v>32316313.11790254</v>
      </c>
      <c r="F28" s="248">
        <f t="shared" si="3"/>
        <v>33549866.895853687</v>
      </c>
      <c r="G28" s="248">
        <f t="shared" si="3"/>
        <v>34760958.922773257</v>
      </c>
      <c r="I28" s="62"/>
      <c r="J28" s="62"/>
    </row>
    <row r="29" spans="1:10" s="68" customFormat="1">
      <c r="A29" s="67" t="s">
        <v>31</v>
      </c>
      <c r="B29" s="249">
        <f t="shared" ref="B29:G29" si="4">EXP($F$7+$F$6*LN(C17)+$F$5*LN(C15))</f>
        <v>20957675.287729133</v>
      </c>
      <c r="C29" s="249">
        <f t="shared" si="4"/>
        <v>21865017.342444994</v>
      </c>
      <c r="D29" s="249">
        <f t="shared" si="4"/>
        <v>22877697.223981779</v>
      </c>
      <c r="E29" s="249">
        <f t="shared" si="4"/>
        <v>23801300.281492781</v>
      </c>
      <c r="F29" s="249">
        <f t="shared" si="4"/>
        <v>24614251.080204181</v>
      </c>
      <c r="G29" s="249">
        <f t="shared" si="4"/>
        <v>25409394.896697916</v>
      </c>
      <c r="I29" s="62"/>
      <c r="J29" s="62"/>
    </row>
    <row r="30" spans="1:10" s="68" customFormat="1">
      <c r="A30" s="67"/>
      <c r="B30" s="249"/>
      <c r="C30" s="249"/>
      <c r="D30" s="249"/>
      <c r="E30" s="249"/>
      <c r="F30" s="249"/>
      <c r="G30" s="249"/>
      <c r="I30" s="23"/>
      <c r="J30" s="24"/>
    </row>
    <row r="31" spans="1:10" s="68" customFormat="1">
      <c r="A31" s="25"/>
      <c r="B31" s="26"/>
      <c r="C31" s="26"/>
      <c r="D31" s="26"/>
      <c r="E31" s="26"/>
      <c r="F31" s="26"/>
      <c r="G31" s="26"/>
      <c r="I31" s="23"/>
      <c r="J31" s="24"/>
    </row>
    <row r="32" spans="1:10">
      <c r="A32" s="66"/>
    </row>
    <row r="33" spans="1:8">
      <c r="A33" s="22" t="s">
        <v>172</v>
      </c>
    </row>
    <row r="34" spans="1:8">
      <c r="A34" s="69" t="s">
        <v>173</v>
      </c>
    </row>
    <row r="35" spans="1:8" s="71" customFormat="1">
      <c r="A35" s="70" t="s">
        <v>174</v>
      </c>
      <c r="B35" s="27">
        <v>0.31370669545808277</v>
      </c>
      <c r="C35" s="28"/>
    </row>
    <row r="36" spans="1:8" s="71" customFormat="1">
      <c r="A36" s="29" t="s">
        <v>175</v>
      </c>
      <c r="B36" s="30"/>
      <c r="C36" s="28"/>
      <c r="D36" s="30"/>
      <c r="E36" s="30"/>
      <c r="F36" s="30"/>
      <c r="G36" s="72"/>
      <c r="H36" s="72"/>
    </row>
    <row r="37" spans="1:8" s="71" customFormat="1">
      <c r="A37" s="73" t="s">
        <v>29</v>
      </c>
      <c r="B37" s="31">
        <v>0.6024884744001221</v>
      </c>
      <c r="C37" s="28"/>
      <c r="D37" s="32"/>
      <c r="E37" s="32"/>
      <c r="F37" s="32"/>
      <c r="G37" s="72"/>
      <c r="H37" s="72"/>
    </row>
    <row r="38" spans="1:8" s="71" customFormat="1">
      <c r="A38" s="73" t="s">
        <v>30</v>
      </c>
      <c r="B38" s="31">
        <v>0.40324448476605762</v>
      </c>
      <c r="C38" s="27"/>
      <c r="D38" s="27"/>
      <c r="E38" s="27"/>
      <c r="F38" s="27"/>
      <c r="G38" s="72"/>
      <c r="H38" s="72"/>
    </row>
    <row r="39" spans="1:8" s="71" customFormat="1">
      <c r="A39" s="73" t="s">
        <v>28</v>
      </c>
      <c r="B39" s="33">
        <v>0.51600000000000001</v>
      </c>
      <c r="C39" s="72"/>
      <c r="D39" s="72"/>
      <c r="E39" s="74"/>
      <c r="F39" s="72"/>
      <c r="G39" s="72"/>
      <c r="H39" s="72"/>
    </row>
    <row r="40" spans="1:8" s="71" customFormat="1">
      <c r="A40" s="73" t="s">
        <v>24</v>
      </c>
      <c r="B40" s="33">
        <v>0.35499999999999998</v>
      </c>
      <c r="C40" s="28"/>
      <c r="D40" s="34"/>
      <c r="E40" s="34"/>
      <c r="F40" s="34"/>
      <c r="G40" s="72"/>
      <c r="H40" s="72"/>
    </row>
    <row r="41" spans="1:8" s="71" customFormat="1">
      <c r="A41" s="73" t="s">
        <v>31</v>
      </c>
      <c r="B41" s="33">
        <v>0.629</v>
      </c>
      <c r="C41" s="32"/>
      <c r="D41" s="32"/>
      <c r="E41" s="32"/>
      <c r="F41" s="34"/>
      <c r="G41" s="72"/>
      <c r="H41" s="72"/>
    </row>
    <row r="42" spans="1:8" s="71" customFormat="1">
      <c r="A42" s="35"/>
      <c r="C42" s="34"/>
      <c r="D42" s="34"/>
      <c r="E42" s="34"/>
      <c r="F42" s="72"/>
      <c r="G42" s="72"/>
      <c r="H42" s="72"/>
    </row>
    <row r="43" spans="1:8" s="71" customFormat="1">
      <c r="A43" s="69" t="s">
        <v>176</v>
      </c>
      <c r="C43" s="34"/>
      <c r="D43" s="34"/>
      <c r="E43" s="34"/>
      <c r="F43" s="72"/>
      <c r="G43" s="72"/>
      <c r="H43" s="72"/>
    </row>
    <row r="44" spans="1:8" s="71" customFormat="1">
      <c r="A44" s="69"/>
      <c r="B44" s="14">
        <v>2013</v>
      </c>
      <c r="C44" s="14">
        <f>B44+1</f>
        <v>2014</v>
      </c>
      <c r="D44" s="14">
        <f>C44+1</f>
        <v>2015</v>
      </c>
      <c r="E44" s="14">
        <f>D44+1</f>
        <v>2016</v>
      </c>
      <c r="F44" s="14">
        <f>E44+1</f>
        <v>2017</v>
      </c>
      <c r="G44" s="14">
        <f>F44+1</f>
        <v>2018</v>
      </c>
      <c r="H44" s="72"/>
    </row>
    <row r="45" spans="1:8" s="71" customFormat="1">
      <c r="A45" s="75" t="s">
        <v>177</v>
      </c>
      <c r="B45" s="36">
        <v>0.65100000000000002</v>
      </c>
      <c r="C45" s="36">
        <v>0.66400000000000003</v>
      </c>
      <c r="D45" s="36">
        <v>0.67400000000000004</v>
      </c>
      <c r="E45" s="36">
        <v>0.68100000000000005</v>
      </c>
      <c r="F45" s="36">
        <v>0.68600000000000005</v>
      </c>
      <c r="G45" s="36">
        <v>0.68899999999999995</v>
      </c>
      <c r="H45" s="28"/>
    </row>
    <row r="46" spans="1:8" s="71" customFormat="1" ht="15" customHeight="1">
      <c r="A46" s="76" t="s">
        <v>178</v>
      </c>
      <c r="C46" s="34"/>
      <c r="D46" s="34"/>
      <c r="E46" s="34"/>
      <c r="F46" s="72"/>
      <c r="G46" s="72"/>
      <c r="H46" s="72"/>
    </row>
    <row r="47" spans="1:8" s="71" customFormat="1">
      <c r="A47" s="73" t="s">
        <v>29</v>
      </c>
      <c r="B47" s="37">
        <v>0.1</v>
      </c>
      <c r="C47" s="28"/>
      <c r="D47" s="72"/>
      <c r="E47" s="74"/>
      <c r="F47" s="72"/>
      <c r="G47" s="72"/>
      <c r="H47" s="72"/>
    </row>
    <row r="48" spans="1:8" s="71" customFormat="1">
      <c r="A48" s="73" t="s">
        <v>30</v>
      </c>
      <c r="B48" s="37">
        <v>0.1</v>
      </c>
      <c r="C48" s="72"/>
      <c r="D48" s="72"/>
      <c r="E48" s="74"/>
      <c r="F48" s="72"/>
      <c r="G48" s="72"/>
      <c r="H48" s="72"/>
    </row>
    <row r="49" spans="1:17" s="71" customFormat="1">
      <c r="A49" s="73" t="s">
        <v>28</v>
      </c>
      <c r="B49" s="37">
        <v>0.1</v>
      </c>
      <c r="C49" s="72"/>
      <c r="D49" s="72"/>
      <c r="E49" s="74"/>
      <c r="F49" s="72"/>
      <c r="G49" s="72"/>
      <c r="H49" s="72"/>
    </row>
    <row r="50" spans="1:17" s="71" customFormat="1">
      <c r="A50" s="73" t="s">
        <v>24</v>
      </c>
      <c r="B50" s="37">
        <v>0.15</v>
      </c>
      <c r="C50" s="72"/>
      <c r="D50" s="72"/>
      <c r="E50" s="74"/>
      <c r="F50" s="72"/>
      <c r="G50" s="72"/>
      <c r="H50" s="72"/>
    </row>
    <row r="51" spans="1:17" s="71" customFormat="1">
      <c r="A51" s="73" t="s">
        <v>31</v>
      </c>
      <c r="B51" s="37">
        <v>0.25</v>
      </c>
      <c r="C51" s="72"/>
      <c r="D51" s="250"/>
      <c r="E51" s="250"/>
      <c r="F51" s="77"/>
      <c r="G51" s="77"/>
      <c r="H51" s="72"/>
    </row>
    <row r="52" spans="1:17" s="71" customFormat="1">
      <c r="A52" s="72"/>
      <c r="B52" s="27"/>
      <c r="C52" s="72"/>
      <c r="D52" s="72"/>
      <c r="E52" s="74"/>
      <c r="F52" s="72"/>
      <c r="G52" s="72"/>
      <c r="H52" s="72"/>
    </row>
    <row r="53" spans="1:17" s="71" customFormat="1">
      <c r="A53" s="22" t="s">
        <v>179</v>
      </c>
      <c r="B53" s="61"/>
      <c r="C53" s="14"/>
      <c r="D53" s="14"/>
      <c r="E53" s="14"/>
      <c r="F53" s="14"/>
      <c r="G53" s="14"/>
      <c r="I53" s="62"/>
      <c r="J53" s="62"/>
      <c r="K53" s="62"/>
      <c r="L53" s="62"/>
      <c r="M53" s="62"/>
      <c r="N53" s="62"/>
      <c r="O53" s="62"/>
      <c r="P53" s="62"/>
      <c r="Q53" s="62"/>
    </row>
    <row r="54" spans="1:17" s="71" customFormat="1">
      <c r="A54" s="14" t="s">
        <v>171</v>
      </c>
      <c r="B54" s="15" t="s">
        <v>160</v>
      </c>
      <c r="C54" s="16" t="s">
        <v>161</v>
      </c>
      <c r="D54" s="16" t="s">
        <v>162</v>
      </c>
      <c r="E54" s="16" t="s">
        <v>163</v>
      </c>
      <c r="F54" s="16" t="s">
        <v>164</v>
      </c>
      <c r="G54" s="16" t="s">
        <v>165</v>
      </c>
      <c r="I54" s="62"/>
      <c r="J54" s="62"/>
      <c r="K54" s="62"/>
      <c r="L54" s="62"/>
      <c r="M54" s="62"/>
      <c r="N54" s="62"/>
      <c r="O54" s="62"/>
      <c r="P54" s="62"/>
      <c r="Q54" s="62"/>
    </row>
    <row r="55" spans="1:17" s="71" customFormat="1">
      <c r="A55" s="66" t="s">
        <v>29</v>
      </c>
      <c r="B55" s="248">
        <f t="shared" ref="B55:G59" si="5">B25*($B37*$B$35+B$45*(1-$B37)*$B47+(1-$B37)*(1-$B47))</f>
        <v>804437961.1299324</v>
      </c>
      <c r="C55" s="248">
        <f t="shared" si="5"/>
        <v>839137855.94833148</v>
      </c>
      <c r="D55" s="248">
        <f t="shared" si="5"/>
        <v>877622939.65143085</v>
      </c>
      <c r="E55" s="248">
        <f t="shared" si="5"/>
        <v>912598142.28767788</v>
      </c>
      <c r="F55" s="248">
        <f t="shared" si="5"/>
        <v>943307368.83664834</v>
      </c>
      <c r="G55" s="248">
        <f t="shared" si="5"/>
        <v>973212761.48977458</v>
      </c>
      <c r="I55" s="62"/>
      <c r="J55" s="62"/>
      <c r="K55" s="62"/>
      <c r="L55" s="62"/>
      <c r="M55" s="62"/>
      <c r="N55" s="62"/>
      <c r="O55" s="62"/>
      <c r="P55" s="62"/>
      <c r="Q55" s="62"/>
    </row>
    <row r="56" spans="1:17" s="71" customFormat="1">
      <c r="A56" s="66" t="s">
        <v>30</v>
      </c>
      <c r="B56" s="248">
        <f t="shared" si="5"/>
        <v>50856534.124694668</v>
      </c>
      <c r="C56" s="248">
        <f t="shared" si="5"/>
        <v>53078323.734336652</v>
      </c>
      <c r="D56" s="248">
        <f t="shared" si="5"/>
        <v>55540639.945216738</v>
      </c>
      <c r="E56" s="248">
        <f t="shared" si="5"/>
        <v>57777956.572797582</v>
      </c>
      <c r="F56" s="248">
        <f t="shared" si="5"/>
        <v>59742302.198810861</v>
      </c>
      <c r="G56" s="248">
        <f t="shared" si="5"/>
        <v>61654276.321941704</v>
      </c>
      <c r="I56" s="62"/>
      <c r="J56" s="62"/>
      <c r="K56" s="62"/>
      <c r="L56" s="62"/>
      <c r="M56" s="62"/>
      <c r="N56" s="62"/>
      <c r="O56" s="62"/>
      <c r="P56" s="62"/>
      <c r="Q56" s="62"/>
    </row>
    <row r="57" spans="1:17" s="71" customFormat="1">
      <c r="A57" s="66" t="s">
        <v>28</v>
      </c>
      <c r="B57" s="248">
        <f t="shared" si="5"/>
        <v>11497480.892394781</v>
      </c>
      <c r="C57" s="248">
        <f t="shared" si="5"/>
        <v>12028614.262814559</v>
      </c>
      <c r="D57" s="248">
        <f t="shared" si="5"/>
        <v>12583665.257470401</v>
      </c>
      <c r="E57" s="248">
        <f t="shared" si="5"/>
        <v>13138265.926387565</v>
      </c>
      <c r="F57" s="248">
        <f t="shared" si="5"/>
        <v>13635250.013505762</v>
      </c>
      <c r="G57" s="248">
        <f t="shared" si="5"/>
        <v>14107634.024951342</v>
      </c>
      <c r="I57" s="62"/>
      <c r="J57" s="62"/>
      <c r="K57" s="62"/>
      <c r="L57" s="62"/>
      <c r="M57" s="62"/>
      <c r="N57" s="62"/>
      <c r="O57" s="62"/>
      <c r="P57" s="62"/>
      <c r="Q57" s="62"/>
    </row>
    <row r="58" spans="1:17" s="71" customFormat="1">
      <c r="A58" s="66" t="s">
        <v>24</v>
      </c>
      <c r="B58" s="248">
        <f t="shared" si="5"/>
        <v>20262180.103998896</v>
      </c>
      <c r="C58" s="248">
        <f t="shared" si="5"/>
        <v>21280022.685494579</v>
      </c>
      <c r="D58" s="248">
        <f t="shared" si="5"/>
        <v>22412147.896864958</v>
      </c>
      <c r="E58" s="248">
        <f t="shared" si="5"/>
        <v>23445570.058361128</v>
      </c>
      <c r="F58" s="248">
        <f t="shared" si="5"/>
        <v>24356746.312782697</v>
      </c>
      <c r="G58" s="248">
        <f t="shared" si="5"/>
        <v>25246071.993810859</v>
      </c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1" customFormat="1">
      <c r="A59" s="67" t="s">
        <v>31</v>
      </c>
      <c r="B59" s="249">
        <f t="shared" si="5"/>
        <v>11232302.986211671</v>
      </c>
      <c r="C59" s="249">
        <f t="shared" si="5"/>
        <v>11744958.303328721</v>
      </c>
      <c r="D59" s="249">
        <f t="shared" si="5"/>
        <v>12310145.972558791</v>
      </c>
      <c r="E59" s="249">
        <f t="shared" si="5"/>
        <v>12822575.928536272</v>
      </c>
      <c r="F59" s="249">
        <f t="shared" si="5"/>
        <v>13271955.235608108</v>
      </c>
      <c r="G59" s="249">
        <f t="shared" si="5"/>
        <v>13707765.364402842</v>
      </c>
      <c r="I59" s="62"/>
      <c r="J59" s="62"/>
      <c r="K59" s="62"/>
      <c r="L59" s="62"/>
      <c r="M59" s="62"/>
      <c r="N59" s="62"/>
      <c r="O59" s="62"/>
      <c r="P59" s="62"/>
      <c r="Q59" s="62"/>
    </row>
    <row r="60" spans="1:17" s="71" customFormat="1">
      <c r="A60" s="67"/>
      <c r="B60" s="251"/>
      <c r="C60" s="251"/>
      <c r="D60" s="251"/>
      <c r="E60" s="251"/>
      <c r="F60" s="251"/>
      <c r="G60" s="251"/>
      <c r="I60" s="62"/>
      <c r="J60" s="62"/>
      <c r="K60" s="62"/>
      <c r="L60" s="62"/>
      <c r="M60" s="62"/>
      <c r="N60" s="62"/>
      <c r="O60" s="62"/>
      <c r="P60" s="62"/>
      <c r="Q60" s="62"/>
    </row>
    <row r="61" spans="1:17" s="71" customFormat="1">
      <c r="A61" s="25"/>
      <c r="B61" s="26"/>
      <c r="C61" s="26"/>
      <c r="D61" s="26"/>
      <c r="E61" s="26"/>
      <c r="F61" s="26"/>
      <c r="G61" s="26"/>
      <c r="I61" s="62"/>
      <c r="J61" s="62"/>
      <c r="K61" s="62"/>
      <c r="L61" s="62"/>
      <c r="M61" s="62"/>
      <c r="N61" s="62"/>
      <c r="O61" s="62"/>
      <c r="P61" s="62"/>
      <c r="Q61" s="62"/>
    </row>
    <row r="62" spans="1:17" s="71" customFormat="1">
      <c r="B62" s="26"/>
      <c r="C62" s="26"/>
      <c r="D62" s="26"/>
      <c r="E62" s="26"/>
      <c r="F62" s="26"/>
      <c r="G62" s="26"/>
      <c r="I62" s="62"/>
      <c r="J62" s="62"/>
      <c r="K62" s="62"/>
      <c r="L62" s="62"/>
      <c r="M62" s="62"/>
      <c r="N62" s="62"/>
      <c r="O62" s="62"/>
      <c r="P62" s="62"/>
      <c r="Q62" s="62"/>
    </row>
    <row r="63" spans="1:17" s="71" customFormat="1">
      <c r="A63" s="38" t="s">
        <v>180</v>
      </c>
      <c r="B63" s="39">
        <f t="shared" ref="B63:G63" si="6">SUM(B55:B56)</f>
        <v>855294495.25462711</v>
      </c>
      <c r="C63" s="39">
        <f t="shared" si="6"/>
        <v>892216179.68266809</v>
      </c>
      <c r="D63" s="39">
        <f t="shared" si="6"/>
        <v>933163579.59664762</v>
      </c>
      <c r="E63" s="39">
        <f t="shared" si="6"/>
        <v>970376098.86047542</v>
      </c>
      <c r="F63" s="39">
        <f t="shared" si="6"/>
        <v>1003049671.0354592</v>
      </c>
      <c r="G63" s="39">
        <f t="shared" si="6"/>
        <v>1034867037.8117163</v>
      </c>
      <c r="I63" s="62"/>
      <c r="J63" s="62"/>
      <c r="K63" s="62"/>
      <c r="L63" s="62"/>
      <c r="M63" s="62"/>
      <c r="N63" s="62"/>
      <c r="O63" s="62"/>
      <c r="P63" s="62"/>
      <c r="Q63" s="62"/>
    </row>
    <row r="64" spans="1:17" s="71" customFormat="1">
      <c r="A64" s="38" t="s">
        <v>181</v>
      </c>
      <c r="B64" s="39">
        <f t="shared" ref="B64:G64" si="7">SUM(B57:B59)</f>
        <v>42991963.982605346</v>
      </c>
      <c r="C64" s="39">
        <f t="shared" si="7"/>
        <v>45053595.251637861</v>
      </c>
      <c r="D64" s="39">
        <f t="shared" si="7"/>
        <v>47305959.126894146</v>
      </c>
      <c r="E64" s="39">
        <f t="shared" si="7"/>
        <v>49406411.913284965</v>
      </c>
      <c r="F64" s="39">
        <f t="shared" si="7"/>
        <v>51263951.56189657</v>
      </c>
      <c r="G64" s="39">
        <f t="shared" si="7"/>
        <v>53061471.383165047</v>
      </c>
      <c r="I64" s="62"/>
      <c r="J64" s="62"/>
      <c r="K64" s="62"/>
      <c r="L64" s="62"/>
      <c r="M64" s="62"/>
      <c r="N64" s="62"/>
      <c r="O64" s="62"/>
      <c r="P64" s="62"/>
      <c r="Q64" s="62"/>
    </row>
    <row r="65" spans="1:17" s="71" customFormat="1">
      <c r="A65" s="40" t="s">
        <v>182</v>
      </c>
      <c r="B65" s="39">
        <f t="shared" ref="B65:G65" si="8">B63+B64</f>
        <v>898286459.23723245</v>
      </c>
      <c r="C65" s="39">
        <f t="shared" si="8"/>
        <v>937269774.93430591</v>
      </c>
      <c r="D65" s="39">
        <f t="shared" si="8"/>
        <v>980469538.72354174</v>
      </c>
      <c r="E65" s="39">
        <f t="shared" si="8"/>
        <v>1019782510.7737604</v>
      </c>
      <c r="F65" s="39">
        <f t="shared" si="8"/>
        <v>1054313622.5973557</v>
      </c>
      <c r="G65" s="39">
        <f t="shared" si="8"/>
        <v>1087928509.1948814</v>
      </c>
      <c r="I65" s="62"/>
      <c r="J65" s="62"/>
      <c r="K65" s="62"/>
      <c r="L65" s="62"/>
      <c r="M65" s="62"/>
      <c r="N65" s="62"/>
      <c r="O65" s="62"/>
      <c r="P65" s="62"/>
      <c r="Q65" s="62"/>
    </row>
    <row r="66" spans="1:17" s="71" customFormat="1">
      <c r="I66" s="62"/>
      <c r="J66" s="62"/>
      <c r="K66" s="62"/>
      <c r="L66" s="62"/>
      <c r="M66" s="62"/>
      <c r="N66" s="62"/>
      <c r="O66" s="62"/>
      <c r="P66" s="62"/>
      <c r="Q66" s="62"/>
    </row>
    <row r="67" spans="1:17" s="71" customFormat="1">
      <c r="A67" s="41" t="s">
        <v>21</v>
      </c>
      <c r="B67" s="15" t="s">
        <v>160</v>
      </c>
      <c r="C67" s="16" t="s">
        <v>161</v>
      </c>
      <c r="D67" s="16" t="s">
        <v>162</v>
      </c>
      <c r="E67" s="16" t="s">
        <v>163</v>
      </c>
      <c r="F67" s="16" t="s">
        <v>164</v>
      </c>
      <c r="G67" s="16" t="s">
        <v>165</v>
      </c>
      <c r="I67" s="62"/>
      <c r="J67" s="62"/>
      <c r="K67" s="62"/>
      <c r="L67" s="62"/>
      <c r="M67" s="62"/>
      <c r="N67" s="62"/>
      <c r="O67" s="62"/>
      <c r="P67" s="62"/>
      <c r="Q67" s="62"/>
    </row>
    <row r="68" spans="1:17" s="71" customFormat="1">
      <c r="A68" s="67" t="s">
        <v>47</v>
      </c>
      <c r="C68" s="78">
        <f t="shared" ref="C68:G69" si="9">C55-B55</f>
        <v>34699894.818399072</v>
      </c>
      <c r="D68" s="78">
        <f t="shared" si="9"/>
        <v>38485083.70309937</v>
      </c>
      <c r="E68" s="78">
        <f t="shared" si="9"/>
        <v>34975202.636247039</v>
      </c>
      <c r="F68" s="78">
        <f t="shared" si="9"/>
        <v>30709226.548970461</v>
      </c>
      <c r="G68" s="78">
        <f t="shared" si="9"/>
        <v>29905392.65312624</v>
      </c>
      <c r="I68" s="62"/>
      <c r="J68" s="62"/>
      <c r="K68" s="62"/>
      <c r="L68" s="62"/>
      <c r="M68" s="62"/>
      <c r="N68" s="62"/>
      <c r="O68" s="62"/>
      <c r="P68" s="62"/>
      <c r="Q68" s="62"/>
    </row>
    <row r="69" spans="1:17" s="71" customFormat="1">
      <c r="A69" s="67" t="s">
        <v>48</v>
      </c>
      <c r="C69" s="78">
        <f t="shared" si="9"/>
        <v>2221789.6096419841</v>
      </c>
      <c r="D69" s="78">
        <f t="shared" si="9"/>
        <v>2462316.2108800858</v>
      </c>
      <c r="E69" s="78">
        <f t="shared" si="9"/>
        <v>2237316.6275808439</v>
      </c>
      <c r="F69" s="78">
        <f t="shared" si="9"/>
        <v>1964345.626013279</v>
      </c>
      <c r="G69" s="78">
        <f t="shared" si="9"/>
        <v>1911974.123130843</v>
      </c>
      <c r="I69" s="62"/>
      <c r="J69" s="62"/>
      <c r="K69" s="62"/>
      <c r="L69" s="62"/>
      <c r="M69" s="62"/>
      <c r="N69" s="62"/>
      <c r="O69" s="62"/>
      <c r="P69" s="62"/>
      <c r="Q69" s="62"/>
    </row>
    <row r="70" spans="1:17" s="71" customFormat="1">
      <c r="C70" s="26"/>
      <c r="D70" s="26"/>
      <c r="E70" s="26"/>
      <c r="F70" s="26"/>
      <c r="G70" s="26"/>
      <c r="I70" s="62"/>
      <c r="J70" s="62"/>
      <c r="K70" s="62"/>
      <c r="L70" s="62"/>
      <c r="M70" s="62"/>
      <c r="N70" s="62"/>
      <c r="O70" s="62"/>
      <c r="P70" s="62"/>
      <c r="Q70" s="62"/>
    </row>
    <row r="71" spans="1:17" s="71" customFormat="1">
      <c r="A71" s="38" t="s">
        <v>183</v>
      </c>
      <c r="C71" s="39">
        <f>SUM(C68:C69)</f>
        <v>36921684.428041056</v>
      </c>
      <c r="D71" s="39">
        <f>SUM(D68:D69)</f>
        <v>40947399.913979456</v>
      </c>
      <c r="E71" s="39">
        <f>SUM(E68:E69)</f>
        <v>37212519.263827883</v>
      </c>
      <c r="F71" s="39">
        <f>SUM(F68:F69)</f>
        <v>32673572.17498374</v>
      </c>
      <c r="G71" s="39">
        <f>SUM(G68:G69)</f>
        <v>31817366.776257083</v>
      </c>
      <c r="I71" s="62"/>
      <c r="J71" s="62"/>
      <c r="K71" s="62"/>
      <c r="L71" s="62"/>
      <c r="M71" s="62"/>
      <c r="N71" s="62"/>
      <c r="O71" s="62"/>
      <c r="P71" s="62"/>
      <c r="Q71" s="62"/>
    </row>
    <row r="72" spans="1:17" s="71" customFormat="1">
      <c r="I72" s="62"/>
      <c r="J72" s="62"/>
      <c r="K72" s="62"/>
      <c r="L72" s="62"/>
      <c r="M72" s="62"/>
      <c r="N72" s="62"/>
      <c r="O72" s="62"/>
      <c r="P72" s="62"/>
      <c r="Q72" s="62"/>
    </row>
    <row r="73" spans="1:17" s="71" customFormat="1">
      <c r="C73" s="78"/>
      <c r="D73" s="78"/>
      <c r="E73" s="78"/>
      <c r="F73" s="78"/>
      <c r="G73" s="78"/>
    </row>
    <row r="74" spans="1:17" s="71" customFormat="1">
      <c r="A74" s="5" t="s">
        <v>184</v>
      </c>
      <c r="C74" s="252"/>
      <c r="D74" s="252"/>
      <c r="E74" s="252"/>
      <c r="F74" s="252"/>
      <c r="G74" s="252"/>
    </row>
    <row r="75" spans="1:17" s="71" customFormat="1">
      <c r="A75" s="7" t="s">
        <v>152</v>
      </c>
      <c r="B75" s="8" t="s">
        <v>185</v>
      </c>
    </row>
    <row r="76" spans="1:17" s="71" customFormat="1">
      <c r="A76" s="63" t="s">
        <v>186</v>
      </c>
      <c r="B76" s="10">
        <v>0.99141420000000002</v>
      </c>
    </row>
    <row r="77" spans="1:17" s="71" customFormat="1">
      <c r="A77" s="63" t="s">
        <v>32</v>
      </c>
      <c r="B77" s="10">
        <v>-2.3975780000000002</v>
      </c>
    </row>
    <row r="78" spans="1:17" s="71" customFormat="1"/>
    <row r="79" spans="1:17" s="71" customFormat="1"/>
    <row r="80" spans="1:17" s="71" customFormat="1">
      <c r="A80" s="5" t="s">
        <v>187</v>
      </c>
    </row>
    <row r="81" spans="1:7" ht="6" customHeight="1">
      <c r="A81" s="5"/>
    </row>
    <row r="82" spans="1:7" s="71" customFormat="1">
      <c r="A82" s="13" t="s">
        <v>149</v>
      </c>
      <c r="B82" s="61"/>
      <c r="C82" s="14"/>
      <c r="D82" s="14"/>
      <c r="E82" s="14"/>
      <c r="F82" s="14"/>
      <c r="G82" s="14"/>
    </row>
    <row r="83" spans="1:7" s="71" customFormat="1">
      <c r="A83" s="22" t="s">
        <v>188</v>
      </c>
      <c r="B83" s="61"/>
      <c r="C83" s="14"/>
      <c r="D83" s="14"/>
      <c r="E83" s="14"/>
      <c r="F83" s="14"/>
      <c r="G83" s="14"/>
    </row>
    <row r="84" spans="1:7" s="71" customFormat="1">
      <c r="A84" s="14" t="s">
        <v>171</v>
      </c>
      <c r="B84" s="15" t="s">
        <v>160</v>
      </c>
      <c r="C84" s="16" t="s">
        <v>161</v>
      </c>
      <c r="D84" s="16" t="s">
        <v>162</v>
      </c>
      <c r="E84" s="16" t="s">
        <v>163</v>
      </c>
      <c r="F84" s="16" t="s">
        <v>164</v>
      </c>
      <c r="G84" s="16" t="s">
        <v>165</v>
      </c>
    </row>
    <row r="85" spans="1:7" s="71" customFormat="1">
      <c r="A85" s="66" t="s">
        <v>189</v>
      </c>
      <c r="B85" s="248">
        <f t="shared" ref="B85:G85" si="10">EXP($B$77+$B$76*LN(C16))</f>
        <v>261649.49052379822</v>
      </c>
      <c r="C85" s="248">
        <f t="shared" si="10"/>
        <v>274198.25020429806</v>
      </c>
      <c r="D85" s="248">
        <f t="shared" si="10"/>
        <v>287060.05921454035</v>
      </c>
      <c r="E85" s="248">
        <f t="shared" si="10"/>
        <v>300776.4323659612</v>
      </c>
      <c r="F85" s="248">
        <f t="shared" si="10"/>
        <v>313362.68039617682</v>
      </c>
      <c r="G85" s="248">
        <f t="shared" si="10"/>
        <v>326504.89886156336</v>
      </c>
    </row>
    <row r="86" spans="1:7" s="71" customFormat="1">
      <c r="A86" s="66" t="s">
        <v>190</v>
      </c>
      <c r="B86" s="253">
        <f t="shared" ref="B86:G86" si="11">B85/C16</f>
        <v>7.9948328087783363E-2</v>
      </c>
      <c r="C86" s="253">
        <f t="shared" si="11"/>
        <v>7.9915900418663519E-2</v>
      </c>
      <c r="D86" s="253">
        <f t="shared" si="11"/>
        <v>7.9884181531870213E-2</v>
      </c>
      <c r="E86" s="253">
        <f t="shared" si="11"/>
        <v>7.9851897316776055E-2</v>
      </c>
      <c r="F86" s="253">
        <f t="shared" si="11"/>
        <v>7.9823553774742456E-2</v>
      </c>
      <c r="G86" s="253">
        <f t="shared" si="11"/>
        <v>7.9795158303088629E-2</v>
      </c>
    </row>
    <row r="87" spans="1:7" s="71" customFormat="1"/>
    <row r="88" spans="1:7" s="71" customFormat="1"/>
    <row r="89" spans="1:7" s="71" customFormat="1"/>
    <row r="90" spans="1:7" s="71" customFormat="1"/>
    <row r="91" spans="1:7" s="71" customFormat="1">
      <c r="A91" s="66"/>
    </row>
    <row r="92" spans="1:7" s="71" customFormat="1">
      <c r="A92" s="66"/>
    </row>
    <row r="93" spans="1:7" s="71" customFormat="1">
      <c r="A93" s="66"/>
    </row>
    <row r="94" spans="1:7" s="71" customFormat="1">
      <c r="A94" s="66"/>
    </row>
    <row r="95" spans="1:7" s="71" customFormat="1">
      <c r="A95" s="67"/>
    </row>
    <row r="96" spans="1:7" s="71" customFormat="1"/>
  </sheetData>
  <sheetProtection password="CCC5" sheet="1" objects="1" scenarios="1"/>
  <mergeCells count="3">
    <mergeCell ref="A13:A14"/>
    <mergeCell ref="B13:B14"/>
    <mergeCell ref="D13:H13"/>
  </mergeCells>
  <pageMargins left="0.74803149606299213" right="0.74803149606299213" top="0.98425196850393704" bottom="0.98425196850393704" header="0" footer="0"/>
  <pageSetup scale="38" orientation="landscape" r:id="rId1"/>
  <headerFooter alignWithMargins="0">
    <oddFooter>&amp;C&amp;A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Q163"/>
  <sheetViews>
    <sheetView zoomScaleNormal="100" workbookViewId="0">
      <selection activeCell="B2" sqref="B2"/>
    </sheetView>
  </sheetViews>
  <sheetFormatPr baseColWidth="10" defaultRowHeight="12.75"/>
  <cols>
    <col min="1" max="1" width="4.7109375" style="3" customWidth="1"/>
    <col min="2" max="2" width="23" style="3" bestFit="1" customWidth="1"/>
    <col min="3" max="3" width="6" style="3" customWidth="1"/>
    <col min="4" max="7" width="18.5703125" style="3" bestFit="1" customWidth="1"/>
    <col min="8" max="8" width="12.5703125" style="3" bestFit="1" customWidth="1"/>
    <col min="9" max="9" width="17.7109375" style="3" customWidth="1"/>
    <col min="10" max="10" width="10.85546875" style="3" customWidth="1"/>
    <col min="11" max="11" width="67.7109375" style="3" customWidth="1"/>
    <col min="12" max="12" width="11.42578125" style="3"/>
    <col min="13" max="13" width="16.140625" style="3" bestFit="1" customWidth="1"/>
    <col min="14" max="14" width="25.85546875" style="3" bestFit="1" customWidth="1"/>
    <col min="15" max="16384" width="11.42578125" style="3"/>
  </cols>
  <sheetData>
    <row r="2" spans="2:16" ht="18.75">
      <c r="B2" s="139" t="s">
        <v>149</v>
      </c>
      <c r="D2" s="80"/>
    </row>
    <row r="4" spans="2:16" ht="15.75">
      <c r="B4" s="81" t="s">
        <v>21</v>
      </c>
    </row>
    <row r="5" spans="2:16" ht="15.75">
      <c r="B5" s="82" t="s">
        <v>88</v>
      </c>
    </row>
    <row r="6" spans="2:16" ht="16.5" thickBot="1">
      <c r="C6" s="81"/>
    </row>
    <row r="7" spans="2:16" ht="13.5" thickBot="1">
      <c r="B7" s="100"/>
      <c r="C7" s="100"/>
      <c r="D7" s="1" t="s">
        <v>143</v>
      </c>
      <c r="E7" s="1" t="s">
        <v>144</v>
      </c>
      <c r="F7" s="1" t="s">
        <v>145</v>
      </c>
      <c r="G7" s="1" t="s">
        <v>146</v>
      </c>
      <c r="H7" s="184" t="s">
        <v>71</v>
      </c>
      <c r="K7" s="323" t="s">
        <v>192</v>
      </c>
      <c r="L7" s="324"/>
      <c r="M7" s="324"/>
      <c r="N7" s="324"/>
      <c r="O7" s="324"/>
      <c r="P7" s="325"/>
    </row>
    <row r="8" spans="2:16">
      <c r="B8" s="185"/>
      <c r="C8" s="186"/>
      <c r="D8" s="1" t="s">
        <v>135</v>
      </c>
      <c r="E8" s="1" t="s">
        <v>135</v>
      </c>
      <c r="F8" s="1" t="s">
        <v>135</v>
      </c>
      <c r="G8" s="1" t="s">
        <v>135</v>
      </c>
      <c r="H8" s="1" t="s">
        <v>83</v>
      </c>
      <c r="K8" s="328" t="s">
        <v>119</v>
      </c>
      <c r="L8" s="333" t="s">
        <v>201</v>
      </c>
      <c r="M8" s="333">
        <v>2015</v>
      </c>
      <c r="N8" s="333">
        <v>2016</v>
      </c>
      <c r="O8" s="333">
        <v>2017</v>
      </c>
      <c r="P8" s="338" t="s">
        <v>202</v>
      </c>
    </row>
    <row r="9" spans="2:16" ht="13.5" thickBot="1">
      <c r="B9" s="187"/>
      <c r="C9" s="164"/>
      <c r="D9" s="85"/>
      <c r="E9" s="85"/>
      <c r="F9" s="85"/>
      <c r="G9" s="85"/>
      <c r="H9" s="185"/>
      <c r="K9" s="329"/>
      <c r="L9" s="334"/>
      <c r="M9" s="334"/>
      <c r="N9" s="334"/>
      <c r="O9" s="334"/>
      <c r="P9" s="339"/>
    </row>
    <row r="10" spans="2:16">
      <c r="B10" s="187" t="s">
        <v>49</v>
      </c>
      <c r="C10" s="188" t="s">
        <v>47</v>
      </c>
      <c r="D10" s="189">
        <f>+REGRESIONES!D68/1000+INVERSIONES!D22+INVERSIONES!D23+INVERSIONES!D24</f>
        <v>58680.76062309937</v>
      </c>
      <c r="E10" s="189">
        <f>+REGRESIONES!E68/1000+INVERSIONES!E22+INVERSIONES!E23+INVERSIONES!E24</f>
        <v>64283.121083747043</v>
      </c>
      <c r="F10" s="189">
        <f>+REGRESIONES!F68/1000+INVERSIONES!F22+INVERSIONES!F23+INVERSIONES!F24</f>
        <v>59725.053123970458</v>
      </c>
      <c r="G10" s="189">
        <f>+REGRESIONES!G68/1000+INVERSIONES!G22+INVERSIONES!G23+INVERSIONES!G24</f>
        <v>53071.412690626239</v>
      </c>
      <c r="H10" s="190">
        <f>SUM(D10:G10)</f>
        <v>235760.34752144309</v>
      </c>
      <c r="K10" s="195" t="s">
        <v>193</v>
      </c>
      <c r="L10" s="196">
        <v>3000</v>
      </c>
      <c r="M10" s="197"/>
      <c r="N10" s="197"/>
      <c r="O10" s="197"/>
      <c r="P10" s="198"/>
    </row>
    <row r="11" spans="2:16" ht="13.5" customHeight="1">
      <c r="B11" s="187" t="s">
        <v>43</v>
      </c>
      <c r="C11" s="188" t="s">
        <v>48</v>
      </c>
      <c r="D11" s="189">
        <f>+REGRESIONES!D69/1000</f>
        <v>2462.3162108800857</v>
      </c>
      <c r="E11" s="189">
        <f>+REGRESIONES!E69/1000</f>
        <v>2237.3166275808439</v>
      </c>
      <c r="F11" s="189">
        <f>+REGRESIONES!F69/1000</f>
        <v>1964.3456260132789</v>
      </c>
      <c r="G11" s="189">
        <f>+REGRESIONES!G69/1000</f>
        <v>1911.9741231308431</v>
      </c>
      <c r="H11" s="190">
        <f>SUM(D11:G11)</f>
        <v>8575.952587605052</v>
      </c>
      <c r="K11" s="199" t="s">
        <v>194</v>
      </c>
      <c r="L11" s="200">
        <v>1000</v>
      </c>
      <c r="M11" s="200">
        <v>1500</v>
      </c>
      <c r="N11" s="200"/>
      <c r="O11" s="200"/>
      <c r="P11" s="201"/>
    </row>
    <row r="12" spans="2:16">
      <c r="B12" s="187" t="s">
        <v>90</v>
      </c>
      <c r="C12" s="188" t="s">
        <v>62</v>
      </c>
      <c r="D12" s="189">
        <f>D32</f>
        <v>2636.5472500000001</v>
      </c>
      <c r="E12" s="189">
        <f>E32</f>
        <v>2859.0472500000001</v>
      </c>
      <c r="F12" s="189">
        <f>F32</f>
        <v>1660.5472500000001</v>
      </c>
      <c r="G12" s="189">
        <f>G32</f>
        <v>1035.0472500000001</v>
      </c>
      <c r="H12" s="190">
        <f>SUM(D12:G12)</f>
        <v>8191.1890000000003</v>
      </c>
      <c r="K12" s="199" t="s">
        <v>195</v>
      </c>
      <c r="L12" s="200">
        <v>850</v>
      </c>
      <c r="M12" s="200">
        <v>640</v>
      </c>
      <c r="N12" s="200">
        <v>5668</v>
      </c>
      <c r="O12" s="200"/>
      <c r="P12" s="201"/>
    </row>
    <row r="13" spans="2:16">
      <c r="B13" s="158"/>
      <c r="C13" s="164"/>
      <c r="D13" s="159"/>
      <c r="E13" s="159"/>
      <c r="F13" s="159"/>
      <c r="G13" s="159"/>
      <c r="H13" s="191"/>
      <c r="K13" s="199" t="s">
        <v>196</v>
      </c>
      <c r="L13" s="200"/>
      <c r="M13" s="200">
        <v>3610</v>
      </c>
      <c r="N13" s="200"/>
      <c r="O13" s="200"/>
      <c r="P13" s="201"/>
    </row>
    <row r="14" spans="2:16">
      <c r="B14" s="96" t="s">
        <v>22</v>
      </c>
      <c r="C14" s="99"/>
      <c r="D14" s="192">
        <f>+D10+D11+D12</f>
        <v>63779.624083979455</v>
      </c>
      <c r="E14" s="193">
        <f>+E10+E11+E12</f>
        <v>69379.484961327893</v>
      </c>
      <c r="F14" s="193">
        <f>+F10+F11+F12</f>
        <v>63349.945999983742</v>
      </c>
      <c r="G14" s="192">
        <f>+G10+G11+G12</f>
        <v>56018.434063757086</v>
      </c>
      <c r="H14" s="194">
        <f>SUM(D14:G14)</f>
        <v>252527.48910904815</v>
      </c>
      <c r="K14" s="199" t="s">
        <v>197</v>
      </c>
      <c r="L14" s="200"/>
      <c r="M14" s="200"/>
      <c r="N14" s="200">
        <v>750</v>
      </c>
      <c r="O14" s="200">
        <v>5770</v>
      </c>
      <c r="P14" s="201">
        <v>2650</v>
      </c>
    </row>
    <row r="15" spans="2:16">
      <c r="B15" s="110"/>
      <c r="C15" s="110"/>
      <c r="E15" s="95"/>
      <c r="F15" s="95"/>
      <c r="G15" s="95"/>
      <c r="H15" s="95"/>
      <c r="K15" s="199" t="s">
        <v>198</v>
      </c>
      <c r="L15" s="200"/>
      <c r="M15" s="200"/>
      <c r="N15" s="200"/>
      <c r="O15" s="200"/>
      <c r="P15" s="201">
        <v>3834</v>
      </c>
    </row>
    <row r="16" spans="2:16">
      <c r="B16" s="144"/>
      <c r="E16" s="144"/>
      <c r="F16" s="144"/>
      <c r="G16" s="144"/>
      <c r="H16" s="144"/>
      <c r="K16" s="199" t="s">
        <v>199</v>
      </c>
      <c r="L16" s="200"/>
      <c r="M16" s="200"/>
      <c r="N16" s="203"/>
      <c r="O16" s="200"/>
      <c r="P16" s="201">
        <v>1000</v>
      </c>
    </row>
    <row r="17" spans="2:17" ht="13.5" thickBot="1">
      <c r="E17" s="144"/>
      <c r="F17" s="144"/>
      <c r="G17" s="202"/>
      <c r="H17" s="144"/>
      <c r="K17" s="199" t="s">
        <v>200</v>
      </c>
      <c r="L17" s="200"/>
      <c r="M17" s="200">
        <v>3174</v>
      </c>
      <c r="N17" s="203">
        <v>2202</v>
      </c>
      <c r="O17" s="200">
        <v>5796</v>
      </c>
      <c r="P17" s="201">
        <v>1882</v>
      </c>
    </row>
    <row r="18" spans="2:17" ht="13.5" thickBot="1">
      <c r="B18" s="330" t="s">
        <v>389</v>
      </c>
      <c r="C18" s="331"/>
      <c r="D18" s="331"/>
      <c r="E18" s="331"/>
      <c r="F18" s="331"/>
      <c r="G18" s="331"/>
      <c r="H18" s="332"/>
      <c r="K18" s="205" t="s">
        <v>71</v>
      </c>
      <c r="L18" s="206">
        <f>SUM(L10:L17)</f>
        <v>4850</v>
      </c>
      <c r="M18" s="206">
        <f t="shared" ref="M18:P18" si="0">SUM(M10:M17)</f>
        <v>8924</v>
      </c>
      <c r="N18" s="206">
        <f t="shared" si="0"/>
        <v>8620</v>
      </c>
      <c r="O18" s="206">
        <f t="shared" si="0"/>
        <v>11566</v>
      </c>
      <c r="P18" s="207">
        <f t="shared" si="0"/>
        <v>9366</v>
      </c>
    </row>
    <row r="19" spans="2:17">
      <c r="B19" s="145"/>
      <c r="C19" s="92"/>
      <c r="D19" s="1" t="s">
        <v>143</v>
      </c>
      <c r="E19" s="1" t="s">
        <v>144</v>
      </c>
      <c r="F19" s="1" t="s">
        <v>145</v>
      </c>
      <c r="G19" s="1" t="s">
        <v>146</v>
      </c>
      <c r="H19" s="208" t="s">
        <v>71</v>
      </c>
    </row>
    <row r="20" spans="2:17" ht="16.5" customHeight="1" thickBot="1">
      <c r="B20" s="145"/>
      <c r="C20" s="92"/>
      <c r="D20" s="1" t="s">
        <v>135</v>
      </c>
      <c r="E20" s="1" t="s">
        <v>135</v>
      </c>
      <c r="F20" s="1" t="s">
        <v>135</v>
      </c>
      <c r="G20" s="1" t="s">
        <v>135</v>
      </c>
      <c r="H20" s="208" t="s">
        <v>83</v>
      </c>
    </row>
    <row r="21" spans="2:17" ht="15" customHeight="1" thickBot="1">
      <c r="B21" s="145"/>
      <c r="C21" s="92"/>
      <c r="D21" s="92"/>
      <c r="E21" s="92"/>
      <c r="F21" s="92"/>
      <c r="G21" s="92"/>
      <c r="H21" s="211"/>
      <c r="I21" s="204"/>
      <c r="K21" s="323" t="s">
        <v>209</v>
      </c>
      <c r="L21" s="324"/>
      <c r="M21" s="324"/>
      <c r="N21" s="324"/>
      <c r="O21" s="324"/>
      <c r="P21" s="325"/>
    </row>
    <row r="22" spans="2:17">
      <c r="B22" s="43" t="s">
        <v>384</v>
      </c>
      <c r="C22" s="55" t="s">
        <v>47</v>
      </c>
      <c r="D22" s="44">
        <f>L18+M18/2</f>
        <v>9312</v>
      </c>
      <c r="E22" s="44">
        <f>(M18+N18)/2</f>
        <v>8772</v>
      </c>
      <c r="F22" s="44">
        <f>(N18+O18)/2</f>
        <v>10093</v>
      </c>
      <c r="G22" s="44">
        <f>O18/2+P18</f>
        <v>15149</v>
      </c>
      <c r="H22" s="45">
        <f>SUM(D22:G22)</f>
        <v>43326</v>
      </c>
      <c r="I22" s="204"/>
      <c r="K22" s="328" t="s">
        <v>119</v>
      </c>
      <c r="L22" s="333" t="s">
        <v>201</v>
      </c>
      <c r="M22" s="333">
        <v>2015</v>
      </c>
      <c r="N22" s="333">
        <v>2016</v>
      </c>
      <c r="O22" s="333">
        <v>2017</v>
      </c>
      <c r="P22" s="338" t="s">
        <v>202</v>
      </c>
    </row>
    <row r="23" spans="2:17" ht="13.5" thickBot="1">
      <c r="B23" s="46" t="s">
        <v>385</v>
      </c>
      <c r="C23" s="56" t="s">
        <v>48</v>
      </c>
      <c r="D23" s="47">
        <f>L30+M30/2</f>
        <v>9226.5519199999999</v>
      </c>
      <c r="E23" s="47">
        <f>(M30+N30)/2</f>
        <v>18878.7934475</v>
      </c>
      <c r="F23" s="47">
        <f>(N30+O30)/2</f>
        <v>17265.701574999999</v>
      </c>
      <c r="G23" s="47">
        <f>O30/2+P30</f>
        <v>6359.8950375000004</v>
      </c>
      <c r="H23" s="58">
        <f>SUM(D23:G23)</f>
        <v>51730.941979999996</v>
      </c>
      <c r="I23" s="209"/>
      <c r="K23" s="329"/>
      <c r="L23" s="334"/>
      <c r="M23" s="334"/>
      <c r="N23" s="334"/>
      <c r="O23" s="334"/>
      <c r="P23" s="339"/>
      <c r="Q23" s="212"/>
    </row>
    <row r="24" spans="2:17">
      <c r="B24" s="48" t="s">
        <v>386</v>
      </c>
      <c r="C24" s="57" t="s">
        <v>47</v>
      </c>
      <c r="D24" s="49">
        <f>+P163/4/1000</f>
        <v>1657.125</v>
      </c>
      <c r="E24" s="49">
        <f>+D24</f>
        <v>1657.125</v>
      </c>
      <c r="F24" s="49">
        <f t="shared" ref="F24:G24" si="1">+E24</f>
        <v>1657.125</v>
      </c>
      <c r="G24" s="49">
        <f t="shared" si="1"/>
        <v>1657.125</v>
      </c>
      <c r="H24" s="50">
        <f>SUM(D24:G24)</f>
        <v>6628.5</v>
      </c>
      <c r="I24" s="209"/>
      <c r="J24" s="210"/>
      <c r="K24" s="195" t="s">
        <v>203</v>
      </c>
      <c r="L24" s="196"/>
      <c r="M24" s="197"/>
      <c r="N24" s="197">
        <v>1500</v>
      </c>
      <c r="O24" s="197">
        <v>3500</v>
      </c>
      <c r="P24" s="198">
        <v>1500</v>
      </c>
    </row>
    <row r="25" spans="2:17">
      <c r="B25" s="51" t="s">
        <v>120</v>
      </c>
      <c r="C25" s="52"/>
      <c r="D25" s="53"/>
      <c r="E25" s="53"/>
      <c r="F25" s="53"/>
      <c r="G25" s="53"/>
      <c r="H25" s="54"/>
      <c r="I25" s="95"/>
      <c r="K25" s="199" t="s">
        <v>204</v>
      </c>
      <c r="L25" s="200">
        <v>2615.9</v>
      </c>
      <c r="M25" s="200">
        <v>6976</v>
      </c>
      <c r="N25" s="200">
        <v>17112.437000000002</v>
      </c>
      <c r="O25" s="200"/>
      <c r="P25" s="201"/>
    </row>
    <row r="26" spans="2:17">
      <c r="I26" s="98"/>
      <c r="K26" s="199" t="s">
        <v>205</v>
      </c>
      <c r="L26" s="200"/>
      <c r="M26" s="200">
        <v>109.22782000000001</v>
      </c>
      <c r="N26" s="200"/>
      <c r="O26" s="200"/>
      <c r="P26" s="201"/>
    </row>
    <row r="27" spans="2:17" ht="15.75">
      <c r="B27" s="326"/>
      <c r="C27" s="327"/>
      <c r="D27" s="327"/>
      <c r="E27" s="327"/>
      <c r="F27" s="327"/>
      <c r="G27" s="327"/>
      <c r="H27" s="327"/>
      <c r="I27" s="209"/>
      <c r="K27" s="199" t="s">
        <v>206</v>
      </c>
      <c r="L27" s="200">
        <v>137.66501</v>
      </c>
      <c r="M27" s="200"/>
      <c r="N27" s="200">
        <v>308.70807500000001</v>
      </c>
      <c r="O27" s="200">
        <v>308.70807500000001</v>
      </c>
      <c r="P27" s="201"/>
    </row>
    <row r="28" spans="2:17" ht="16.5" thickBot="1">
      <c r="B28" s="326"/>
      <c r="C28" s="327"/>
      <c r="D28" s="327"/>
      <c r="E28" s="327"/>
      <c r="F28" s="327"/>
      <c r="G28" s="327"/>
      <c r="H28" s="327"/>
      <c r="I28" s="95"/>
      <c r="K28" s="199" t="s">
        <v>207</v>
      </c>
      <c r="L28" s="200"/>
      <c r="M28" s="200">
        <v>990.74599999999998</v>
      </c>
      <c r="N28" s="200">
        <v>1020.468</v>
      </c>
      <c r="O28" s="200">
        <v>1051.0820000000001</v>
      </c>
      <c r="P28" s="201"/>
    </row>
    <row r="29" spans="2:17" ht="15">
      <c r="B29" s="214"/>
      <c r="C29" s="335" t="s">
        <v>121</v>
      </c>
      <c r="D29" s="336"/>
      <c r="E29" s="336"/>
      <c r="F29" s="336"/>
      <c r="G29" s="336"/>
      <c r="H29" s="337"/>
      <c r="I29" s="95"/>
      <c r="J29" s="213"/>
      <c r="K29" s="199" t="s">
        <v>208</v>
      </c>
      <c r="L29" s="200"/>
      <c r="M29" s="200">
        <v>4870</v>
      </c>
      <c r="N29" s="200">
        <v>4870</v>
      </c>
      <c r="O29" s="200">
        <v>4860</v>
      </c>
      <c r="P29" s="201"/>
    </row>
    <row r="30" spans="2:17" ht="15.75" thickBot="1">
      <c r="B30" s="215"/>
      <c r="C30" s="216"/>
      <c r="D30" s="1" t="s">
        <v>143</v>
      </c>
      <c r="E30" s="1" t="s">
        <v>144</v>
      </c>
      <c r="F30" s="1" t="s">
        <v>145</v>
      </c>
      <c r="G30" s="1" t="s">
        <v>146</v>
      </c>
      <c r="H30" s="217" t="s">
        <v>122</v>
      </c>
      <c r="K30" s="205" t="s">
        <v>71</v>
      </c>
      <c r="L30" s="206">
        <f>SUM(L24:L29)</f>
        <v>2753.5650100000003</v>
      </c>
      <c r="M30" s="206">
        <f>SUM(M24:M29)</f>
        <v>12945.973819999999</v>
      </c>
      <c r="N30" s="206">
        <f>SUM(N24:N29)</f>
        <v>24811.613075000001</v>
      </c>
      <c r="O30" s="206">
        <f>SUM(O24:O29)</f>
        <v>9719.7900750000008</v>
      </c>
      <c r="P30" s="207">
        <f>SUM(P24:P29)</f>
        <v>1500</v>
      </c>
    </row>
    <row r="31" spans="2:17" ht="15">
      <c r="B31" s="215"/>
      <c r="C31" s="216"/>
      <c r="D31" s="1" t="s">
        <v>135</v>
      </c>
      <c r="E31" s="1" t="s">
        <v>135</v>
      </c>
      <c r="F31" s="1" t="s">
        <v>135</v>
      </c>
      <c r="G31" s="1" t="s">
        <v>135</v>
      </c>
      <c r="H31" s="217" t="s">
        <v>83</v>
      </c>
      <c r="I31" s="110"/>
    </row>
    <row r="32" spans="2:17" ht="13.5" thickBot="1">
      <c r="B32" s="218" t="s">
        <v>149</v>
      </c>
      <c r="C32" s="219"/>
      <c r="D32" s="220">
        <f>L39+M39/2</f>
        <v>2636.5472500000001</v>
      </c>
      <c r="E32" s="220">
        <f>(M39+N39)/2</f>
        <v>2859.0472500000001</v>
      </c>
      <c r="F32" s="220">
        <f>(N39+O39)/2</f>
        <v>1660.5472500000001</v>
      </c>
      <c r="G32" s="220">
        <f>O39/2+P39</f>
        <v>1035.0472500000001</v>
      </c>
      <c r="H32" s="221">
        <f>SUM(D32:G32)</f>
        <v>8191.1890000000003</v>
      </c>
      <c r="I32" s="110"/>
      <c r="J32" s="110"/>
    </row>
    <row r="33" spans="4:16" ht="13.5" thickBot="1">
      <c r="D33" s="222"/>
      <c r="E33" s="222"/>
      <c r="I33" s="110"/>
      <c r="J33" s="110"/>
      <c r="K33" s="323" t="s">
        <v>209</v>
      </c>
      <c r="L33" s="324"/>
      <c r="M33" s="324"/>
      <c r="N33" s="324"/>
      <c r="O33" s="324"/>
      <c r="P33" s="325"/>
    </row>
    <row r="34" spans="4:16" ht="15" customHeight="1">
      <c r="D34" s="222"/>
      <c r="E34" s="222"/>
      <c r="J34" s="110"/>
      <c r="K34" s="328" t="s">
        <v>119</v>
      </c>
      <c r="L34" s="333" t="s">
        <v>201</v>
      </c>
      <c r="M34" s="333">
        <v>2015</v>
      </c>
      <c r="N34" s="333">
        <v>2016</v>
      </c>
      <c r="O34" s="333">
        <v>2017</v>
      </c>
      <c r="P34" s="338" t="s">
        <v>202</v>
      </c>
    </row>
    <row r="35" spans="4:16" ht="13.5" thickBot="1">
      <c r="D35" s="222"/>
      <c r="E35" s="222"/>
      <c r="I35" s="209"/>
      <c r="K35" s="329"/>
      <c r="L35" s="334"/>
      <c r="M35" s="334"/>
      <c r="N35" s="334"/>
      <c r="O35" s="334"/>
      <c r="P35" s="339"/>
    </row>
    <row r="36" spans="4:16">
      <c r="K36" s="195" t="s">
        <v>210</v>
      </c>
      <c r="L36" s="196">
        <v>250</v>
      </c>
      <c r="M36" s="197">
        <v>260</v>
      </c>
      <c r="N36" s="197">
        <v>270</v>
      </c>
      <c r="O36" s="197">
        <v>281</v>
      </c>
      <c r="P36" s="198">
        <v>291</v>
      </c>
    </row>
    <row r="37" spans="4:16">
      <c r="K37" s="199" t="s">
        <v>245</v>
      </c>
      <c r="L37" s="200">
        <v>444</v>
      </c>
      <c r="M37" s="200">
        <v>2549</v>
      </c>
      <c r="N37" s="200">
        <v>1563</v>
      </c>
      <c r="O37" s="200">
        <v>131</v>
      </c>
      <c r="P37" s="201">
        <v>0</v>
      </c>
    </row>
    <row r="38" spans="4:16">
      <c r="K38" s="199" t="s">
        <v>211</v>
      </c>
      <c r="L38" s="200">
        <v>269.02362499999998</v>
      </c>
      <c r="M38" s="200">
        <v>538.04724999999996</v>
      </c>
      <c r="N38" s="200">
        <v>538.04724999999996</v>
      </c>
      <c r="O38" s="200">
        <v>538.04724999999996</v>
      </c>
      <c r="P38" s="201">
        <v>269.02362499999998</v>
      </c>
    </row>
    <row r="39" spans="4:16" ht="13.5" thickBot="1">
      <c r="K39" s="205" t="s">
        <v>71</v>
      </c>
      <c r="L39" s="206">
        <f>SUM(L36:L38)</f>
        <v>963.02362500000004</v>
      </c>
      <c r="M39" s="206">
        <f>SUM(M36:M38)</f>
        <v>3347.0472500000001</v>
      </c>
      <c r="N39" s="206">
        <f>SUM(N36:N38)</f>
        <v>2371.0472500000001</v>
      </c>
      <c r="O39" s="206">
        <f>SUM(O36:O38)</f>
        <v>950.04724999999996</v>
      </c>
      <c r="P39" s="207">
        <f>SUM(P36:P38)</f>
        <v>560.02362500000004</v>
      </c>
    </row>
    <row r="40" spans="4:16">
      <c r="D40" s="222"/>
      <c r="E40" s="222"/>
    </row>
    <row r="41" spans="4:16" ht="13.5" thickBot="1"/>
    <row r="42" spans="4:16" ht="26.25" thickBot="1">
      <c r="K42" s="223" t="s">
        <v>244</v>
      </c>
      <c r="L42" s="224" t="s">
        <v>212</v>
      </c>
      <c r="M42" s="225" t="s">
        <v>213</v>
      </c>
    </row>
    <row r="43" spans="4:16">
      <c r="K43" s="226" t="s">
        <v>214</v>
      </c>
      <c r="L43" s="227">
        <v>175</v>
      </c>
      <c r="M43" s="228">
        <v>280659</v>
      </c>
    </row>
    <row r="44" spans="4:16">
      <c r="K44" s="51" t="s">
        <v>215</v>
      </c>
      <c r="L44" s="229">
        <v>560</v>
      </c>
      <c r="M44" s="230">
        <v>358509</v>
      </c>
    </row>
    <row r="45" spans="4:16">
      <c r="K45" s="51" t="s">
        <v>216</v>
      </c>
      <c r="L45" s="229">
        <v>213</v>
      </c>
      <c r="M45" s="230">
        <v>295538</v>
      </c>
    </row>
    <row r="46" spans="4:16">
      <c r="K46" s="51" t="s">
        <v>217</v>
      </c>
      <c r="L46" s="229">
        <v>141</v>
      </c>
      <c r="M46" s="230">
        <v>195706</v>
      </c>
    </row>
    <row r="47" spans="4:16">
      <c r="K47" s="51" t="s">
        <v>218</v>
      </c>
      <c r="L47" s="229">
        <v>89</v>
      </c>
      <c r="M47" s="230">
        <v>31691</v>
      </c>
    </row>
    <row r="48" spans="4:16">
      <c r="K48" s="51" t="s">
        <v>219</v>
      </c>
      <c r="L48" s="229">
        <v>44</v>
      </c>
      <c r="M48" s="230">
        <v>15726</v>
      </c>
    </row>
    <row r="49" spans="11:13">
      <c r="K49" s="51" t="s">
        <v>220</v>
      </c>
      <c r="L49" s="229">
        <v>40</v>
      </c>
      <c r="M49" s="230">
        <v>11732</v>
      </c>
    </row>
    <row r="50" spans="11:13">
      <c r="K50" s="51" t="s">
        <v>221</v>
      </c>
      <c r="L50" s="229">
        <v>247</v>
      </c>
      <c r="M50" s="230">
        <v>78268</v>
      </c>
    </row>
    <row r="51" spans="11:13">
      <c r="K51" s="51" t="s">
        <v>222</v>
      </c>
      <c r="L51" s="229">
        <v>222</v>
      </c>
      <c r="M51" s="230">
        <v>70436</v>
      </c>
    </row>
    <row r="52" spans="11:13">
      <c r="K52" s="51" t="s">
        <v>223</v>
      </c>
      <c r="L52" s="229">
        <v>144</v>
      </c>
      <c r="M52" s="230">
        <v>44370</v>
      </c>
    </row>
    <row r="53" spans="11:13">
      <c r="K53" s="51" t="s">
        <v>224</v>
      </c>
      <c r="L53" s="229">
        <v>190</v>
      </c>
      <c r="M53" s="230">
        <v>59626</v>
      </c>
    </row>
    <row r="54" spans="11:13">
      <c r="K54" s="51" t="s">
        <v>225</v>
      </c>
      <c r="L54" s="229">
        <v>269</v>
      </c>
      <c r="M54" s="230">
        <v>85280</v>
      </c>
    </row>
    <row r="55" spans="11:13">
      <c r="K55" s="51" t="s">
        <v>226</v>
      </c>
      <c r="L55" s="229">
        <v>164</v>
      </c>
      <c r="M55" s="230">
        <v>43641</v>
      </c>
    </row>
    <row r="56" spans="11:13">
      <c r="K56" s="51" t="s">
        <v>227</v>
      </c>
      <c r="L56" s="229">
        <v>200</v>
      </c>
      <c r="M56" s="230">
        <v>63505</v>
      </c>
    </row>
    <row r="57" spans="11:13">
      <c r="K57" s="51" t="s">
        <v>228</v>
      </c>
      <c r="L57" s="229">
        <v>111</v>
      </c>
      <c r="M57" s="230">
        <v>39554</v>
      </c>
    </row>
    <row r="58" spans="11:13">
      <c r="K58" s="51" t="s">
        <v>229</v>
      </c>
      <c r="L58" s="229">
        <v>422</v>
      </c>
      <c r="M58" s="230">
        <v>150354</v>
      </c>
    </row>
    <row r="59" spans="11:13">
      <c r="K59" s="51" t="s">
        <v>230</v>
      </c>
      <c r="L59" s="229">
        <v>44</v>
      </c>
      <c r="M59" s="230">
        <v>14023</v>
      </c>
    </row>
    <row r="60" spans="11:13">
      <c r="K60" s="51" t="s">
        <v>231</v>
      </c>
      <c r="L60" s="229">
        <v>22</v>
      </c>
      <c r="M60" s="230">
        <v>23746</v>
      </c>
    </row>
    <row r="61" spans="11:13">
      <c r="K61" s="51" t="s">
        <v>232</v>
      </c>
      <c r="L61" s="229">
        <v>78</v>
      </c>
      <c r="M61" s="230">
        <v>83465</v>
      </c>
    </row>
    <row r="62" spans="11:13">
      <c r="K62" s="51" t="s">
        <v>233</v>
      </c>
      <c r="L62" s="229">
        <v>11</v>
      </c>
      <c r="M62" s="230">
        <v>3326</v>
      </c>
    </row>
    <row r="63" spans="11:13">
      <c r="K63" s="51" t="s">
        <v>234</v>
      </c>
      <c r="L63" s="229">
        <v>9</v>
      </c>
      <c r="M63" s="230">
        <v>2708</v>
      </c>
    </row>
    <row r="64" spans="11:13">
      <c r="K64" s="51" t="s">
        <v>235</v>
      </c>
      <c r="L64" s="229">
        <v>11</v>
      </c>
      <c r="M64" s="230">
        <v>2900</v>
      </c>
    </row>
    <row r="65" spans="11:16">
      <c r="K65" s="51" t="s">
        <v>236</v>
      </c>
      <c r="L65" s="229">
        <v>40</v>
      </c>
      <c r="M65" s="230">
        <v>11732</v>
      </c>
    </row>
    <row r="66" spans="11:16">
      <c r="K66" s="51" t="s">
        <v>237</v>
      </c>
      <c r="L66" s="229">
        <v>44</v>
      </c>
      <c r="M66" s="230">
        <v>57448</v>
      </c>
    </row>
    <row r="67" spans="11:16">
      <c r="K67" s="51" t="s">
        <v>238</v>
      </c>
      <c r="L67" s="229">
        <v>31</v>
      </c>
      <c r="M67" s="230">
        <v>9390</v>
      </c>
    </row>
    <row r="68" spans="11:16">
      <c r="K68" s="51" t="s">
        <v>239</v>
      </c>
      <c r="L68" s="229">
        <v>7</v>
      </c>
      <c r="M68" s="230">
        <v>1820</v>
      </c>
    </row>
    <row r="69" spans="11:16">
      <c r="K69" s="51" t="s">
        <v>240</v>
      </c>
      <c r="L69" s="229">
        <v>44</v>
      </c>
      <c r="M69" s="230">
        <v>15726</v>
      </c>
    </row>
    <row r="70" spans="11:16">
      <c r="K70" s="51" t="s">
        <v>241</v>
      </c>
      <c r="L70" s="229">
        <v>6</v>
      </c>
      <c r="M70" s="230">
        <v>1550</v>
      </c>
    </row>
    <row r="71" spans="11:16">
      <c r="K71" s="51" t="s">
        <v>242</v>
      </c>
      <c r="L71" s="229">
        <v>31</v>
      </c>
      <c r="M71" s="230">
        <v>38046</v>
      </c>
    </row>
    <row r="72" spans="11:16" ht="13.5" thickBot="1">
      <c r="K72" s="231" t="s">
        <v>243</v>
      </c>
      <c r="L72" s="232">
        <v>143</v>
      </c>
      <c r="M72" s="233">
        <v>52834</v>
      </c>
    </row>
    <row r="73" spans="11:16" ht="13.5" thickBot="1">
      <c r="K73" s="234" t="s">
        <v>122</v>
      </c>
      <c r="L73" s="235">
        <f>SUM(L43:L72)</f>
        <v>3752</v>
      </c>
      <c r="M73" s="236">
        <f>SUM(M43:M72)</f>
        <v>2143309</v>
      </c>
    </row>
    <row r="76" spans="11:16" ht="13.5" thickBot="1">
      <c r="K76" s="237"/>
      <c r="L76" s="160"/>
      <c r="M76" s="160"/>
      <c r="N76" s="160"/>
      <c r="O76" s="160"/>
      <c r="P76" s="160"/>
    </row>
    <row r="77" spans="11:16">
      <c r="K77" s="343" t="s">
        <v>382</v>
      </c>
      <c r="L77" s="344"/>
      <c r="M77" s="344"/>
      <c r="N77" s="344"/>
      <c r="O77" s="344"/>
      <c r="P77" s="345"/>
    </row>
    <row r="78" spans="11:16">
      <c r="K78" s="238" t="s">
        <v>246</v>
      </c>
      <c r="L78" s="239" t="s">
        <v>247</v>
      </c>
      <c r="M78" s="239" t="s">
        <v>248</v>
      </c>
      <c r="N78" s="239" t="s">
        <v>249</v>
      </c>
      <c r="O78" s="239" t="s">
        <v>250</v>
      </c>
      <c r="P78" s="240" t="s">
        <v>251</v>
      </c>
    </row>
    <row r="79" spans="11:16">
      <c r="K79" s="241" t="s">
        <v>252</v>
      </c>
      <c r="L79" s="242" t="s">
        <v>253</v>
      </c>
      <c r="M79" s="242" t="s">
        <v>254</v>
      </c>
      <c r="N79" s="242" t="s">
        <v>255</v>
      </c>
      <c r="O79" s="242">
        <v>46</v>
      </c>
      <c r="P79" s="243">
        <f t="shared" ref="P79:P100" si="2">+O79*2700</f>
        <v>124200</v>
      </c>
    </row>
    <row r="80" spans="11:16">
      <c r="K80" s="241" t="s">
        <v>252</v>
      </c>
      <c r="L80" s="242" t="s">
        <v>253</v>
      </c>
      <c r="M80" s="242" t="s">
        <v>254</v>
      </c>
      <c r="N80" s="242" t="s">
        <v>256</v>
      </c>
      <c r="O80" s="242">
        <v>46</v>
      </c>
      <c r="P80" s="243">
        <f t="shared" si="2"/>
        <v>124200</v>
      </c>
    </row>
    <row r="81" spans="11:16">
      <c r="K81" s="241" t="s">
        <v>252</v>
      </c>
      <c r="L81" s="242" t="s">
        <v>253</v>
      </c>
      <c r="M81" s="242" t="s">
        <v>254</v>
      </c>
      <c r="N81" s="242" t="s">
        <v>257</v>
      </c>
      <c r="O81" s="242">
        <v>32</v>
      </c>
      <c r="P81" s="243">
        <f t="shared" si="2"/>
        <v>86400</v>
      </c>
    </row>
    <row r="82" spans="11:16">
      <c r="K82" s="241" t="s">
        <v>252</v>
      </c>
      <c r="L82" s="242" t="s">
        <v>253</v>
      </c>
      <c r="M82" s="242" t="s">
        <v>254</v>
      </c>
      <c r="N82" s="242" t="s">
        <v>258</v>
      </c>
      <c r="O82" s="242">
        <v>24</v>
      </c>
      <c r="P82" s="243">
        <f t="shared" si="2"/>
        <v>64800</v>
      </c>
    </row>
    <row r="83" spans="11:16">
      <c r="K83" s="241" t="s">
        <v>252</v>
      </c>
      <c r="L83" s="242" t="s">
        <v>253</v>
      </c>
      <c r="M83" s="242" t="s">
        <v>259</v>
      </c>
      <c r="N83" s="242" t="s">
        <v>260</v>
      </c>
      <c r="O83" s="242">
        <v>22</v>
      </c>
      <c r="P83" s="243">
        <f t="shared" si="2"/>
        <v>59400</v>
      </c>
    </row>
    <row r="84" spans="11:16">
      <c r="K84" s="241" t="s">
        <v>252</v>
      </c>
      <c r="L84" s="242" t="s">
        <v>253</v>
      </c>
      <c r="M84" s="242" t="s">
        <v>261</v>
      </c>
      <c r="N84" s="242" t="s">
        <v>262</v>
      </c>
      <c r="O84" s="242">
        <v>11</v>
      </c>
      <c r="P84" s="243">
        <f t="shared" si="2"/>
        <v>29700</v>
      </c>
    </row>
    <row r="85" spans="11:16">
      <c r="K85" s="241" t="s">
        <v>252</v>
      </c>
      <c r="L85" s="242" t="s">
        <v>253</v>
      </c>
      <c r="M85" s="242" t="s">
        <v>263</v>
      </c>
      <c r="N85" s="242" t="s">
        <v>264</v>
      </c>
      <c r="O85" s="242">
        <v>20</v>
      </c>
      <c r="P85" s="243">
        <f t="shared" si="2"/>
        <v>54000</v>
      </c>
    </row>
    <row r="86" spans="11:16">
      <c r="K86" s="241" t="s">
        <v>252</v>
      </c>
      <c r="L86" s="242" t="s">
        <v>252</v>
      </c>
      <c r="M86" s="242" t="s">
        <v>265</v>
      </c>
      <c r="N86" s="242" t="s">
        <v>266</v>
      </c>
      <c r="O86" s="242">
        <v>16</v>
      </c>
      <c r="P86" s="243">
        <f t="shared" si="2"/>
        <v>43200</v>
      </c>
    </row>
    <row r="87" spans="11:16">
      <c r="K87" s="241" t="s">
        <v>252</v>
      </c>
      <c r="L87" s="242" t="s">
        <v>252</v>
      </c>
      <c r="M87" s="242" t="s">
        <v>267</v>
      </c>
      <c r="N87" s="242" t="s">
        <v>268</v>
      </c>
      <c r="O87" s="242">
        <v>122</v>
      </c>
      <c r="P87" s="243">
        <f t="shared" si="2"/>
        <v>329400</v>
      </c>
    </row>
    <row r="88" spans="11:16">
      <c r="K88" s="241" t="s">
        <v>252</v>
      </c>
      <c r="L88" s="242" t="s">
        <v>252</v>
      </c>
      <c r="M88" s="242" t="s">
        <v>269</v>
      </c>
      <c r="N88" s="242" t="s">
        <v>270</v>
      </c>
      <c r="O88" s="242">
        <v>15</v>
      </c>
      <c r="P88" s="243">
        <f t="shared" si="2"/>
        <v>40500</v>
      </c>
    </row>
    <row r="89" spans="11:16">
      <c r="K89" s="241" t="s">
        <v>252</v>
      </c>
      <c r="L89" s="242" t="s">
        <v>252</v>
      </c>
      <c r="M89" s="242" t="s">
        <v>271</v>
      </c>
      <c r="N89" s="242" t="s">
        <v>272</v>
      </c>
      <c r="O89" s="242">
        <v>11</v>
      </c>
      <c r="P89" s="243">
        <f t="shared" si="2"/>
        <v>29700</v>
      </c>
    </row>
    <row r="90" spans="11:16">
      <c r="K90" s="241" t="s">
        <v>252</v>
      </c>
      <c r="L90" s="242" t="s">
        <v>252</v>
      </c>
      <c r="M90" s="242" t="s">
        <v>273</v>
      </c>
      <c r="N90" s="242" t="s">
        <v>274</v>
      </c>
      <c r="O90" s="242">
        <v>16</v>
      </c>
      <c r="P90" s="243">
        <f t="shared" si="2"/>
        <v>43200</v>
      </c>
    </row>
    <row r="91" spans="11:16">
      <c r="K91" s="241" t="s">
        <v>252</v>
      </c>
      <c r="L91" s="242" t="s">
        <v>252</v>
      </c>
      <c r="M91" s="242" t="s">
        <v>275</v>
      </c>
      <c r="N91" s="242" t="s">
        <v>276</v>
      </c>
      <c r="O91" s="242">
        <v>79</v>
      </c>
      <c r="P91" s="243">
        <f t="shared" si="2"/>
        <v>213300</v>
      </c>
    </row>
    <row r="92" spans="11:16">
      <c r="K92" s="241" t="s">
        <v>252</v>
      </c>
      <c r="L92" s="242" t="s">
        <v>252</v>
      </c>
      <c r="M92" s="242" t="s">
        <v>277</v>
      </c>
      <c r="N92" s="242" t="s">
        <v>278</v>
      </c>
      <c r="O92" s="242">
        <v>11</v>
      </c>
      <c r="P92" s="243">
        <f t="shared" si="2"/>
        <v>29700</v>
      </c>
    </row>
    <row r="93" spans="11:16">
      <c r="K93" s="241" t="s">
        <v>252</v>
      </c>
      <c r="L93" s="242" t="s">
        <v>252</v>
      </c>
      <c r="M93" s="242" t="s">
        <v>277</v>
      </c>
      <c r="N93" s="242" t="s">
        <v>279</v>
      </c>
      <c r="O93" s="242">
        <v>48</v>
      </c>
      <c r="P93" s="243">
        <f t="shared" si="2"/>
        <v>129600</v>
      </c>
    </row>
    <row r="94" spans="11:16">
      <c r="K94" s="241" t="s">
        <v>252</v>
      </c>
      <c r="L94" s="242" t="s">
        <v>252</v>
      </c>
      <c r="M94" s="242" t="s">
        <v>277</v>
      </c>
      <c r="N94" s="242" t="s">
        <v>280</v>
      </c>
      <c r="O94" s="242">
        <v>58</v>
      </c>
      <c r="P94" s="243">
        <f t="shared" si="2"/>
        <v>156600</v>
      </c>
    </row>
    <row r="95" spans="11:16">
      <c r="K95" s="241" t="s">
        <v>252</v>
      </c>
      <c r="L95" s="242" t="s">
        <v>252</v>
      </c>
      <c r="M95" s="242" t="s">
        <v>281</v>
      </c>
      <c r="N95" s="242" t="s">
        <v>282</v>
      </c>
      <c r="O95" s="242">
        <v>12</v>
      </c>
      <c r="P95" s="243">
        <f t="shared" si="2"/>
        <v>32400</v>
      </c>
    </row>
    <row r="96" spans="11:16">
      <c r="K96" s="241" t="s">
        <v>252</v>
      </c>
      <c r="L96" s="242" t="s">
        <v>252</v>
      </c>
      <c r="M96" s="242" t="s">
        <v>283</v>
      </c>
      <c r="N96" s="242" t="s">
        <v>283</v>
      </c>
      <c r="O96" s="242">
        <v>17</v>
      </c>
      <c r="P96" s="243">
        <f t="shared" si="2"/>
        <v>45900</v>
      </c>
    </row>
    <row r="97" spans="11:16">
      <c r="K97" s="241" t="s">
        <v>252</v>
      </c>
      <c r="L97" s="242" t="s">
        <v>284</v>
      </c>
      <c r="M97" s="242" t="s">
        <v>285</v>
      </c>
      <c r="N97" s="242" t="s">
        <v>286</v>
      </c>
      <c r="O97" s="242">
        <v>13</v>
      </c>
      <c r="P97" s="243">
        <f t="shared" si="2"/>
        <v>35100</v>
      </c>
    </row>
    <row r="98" spans="11:16">
      <c r="K98" s="241" t="s">
        <v>252</v>
      </c>
      <c r="L98" s="242" t="s">
        <v>284</v>
      </c>
      <c r="M98" s="242" t="s">
        <v>287</v>
      </c>
      <c r="N98" s="242" t="s">
        <v>288</v>
      </c>
      <c r="O98" s="242">
        <v>11</v>
      </c>
      <c r="P98" s="243">
        <f t="shared" si="2"/>
        <v>29700</v>
      </c>
    </row>
    <row r="99" spans="11:16">
      <c r="K99" s="241" t="s">
        <v>252</v>
      </c>
      <c r="L99" s="242" t="s">
        <v>289</v>
      </c>
      <c r="M99" s="242" t="s">
        <v>290</v>
      </c>
      <c r="N99" s="242" t="s">
        <v>291</v>
      </c>
      <c r="O99" s="242">
        <v>11</v>
      </c>
      <c r="P99" s="243">
        <f t="shared" si="2"/>
        <v>29700</v>
      </c>
    </row>
    <row r="100" spans="11:16">
      <c r="K100" s="241" t="s">
        <v>252</v>
      </c>
      <c r="L100" s="242" t="s">
        <v>289</v>
      </c>
      <c r="M100" s="242" t="s">
        <v>292</v>
      </c>
      <c r="N100" s="242" t="s">
        <v>293</v>
      </c>
      <c r="O100" s="242">
        <v>18</v>
      </c>
      <c r="P100" s="243">
        <f t="shared" si="2"/>
        <v>48600</v>
      </c>
    </row>
    <row r="101" spans="11:16">
      <c r="K101" s="346" t="s">
        <v>294</v>
      </c>
      <c r="L101" s="347"/>
      <c r="M101" s="347"/>
      <c r="N101" s="348"/>
      <c r="O101" s="244">
        <f t="shared" ref="O101" si="3">SUM(O79:O100)</f>
        <v>659</v>
      </c>
      <c r="P101" s="243">
        <f>SUM(P79:P100)</f>
        <v>1779300</v>
      </c>
    </row>
    <row r="102" spans="11:16">
      <c r="K102" s="241" t="s">
        <v>295</v>
      </c>
      <c r="L102" s="242" t="s">
        <v>296</v>
      </c>
      <c r="M102" s="242" t="s">
        <v>297</v>
      </c>
      <c r="N102" s="242" t="s">
        <v>298</v>
      </c>
      <c r="O102" s="242">
        <v>65</v>
      </c>
      <c r="P102" s="243">
        <f t="shared" ref="P102:P130" si="4">+O102*2700</f>
        <v>175500</v>
      </c>
    </row>
    <row r="103" spans="11:16">
      <c r="K103" s="241" t="s">
        <v>295</v>
      </c>
      <c r="L103" s="242" t="s">
        <v>299</v>
      </c>
      <c r="M103" s="242" t="s">
        <v>297</v>
      </c>
      <c r="N103" s="242" t="s">
        <v>300</v>
      </c>
      <c r="O103" s="242">
        <v>73</v>
      </c>
      <c r="P103" s="243">
        <f t="shared" si="4"/>
        <v>197100</v>
      </c>
    </row>
    <row r="104" spans="11:16">
      <c r="K104" s="241" t="s">
        <v>295</v>
      </c>
      <c r="L104" s="242" t="s">
        <v>299</v>
      </c>
      <c r="M104" s="242" t="s">
        <v>301</v>
      </c>
      <c r="N104" s="242" t="s">
        <v>302</v>
      </c>
      <c r="O104" s="242">
        <v>20</v>
      </c>
      <c r="P104" s="243">
        <f t="shared" si="4"/>
        <v>54000</v>
      </c>
    </row>
    <row r="105" spans="11:16">
      <c r="K105" s="241" t="s">
        <v>295</v>
      </c>
      <c r="L105" s="242" t="s">
        <v>299</v>
      </c>
      <c r="M105" s="242" t="s">
        <v>303</v>
      </c>
      <c r="N105" s="242" t="s">
        <v>304</v>
      </c>
      <c r="O105" s="242">
        <v>28</v>
      </c>
      <c r="P105" s="243">
        <f t="shared" si="4"/>
        <v>75600</v>
      </c>
    </row>
    <row r="106" spans="11:16">
      <c r="K106" s="241" t="s">
        <v>295</v>
      </c>
      <c r="L106" s="242" t="s">
        <v>299</v>
      </c>
      <c r="M106" s="242" t="s">
        <v>303</v>
      </c>
      <c r="N106" s="242" t="s">
        <v>305</v>
      </c>
      <c r="O106" s="242">
        <v>25</v>
      </c>
      <c r="P106" s="243">
        <f t="shared" si="4"/>
        <v>67500</v>
      </c>
    </row>
    <row r="107" spans="11:16">
      <c r="K107" s="241" t="s">
        <v>295</v>
      </c>
      <c r="L107" s="242" t="s">
        <v>299</v>
      </c>
      <c r="M107" s="242" t="s">
        <v>303</v>
      </c>
      <c r="N107" s="242" t="s">
        <v>306</v>
      </c>
      <c r="O107" s="242">
        <v>29</v>
      </c>
      <c r="P107" s="243">
        <f t="shared" si="4"/>
        <v>78300</v>
      </c>
    </row>
    <row r="108" spans="11:16">
      <c r="K108" s="241" t="s">
        <v>295</v>
      </c>
      <c r="L108" s="242" t="s">
        <v>299</v>
      </c>
      <c r="M108" s="242" t="s">
        <v>307</v>
      </c>
      <c r="N108" s="242" t="s">
        <v>308</v>
      </c>
      <c r="O108" s="242">
        <v>14</v>
      </c>
      <c r="P108" s="243">
        <f t="shared" si="4"/>
        <v>37800</v>
      </c>
    </row>
    <row r="109" spans="11:16">
      <c r="K109" s="241" t="s">
        <v>295</v>
      </c>
      <c r="L109" s="242" t="s">
        <v>299</v>
      </c>
      <c r="M109" s="242" t="s">
        <v>307</v>
      </c>
      <c r="N109" s="242" t="s">
        <v>309</v>
      </c>
      <c r="O109" s="242">
        <v>26</v>
      </c>
      <c r="P109" s="243">
        <f t="shared" si="4"/>
        <v>70200</v>
      </c>
    </row>
    <row r="110" spans="11:16">
      <c r="K110" s="241" t="s">
        <v>295</v>
      </c>
      <c r="L110" s="242" t="s">
        <v>299</v>
      </c>
      <c r="M110" s="242" t="s">
        <v>310</v>
      </c>
      <c r="N110" s="242" t="s">
        <v>311</v>
      </c>
      <c r="O110" s="242">
        <v>34</v>
      </c>
      <c r="P110" s="243">
        <f t="shared" si="4"/>
        <v>91800</v>
      </c>
    </row>
    <row r="111" spans="11:16">
      <c r="K111" s="241" t="s">
        <v>295</v>
      </c>
      <c r="L111" s="242" t="s">
        <v>299</v>
      </c>
      <c r="M111" s="242" t="s">
        <v>312</v>
      </c>
      <c r="N111" s="242" t="s">
        <v>313</v>
      </c>
      <c r="O111" s="242">
        <v>37</v>
      </c>
      <c r="P111" s="243">
        <f t="shared" si="4"/>
        <v>99900</v>
      </c>
    </row>
    <row r="112" spans="11:16">
      <c r="K112" s="241" t="s">
        <v>295</v>
      </c>
      <c r="L112" s="242" t="s">
        <v>299</v>
      </c>
      <c r="M112" s="242" t="s">
        <v>312</v>
      </c>
      <c r="N112" s="242" t="s">
        <v>314</v>
      </c>
      <c r="O112" s="242">
        <v>45</v>
      </c>
      <c r="P112" s="243">
        <f t="shared" si="4"/>
        <v>121500</v>
      </c>
    </row>
    <row r="113" spans="11:16">
      <c r="K113" s="241" t="s">
        <v>295</v>
      </c>
      <c r="L113" s="242" t="s">
        <v>299</v>
      </c>
      <c r="M113" s="242" t="s">
        <v>312</v>
      </c>
      <c r="N113" s="242" t="s">
        <v>315</v>
      </c>
      <c r="O113" s="242">
        <v>12</v>
      </c>
      <c r="P113" s="243">
        <f t="shared" si="4"/>
        <v>32400</v>
      </c>
    </row>
    <row r="114" spans="11:16">
      <c r="K114" s="241" t="s">
        <v>295</v>
      </c>
      <c r="L114" s="242" t="s">
        <v>299</v>
      </c>
      <c r="M114" s="242" t="s">
        <v>312</v>
      </c>
      <c r="N114" s="242" t="s">
        <v>316</v>
      </c>
      <c r="O114" s="242">
        <v>14</v>
      </c>
      <c r="P114" s="243">
        <f t="shared" si="4"/>
        <v>37800</v>
      </c>
    </row>
    <row r="115" spans="11:16">
      <c r="K115" s="241" t="s">
        <v>295</v>
      </c>
      <c r="L115" s="242" t="s">
        <v>299</v>
      </c>
      <c r="M115" s="242" t="s">
        <v>312</v>
      </c>
      <c r="N115" s="242" t="s">
        <v>317</v>
      </c>
      <c r="O115" s="242">
        <v>14</v>
      </c>
      <c r="P115" s="243">
        <f t="shared" si="4"/>
        <v>37800</v>
      </c>
    </row>
    <row r="116" spans="11:16">
      <c r="K116" s="241" t="s">
        <v>295</v>
      </c>
      <c r="L116" s="242" t="s">
        <v>299</v>
      </c>
      <c r="M116" s="242" t="s">
        <v>312</v>
      </c>
      <c r="N116" s="242" t="s">
        <v>318</v>
      </c>
      <c r="O116" s="242">
        <v>56</v>
      </c>
      <c r="P116" s="243">
        <f t="shared" si="4"/>
        <v>151200</v>
      </c>
    </row>
    <row r="117" spans="11:16">
      <c r="K117" s="241" t="s">
        <v>295</v>
      </c>
      <c r="L117" s="242" t="s">
        <v>319</v>
      </c>
      <c r="M117" s="242" t="s">
        <v>320</v>
      </c>
      <c r="N117" s="242" t="s">
        <v>321</v>
      </c>
      <c r="O117" s="242">
        <v>44</v>
      </c>
      <c r="P117" s="243">
        <f t="shared" si="4"/>
        <v>118800</v>
      </c>
    </row>
    <row r="118" spans="11:16">
      <c r="K118" s="241" t="s">
        <v>295</v>
      </c>
      <c r="L118" s="242" t="s">
        <v>319</v>
      </c>
      <c r="M118" s="242" t="s">
        <v>322</v>
      </c>
      <c r="N118" s="242" t="s">
        <v>323</v>
      </c>
      <c r="O118" s="242">
        <v>14</v>
      </c>
      <c r="P118" s="243">
        <f t="shared" si="4"/>
        <v>37800</v>
      </c>
    </row>
    <row r="119" spans="11:16">
      <c r="K119" s="241" t="s">
        <v>295</v>
      </c>
      <c r="L119" s="242" t="s">
        <v>319</v>
      </c>
      <c r="M119" s="242" t="s">
        <v>322</v>
      </c>
      <c r="N119" s="242" t="s">
        <v>324</v>
      </c>
      <c r="O119" s="242">
        <v>14</v>
      </c>
      <c r="P119" s="243">
        <f t="shared" si="4"/>
        <v>37800</v>
      </c>
    </row>
    <row r="120" spans="11:16">
      <c r="K120" s="241" t="s">
        <v>295</v>
      </c>
      <c r="L120" s="242" t="s">
        <v>319</v>
      </c>
      <c r="M120" s="242" t="s">
        <v>322</v>
      </c>
      <c r="N120" s="242" t="s">
        <v>325</v>
      </c>
      <c r="O120" s="242">
        <v>28</v>
      </c>
      <c r="P120" s="243">
        <f t="shared" si="4"/>
        <v>75600</v>
      </c>
    </row>
    <row r="121" spans="11:16">
      <c r="K121" s="241" t="s">
        <v>295</v>
      </c>
      <c r="L121" s="242" t="s">
        <v>319</v>
      </c>
      <c r="M121" s="242" t="s">
        <v>322</v>
      </c>
      <c r="N121" s="242" t="s">
        <v>326</v>
      </c>
      <c r="O121" s="242">
        <v>18</v>
      </c>
      <c r="P121" s="243">
        <f t="shared" si="4"/>
        <v>48600</v>
      </c>
    </row>
    <row r="122" spans="11:16">
      <c r="K122" s="241" t="s">
        <v>295</v>
      </c>
      <c r="L122" s="242" t="s">
        <v>319</v>
      </c>
      <c r="M122" s="242" t="s">
        <v>322</v>
      </c>
      <c r="N122" s="242" t="s">
        <v>327</v>
      </c>
      <c r="O122" s="242">
        <v>10</v>
      </c>
      <c r="P122" s="243">
        <f t="shared" si="4"/>
        <v>27000</v>
      </c>
    </row>
    <row r="123" spans="11:16">
      <c r="K123" s="241" t="s">
        <v>295</v>
      </c>
      <c r="L123" s="242" t="s">
        <v>319</v>
      </c>
      <c r="M123" s="242" t="s">
        <v>322</v>
      </c>
      <c r="N123" s="242" t="s">
        <v>328</v>
      </c>
      <c r="O123" s="242">
        <v>11</v>
      </c>
      <c r="P123" s="243">
        <f t="shared" si="4"/>
        <v>29700</v>
      </c>
    </row>
    <row r="124" spans="11:16">
      <c r="K124" s="241" t="s">
        <v>295</v>
      </c>
      <c r="L124" s="242" t="s">
        <v>319</v>
      </c>
      <c r="M124" s="242" t="s">
        <v>322</v>
      </c>
      <c r="N124" s="242" t="s">
        <v>329</v>
      </c>
      <c r="O124" s="242">
        <v>15</v>
      </c>
      <c r="P124" s="243">
        <f t="shared" si="4"/>
        <v>40500</v>
      </c>
    </row>
    <row r="125" spans="11:16">
      <c r="K125" s="241" t="s">
        <v>295</v>
      </c>
      <c r="L125" s="242" t="s">
        <v>319</v>
      </c>
      <c r="M125" s="242" t="s">
        <v>322</v>
      </c>
      <c r="N125" s="242" t="s">
        <v>330</v>
      </c>
      <c r="O125" s="242">
        <v>40</v>
      </c>
      <c r="P125" s="243">
        <f t="shared" si="4"/>
        <v>108000</v>
      </c>
    </row>
    <row r="126" spans="11:16">
      <c r="K126" s="241" t="s">
        <v>295</v>
      </c>
      <c r="L126" s="242" t="s">
        <v>319</v>
      </c>
      <c r="M126" s="242" t="s">
        <v>322</v>
      </c>
      <c r="N126" s="242" t="s">
        <v>331</v>
      </c>
      <c r="O126" s="242">
        <v>24</v>
      </c>
      <c r="P126" s="243">
        <f t="shared" si="4"/>
        <v>64800</v>
      </c>
    </row>
    <row r="127" spans="11:16">
      <c r="K127" s="241" t="s">
        <v>295</v>
      </c>
      <c r="L127" s="242" t="s">
        <v>319</v>
      </c>
      <c r="M127" s="242" t="s">
        <v>332</v>
      </c>
      <c r="N127" s="242" t="s">
        <v>333</v>
      </c>
      <c r="O127" s="242">
        <v>53</v>
      </c>
      <c r="P127" s="243">
        <f t="shared" si="4"/>
        <v>143100</v>
      </c>
    </row>
    <row r="128" spans="11:16">
      <c r="K128" s="241" t="s">
        <v>295</v>
      </c>
      <c r="L128" s="242" t="s">
        <v>319</v>
      </c>
      <c r="M128" s="242" t="s">
        <v>332</v>
      </c>
      <c r="N128" s="242" t="s">
        <v>334</v>
      </c>
      <c r="O128" s="242">
        <v>16</v>
      </c>
      <c r="P128" s="243">
        <f t="shared" si="4"/>
        <v>43200</v>
      </c>
    </row>
    <row r="129" spans="11:16">
      <c r="K129" s="241" t="s">
        <v>295</v>
      </c>
      <c r="L129" s="242" t="s">
        <v>319</v>
      </c>
      <c r="M129" s="242" t="s">
        <v>332</v>
      </c>
      <c r="N129" s="242" t="s">
        <v>335</v>
      </c>
      <c r="O129" s="242">
        <v>32</v>
      </c>
      <c r="P129" s="243">
        <f t="shared" si="4"/>
        <v>86400</v>
      </c>
    </row>
    <row r="130" spans="11:16">
      <c r="K130" s="241" t="s">
        <v>295</v>
      </c>
      <c r="L130" s="242" t="s">
        <v>319</v>
      </c>
      <c r="M130" s="242" t="s">
        <v>332</v>
      </c>
      <c r="N130" s="242" t="s">
        <v>336</v>
      </c>
      <c r="O130" s="242">
        <v>61</v>
      </c>
      <c r="P130" s="243">
        <f t="shared" si="4"/>
        <v>164700</v>
      </c>
    </row>
    <row r="131" spans="11:16">
      <c r="K131" s="346" t="s">
        <v>337</v>
      </c>
      <c r="L131" s="347"/>
      <c r="M131" s="347"/>
      <c r="N131" s="348"/>
      <c r="O131" s="245">
        <f t="shared" ref="O131" si="5">SUM(O102:O130)</f>
        <v>872</v>
      </c>
      <c r="P131" s="243">
        <f>SUM(P102:P130)</f>
        <v>2354400</v>
      </c>
    </row>
    <row r="132" spans="11:16">
      <c r="K132" s="241" t="s">
        <v>338</v>
      </c>
      <c r="L132" s="242" t="s">
        <v>310</v>
      </c>
      <c r="M132" s="242" t="s">
        <v>339</v>
      </c>
      <c r="N132" s="242" t="s">
        <v>340</v>
      </c>
      <c r="O132" s="242">
        <v>40</v>
      </c>
      <c r="P132" s="243">
        <f>+O132*2700</f>
        <v>108000</v>
      </c>
    </row>
    <row r="133" spans="11:16">
      <c r="K133" s="241" t="s">
        <v>338</v>
      </c>
      <c r="L133" s="242" t="s">
        <v>310</v>
      </c>
      <c r="M133" s="242" t="s">
        <v>341</v>
      </c>
      <c r="N133" s="242" t="s">
        <v>342</v>
      </c>
      <c r="O133" s="242">
        <v>10</v>
      </c>
      <c r="P133" s="243">
        <f>+O133*2700</f>
        <v>27000</v>
      </c>
    </row>
    <row r="134" spans="11:16">
      <c r="K134" s="241" t="s">
        <v>338</v>
      </c>
      <c r="L134" s="242" t="s">
        <v>310</v>
      </c>
      <c r="M134" s="242" t="s">
        <v>341</v>
      </c>
      <c r="N134" s="242" t="s">
        <v>339</v>
      </c>
      <c r="O134" s="242">
        <v>62</v>
      </c>
      <c r="P134" s="243">
        <f>+O134*2700</f>
        <v>167400</v>
      </c>
    </row>
    <row r="135" spans="11:16">
      <c r="K135" s="241" t="s">
        <v>338</v>
      </c>
      <c r="L135" s="242" t="s">
        <v>310</v>
      </c>
      <c r="M135" s="242" t="s">
        <v>341</v>
      </c>
      <c r="N135" s="242" t="s">
        <v>343</v>
      </c>
      <c r="O135" s="242">
        <v>65</v>
      </c>
      <c r="P135" s="243">
        <f>+O135*2700</f>
        <v>175500</v>
      </c>
    </row>
    <row r="136" spans="11:16">
      <c r="K136" s="241" t="s">
        <v>338</v>
      </c>
      <c r="L136" s="242" t="s">
        <v>310</v>
      </c>
      <c r="M136" s="242" t="s">
        <v>341</v>
      </c>
      <c r="N136" s="242" t="s">
        <v>344</v>
      </c>
      <c r="O136" s="242">
        <v>34</v>
      </c>
      <c r="P136" s="243">
        <f>+O136*2700</f>
        <v>91800</v>
      </c>
    </row>
    <row r="137" spans="11:16">
      <c r="K137" s="346" t="s">
        <v>345</v>
      </c>
      <c r="L137" s="347"/>
      <c r="M137" s="347"/>
      <c r="N137" s="348"/>
      <c r="O137" s="244">
        <f t="shared" ref="O137:P137" si="6">SUM(O132:O136)</f>
        <v>211</v>
      </c>
      <c r="P137" s="243">
        <f t="shared" si="6"/>
        <v>569700</v>
      </c>
    </row>
    <row r="138" spans="11:16">
      <c r="K138" s="241" t="s">
        <v>346</v>
      </c>
      <c r="L138" s="242" t="s">
        <v>347</v>
      </c>
      <c r="M138" s="242" t="s">
        <v>348</v>
      </c>
      <c r="N138" s="242" t="s">
        <v>349</v>
      </c>
      <c r="O138" s="242">
        <v>25</v>
      </c>
      <c r="P138" s="243">
        <f t="shared" ref="P138:P161" si="7">+O138*2700</f>
        <v>67500</v>
      </c>
    </row>
    <row r="139" spans="11:16">
      <c r="K139" s="241" t="s">
        <v>346</v>
      </c>
      <c r="L139" s="242" t="s">
        <v>347</v>
      </c>
      <c r="M139" s="242" t="s">
        <v>350</v>
      </c>
      <c r="N139" s="242" t="s">
        <v>351</v>
      </c>
      <c r="O139" s="242">
        <v>12</v>
      </c>
      <c r="P139" s="243">
        <f t="shared" si="7"/>
        <v>32400</v>
      </c>
    </row>
    <row r="140" spans="11:16">
      <c r="K140" s="241" t="s">
        <v>346</v>
      </c>
      <c r="L140" s="242" t="s">
        <v>347</v>
      </c>
      <c r="M140" s="242" t="s">
        <v>347</v>
      </c>
      <c r="N140" s="242" t="s">
        <v>352</v>
      </c>
      <c r="O140" s="242">
        <v>12</v>
      </c>
      <c r="P140" s="243">
        <f t="shared" si="7"/>
        <v>32400</v>
      </c>
    </row>
    <row r="141" spans="11:16">
      <c r="K141" s="241" t="s">
        <v>346</v>
      </c>
      <c r="L141" s="242" t="s">
        <v>347</v>
      </c>
      <c r="M141" s="242" t="s">
        <v>353</v>
      </c>
      <c r="N141" s="242" t="s">
        <v>354</v>
      </c>
      <c r="O141" s="242">
        <v>24</v>
      </c>
      <c r="P141" s="243">
        <f t="shared" si="7"/>
        <v>64800</v>
      </c>
    </row>
    <row r="142" spans="11:16">
      <c r="K142" s="241" t="s">
        <v>346</v>
      </c>
      <c r="L142" s="242" t="s">
        <v>347</v>
      </c>
      <c r="M142" s="242" t="s">
        <v>355</v>
      </c>
      <c r="N142" s="242" t="s">
        <v>356</v>
      </c>
      <c r="O142" s="242">
        <v>68</v>
      </c>
      <c r="P142" s="243">
        <f t="shared" si="7"/>
        <v>183600</v>
      </c>
    </row>
    <row r="143" spans="11:16">
      <c r="K143" s="241" t="s">
        <v>346</v>
      </c>
      <c r="L143" s="242" t="s">
        <v>347</v>
      </c>
      <c r="M143" s="242" t="s">
        <v>355</v>
      </c>
      <c r="N143" s="242" t="s">
        <v>357</v>
      </c>
      <c r="O143" s="242">
        <v>23</v>
      </c>
      <c r="P143" s="243">
        <f t="shared" si="7"/>
        <v>62100</v>
      </c>
    </row>
    <row r="144" spans="11:16">
      <c r="K144" s="241" t="s">
        <v>346</v>
      </c>
      <c r="L144" s="242" t="s">
        <v>347</v>
      </c>
      <c r="M144" s="242" t="s">
        <v>355</v>
      </c>
      <c r="N144" s="242" t="s">
        <v>358</v>
      </c>
      <c r="O144" s="242">
        <v>31</v>
      </c>
      <c r="P144" s="243">
        <f t="shared" si="7"/>
        <v>83700</v>
      </c>
    </row>
    <row r="145" spans="11:16">
      <c r="K145" s="241" t="s">
        <v>346</v>
      </c>
      <c r="L145" s="242" t="s">
        <v>347</v>
      </c>
      <c r="M145" s="242" t="s">
        <v>355</v>
      </c>
      <c r="N145" s="242" t="s">
        <v>359</v>
      </c>
      <c r="O145" s="242">
        <v>25</v>
      </c>
      <c r="P145" s="243">
        <f t="shared" si="7"/>
        <v>67500</v>
      </c>
    </row>
    <row r="146" spans="11:16">
      <c r="K146" s="241" t="s">
        <v>346</v>
      </c>
      <c r="L146" s="242" t="s">
        <v>347</v>
      </c>
      <c r="M146" s="242" t="s">
        <v>355</v>
      </c>
      <c r="N146" s="242" t="s">
        <v>360</v>
      </c>
      <c r="O146" s="242">
        <v>23</v>
      </c>
      <c r="P146" s="243">
        <f t="shared" si="7"/>
        <v>62100</v>
      </c>
    </row>
    <row r="147" spans="11:16">
      <c r="K147" s="241" t="s">
        <v>346</v>
      </c>
      <c r="L147" s="242" t="s">
        <v>347</v>
      </c>
      <c r="M147" s="242" t="s">
        <v>355</v>
      </c>
      <c r="N147" s="242" t="s">
        <v>361</v>
      </c>
      <c r="O147" s="242">
        <v>23</v>
      </c>
      <c r="P147" s="243">
        <f t="shared" si="7"/>
        <v>62100</v>
      </c>
    </row>
    <row r="148" spans="11:16">
      <c r="K148" s="241" t="s">
        <v>346</v>
      </c>
      <c r="L148" s="242" t="s">
        <v>347</v>
      </c>
      <c r="M148" s="242" t="s">
        <v>355</v>
      </c>
      <c r="N148" s="242" t="s">
        <v>362</v>
      </c>
      <c r="O148" s="242">
        <v>20</v>
      </c>
      <c r="P148" s="243">
        <f t="shared" si="7"/>
        <v>54000</v>
      </c>
    </row>
    <row r="149" spans="11:16">
      <c r="K149" s="241" t="s">
        <v>346</v>
      </c>
      <c r="L149" s="242" t="s">
        <v>347</v>
      </c>
      <c r="M149" s="242" t="s">
        <v>355</v>
      </c>
      <c r="N149" s="242" t="s">
        <v>363</v>
      </c>
      <c r="O149" s="242">
        <v>75</v>
      </c>
      <c r="P149" s="243">
        <f t="shared" si="7"/>
        <v>202500</v>
      </c>
    </row>
    <row r="150" spans="11:16">
      <c r="K150" s="241" t="s">
        <v>346</v>
      </c>
      <c r="L150" s="242" t="s">
        <v>346</v>
      </c>
      <c r="M150" s="242" t="s">
        <v>364</v>
      </c>
      <c r="N150" s="242" t="s">
        <v>365</v>
      </c>
      <c r="O150" s="242">
        <v>36</v>
      </c>
      <c r="P150" s="243">
        <f t="shared" si="7"/>
        <v>97200</v>
      </c>
    </row>
    <row r="151" spans="11:16">
      <c r="K151" s="241" t="s">
        <v>346</v>
      </c>
      <c r="L151" s="242" t="s">
        <v>346</v>
      </c>
      <c r="M151" s="242" t="s">
        <v>364</v>
      </c>
      <c r="N151" s="242" t="s">
        <v>366</v>
      </c>
      <c r="O151" s="242">
        <v>11</v>
      </c>
      <c r="P151" s="243">
        <f t="shared" si="7"/>
        <v>29700</v>
      </c>
    </row>
    <row r="152" spans="11:16">
      <c r="K152" s="241" t="s">
        <v>346</v>
      </c>
      <c r="L152" s="242" t="s">
        <v>346</v>
      </c>
      <c r="M152" s="242" t="s">
        <v>364</v>
      </c>
      <c r="N152" s="242" t="s">
        <v>367</v>
      </c>
      <c r="O152" s="242">
        <v>12</v>
      </c>
      <c r="P152" s="243">
        <f t="shared" si="7"/>
        <v>32400</v>
      </c>
    </row>
    <row r="153" spans="11:16">
      <c r="K153" s="241" t="s">
        <v>346</v>
      </c>
      <c r="L153" s="242" t="s">
        <v>346</v>
      </c>
      <c r="M153" s="242" t="s">
        <v>364</v>
      </c>
      <c r="N153" s="242" t="s">
        <v>368</v>
      </c>
      <c r="O153" s="242">
        <v>23</v>
      </c>
      <c r="P153" s="243">
        <f t="shared" si="7"/>
        <v>62100</v>
      </c>
    </row>
    <row r="154" spans="11:16">
      <c r="K154" s="241" t="s">
        <v>346</v>
      </c>
      <c r="L154" s="242" t="s">
        <v>346</v>
      </c>
      <c r="M154" s="242" t="s">
        <v>364</v>
      </c>
      <c r="N154" s="242" t="s">
        <v>369</v>
      </c>
      <c r="O154" s="242">
        <v>35</v>
      </c>
      <c r="P154" s="243">
        <f t="shared" si="7"/>
        <v>94500</v>
      </c>
    </row>
    <row r="155" spans="11:16">
      <c r="K155" s="241" t="s">
        <v>346</v>
      </c>
      <c r="L155" s="242" t="s">
        <v>346</v>
      </c>
      <c r="M155" s="242" t="s">
        <v>370</v>
      </c>
      <c r="N155" s="242" t="s">
        <v>371</v>
      </c>
      <c r="O155" s="242">
        <v>12</v>
      </c>
      <c r="P155" s="243">
        <f t="shared" si="7"/>
        <v>32400</v>
      </c>
    </row>
    <row r="156" spans="11:16">
      <c r="K156" s="241" t="s">
        <v>346</v>
      </c>
      <c r="L156" s="242" t="s">
        <v>346</v>
      </c>
      <c r="M156" s="242" t="s">
        <v>370</v>
      </c>
      <c r="N156" s="242" t="s">
        <v>372</v>
      </c>
      <c r="O156" s="242">
        <v>115</v>
      </c>
      <c r="P156" s="243">
        <f t="shared" si="7"/>
        <v>310500</v>
      </c>
    </row>
    <row r="157" spans="11:16">
      <c r="K157" s="241" t="s">
        <v>346</v>
      </c>
      <c r="L157" s="242" t="s">
        <v>346</v>
      </c>
      <c r="M157" s="242" t="s">
        <v>373</v>
      </c>
      <c r="N157" s="242" t="s">
        <v>374</v>
      </c>
      <c r="O157" s="242">
        <v>25</v>
      </c>
      <c r="P157" s="243">
        <f t="shared" si="7"/>
        <v>67500</v>
      </c>
    </row>
    <row r="158" spans="11:16">
      <c r="K158" s="241" t="s">
        <v>346</v>
      </c>
      <c r="L158" s="242" t="s">
        <v>346</v>
      </c>
      <c r="M158" s="242" t="s">
        <v>373</v>
      </c>
      <c r="N158" s="242" t="s">
        <v>375</v>
      </c>
      <c r="O158" s="242">
        <v>17</v>
      </c>
      <c r="P158" s="243">
        <f t="shared" si="7"/>
        <v>45900</v>
      </c>
    </row>
    <row r="159" spans="11:16">
      <c r="K159" s="241" t="s">
        <v>346</v>
      </c>
      <c r="L159" s="242" t="s">
        <v>346</v>
      </c>
      <c r="M159" s="242" t="s">
        <v>373</v>
      </c>
      <c r="N159" s="242" t="s">
        <v>376</v>
      </c>
      <c r="O159" s="242">
        <v>18</v>
      </c>
      <c r="P159" s="243">
        <f t="shared" si="7"/>
        <v>48600</v>
      </c>
    </row>
    <row r="160" spans="11:16">
      <c r="K160" s="241" t="s">
        <v>346</v>
      </c>
      <c r="L160" s="242" t="s">
        <v>346</v>
      </c>
      <c r="M160" s="242" t="s">
        <v>377</v>
      </c>
      <c r="N160" s="242" t="s">
        <v>378</v>
      </c>
      <c r="O160" s="242">
        <v>33</v>
      </c>
      <c r="P160" s="243">
        <f t="shared" si="7"/>
        <v>89100</v>
      </c>
    </row>
    <row r="161" spans="11:16">
      <c r="K161" s="241" t="s">
        <v>346</v>
      </c>
      <c r="L161" s="242" t="s">
        <v>346</v>
      </c>
      <c r="M161" s="242" t="s">
        <v>379</v>
      </c>
      <c r="N161" s="242" t="s">
        <v>380</v>
      </c>
      <c r="O161" s="242">
        <v>15</v>
      </c>
      <c r="P161" s="243">
        <f t="shared" si="7"/>
        <v>40500</v>
      </c>
    </row>
    <row r="162" spans="11:16">
      <c r="K162" s="349" t="s">
        <v>381</v>
      </c>
      <c r="L162" s="350"/>
      <c r="M162" s="350"/>
      <c r="N162" s="350"/>
      <c r="O162" s="245">
        <f t="shared" ref="O162" si="8">SUM(O138:O161)</f>
        <v>713</v>
      </c>
      <c r="P162" s="243">
        <f>SUM(P138:P161)</f>
        <v>1925100</v>
      </c>
    </row>
    <row r="163" spans="11:16" ht="13.5" thickBot="1">
      <c r="K163" s="340" t="s">
        <v>383</v>
      </c>
      <c r="L163" s="341"/>
      <c r="M163" s="341"/>
      <c r="N163" s="342"/>
      <c r="O163" s="246">
        <f t="shared" ref="O163" si="9">O101+O131+O137+O162</f>
        <v>2455</v>
      </c>
      <c r="P163" s="247">
        <f>+P162+P137+P131+P101</f>
        <v>6628500</v>
      </c>
    </row>
  </sheetData>
  <sheetProtection password="CCC5" sheet="1" objects="1" scenarios="1"/>
  <mergeCells count="31">
    <mergeCell ref="K163:N163"/>
    <mergeCell ref="K33:P33"/>
    <mergeCell ref="K34:K35"/>
    <mergeCell ref="L34:L35"/>
    <mergeCell ref="M34:M35"/>
    <mergeCell ref="N34:N35"/>
    <mergeCell ref="O34:O35"/>
    <mergeCell ref="P34:P35"/>
    <mergeCell ref="K77:P77"/>
    <mergeCell ref="K101:N101"/>
    <mergeCell ref="K131:N131"/>
    <mergeCell ref="K137:N137"/>
    <mergeCell ref="K162:N162"/>
    <mergeCell ref="C29:H29"/>
    <mergeCell ref="P8:P9"/>
    <mergeCell ref="K21:P21"/>
    <mergeCell ref="K22:K23"/>
    <mergeCell ref="L22:L23"/>
    <mergeCell ref="M22:M23"/>
    <mergeCell ref="N22:N23"/>
    <mergeCell ref="O22:O23"/>
    <mergeCell ref="P22:P23"/>
    <mergeCell ref="O8:O9"/>
    <mergeCell ref="K7:P7"/>
    <mergeCell ref="B27:H27"/>
    <mergeCell ref="B28:H28"/>
    <mergeCell ref="K8:K9"/>
    <mergeCell ref="B18:H18"/>
    <mergeCell ref="L8:L9"/>
    <mergeCell ref="M8:M9"/>
    <mergeCell ref="N8:N9"/>
  </mergeCells>
  <phoneticPr fontId="0" type="noConversion"/>
  <pageMargins left="0.74803149606299213" right="0.74803149606299213" top="0.98425196850393704" bottom="0.98425196850393704" header="0" footer="0"/>
  <pageSetup scale="44" orientation="landscape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L21"/>
  <sheetViews>
    <sheetView topLeftCell="A4" zoomScaleNormal="100" workbookViewId="0">
      <selection activeCell="D7" sqref="D7:J7"/>
    </sheetView>
  </sheetViews>
  <sheetFormatPr baseColWidth="10" defaultRowHeight="12.75"/>
  <cols>
    <col min="1" max="1" width="2.7109375" style="3" customWidth="1"/>
    <col min="2" max="2" width="38.5703125" style="3" customWidth="1"/>
    <col min="3" max="3" width="11.140625" style="3" customWidth="1"/>
    <col min="4" max="4" width="15.28515625" style="3" customWidth="1"/>
    <col min="5" max="5" width="13.5703125" style="3" customWidth="1"/>
    <col min="6" max="6" width="16.140625" style="3" customWidth="1"/>
    <col min="7" max="10" width="15.7109375" style="3" bestFit="1" customWidth="1"/>
    <col min="11" max="16384" width="11.42578125" style="3"/>
  </cols>
  <sheetData>
    <row r="2" spans="2:10" ht="18.75">
      <c r="B2" s="139" t="s">
        <v>149</v>
      </c>
    </row>
    <row r="4" spans="2:10" ht="15.75">
      <c r="B4" s="81" t="s">
        <v>20</v>
      </c>
    </row>
    <row r="5" spans="2:10" ht="15.75">
      <c r="B5" s="82" t="s">
        <v>88</v>
      </c>
    </row>
    <row r="7" spans="2:10" ht="26.25" thickBot="1">
      <c r="D7" s="305" t="s">
        <v>111</v>
      </c>
      <c r="E7" s="306" t="s">
        <v>73</v>
      </c>
      <c r="F7" s="305" t="s">
        <v>70</v>
      </c>
      <c r="G7" s="307" t="s">
        <v>143</v>
      </c>
      <c r="H7" s="307" t="s">
        <v>144</v>
      </c>
      <c r="I7" s="307" t="s">
        <v>145</v>
      </c>
      <c r="J7" s="307" t="s">
        <v>146</v>
      </c>
    </row>
    <row r="8" spans="2:10" ht="13.5" thickBot="1">
      <c r="B8" s="162" t="s">
        <v>57</v>
      </c>
      <c r="C8" s="163"/>
      <c r="D8" s="161" t="s">
        <v>132</v>
      </c>
      <c r="E8" s="161" t="s">
        <v>74</v>
      </c>
      <c r="F8" s="161" t="s">
        <v>132</v>
      </c>
      <c r="G8" s="1" t="s">
        <v>132</v>
      </c>
      <c r="H8" s="1" t="s">
        <v>132</v>
      </c>
      <c r="I8" s="1" t="s">
        <v>132</v>
      </c>
      <c r="J8" s="1" t="s">
        <v>132</v>
      </c>
    </row>
    <row r="9" spans="2:10">
      <c r="B9" s="164"/>
      <c r="C9" s="164"/>
      <c r="D9" s="165"/>
      <c r="E9" s="166"/>
      <c r="F9" s="166"/>
      <c r="G9" s="167"/>
      <c r="H9" s="167"/>
      <c r="I9" s="167"/>
      <c r="J9" s="167"/>
    </row>
    <row r="10" spans="2:10">
      <c r="B10" s="164" t="s">
        <v>84</v>
      </c>
      <c r="C10" s="164" t="s">
        <v>51</v>
      </c>
      <c r="D10" s="165">
        <v>416692.2937106028</v>
      </c>
      <c r="E10" s="168">
        <v>0.97743602968185916</v>
      </c>
      <c r="F10" s="169">
        <f>D10*E10</f>
        <v>407290.06116351875</v>
      </c>
      <c r="G10" s="170">
        <f>+F10+INVERSIONES!D10</f>
        <v>465970.82178661809</v>
      </c>
      <c r="H10" s="170">
        <f>+G10+INVERSIONES!E10</f>
        <v>530253.94287036511</v>
      </c>
      <c r="I10" s="170">
        <f>+H10+INVERSIONES!F10</f>
        <v>589978.99599433551</v>
      </c>
      <c r="J10" s="170">
        <f>+I10+INVERSIONES!G10</f>
        <v>643050.40868496173</v>
      </c>
    </row>
    <row r="11" spans="2:10">
      <c r="B11" s="164" t="s">
        <v>85</v>
      </c>
      <c r="C11" s="164" t="s">
        <v>52</v>
      </c>
      <c r="D11" s="165">
        <v>46377.888159559894</v>
      </c>
      <c r="E11" s="168">
        <f>E10</f>
        <v>0.97743602968185916</v>
      </c>
      <c r="F11" s="169">
        <f>D11*E11</f>
        <v>45331.41886770953</v>
      </c>
      <c r="G11" s="170">
        <f>+F11+INVERSIONES!D11</f>
        <v>47793.735078589612</v>
      </c>
      <c r="H11" s="170">
        <f>+G11+INVERSIONES!E11</f>
        <v>50031.05170617046</v>
      </c>
      <c r="I11" s="170">
        <f>+H11+INVERSIONES!F11</f>
        <v>51995.39733218374</v>
      </c>
      <c r="J11" s="170">
        <f>+I11+INVERSIONES!G11</f>
        <v>53907.371455314584</v>
      </c>
    </row>
    <row r="12" spans="2:10">
      <c r="B12" s="164" t="s">
        <v>86</v>
      </c>
      <c r="C12" s="164" t="s">
        <v>58</v>
      </c>
      <c r="D12" s="165">
        <v>23631.146708794429</v>
      </c>
      <c r="E12" s="168">
        <f>E10</f>
        <v>0.97743602968185916</v>
      </c>
      <c r="F12" s="169">
        <f>D12*E12</f>
        <v>23097.93421587356</v>
      </c>
      <c r="G12" s="170">
        <f>+F12+INVERSIONES!D12</f>
        <v>25734.48146587356</v>
      </c>
      <c r="H12" s="170">
        <f>+G12+INVERSIONES!E12</f>
        <v>28593.528715873559</v>
      </c>
      <c r="I12" s="170">
        <f>+H12+INVERSIONES!F12</f>
        <v>30254.075965873559</v>
      </c>
      <c r="J12" s="170">
        <f>+I12+INVERSIONES!G12</f>
        <v>31289.123215873558</v>
      </c>
    </row>
    <row r="13" spans="2:10">
      <c r="B13" s="164"/>
      <c r="C13" s="164"/>
      <c r="D13" s="171">
        <f>SUM(D10:D12)</f>
        <v>486701.32857895712</v>
      </c>
      <c r="E13" s="168"/>
      <c r="F13" s="172">
        <f>SUM(F10:F12)</f>
        <v>475719.41424710181</v>
      </c>
      <c r="G13" s="173"/>
      <c r="H13" s="173"/>
      <c r="I13" s="173"/>
      <c r="J13" s="174"/>
    </row>
    <row r="14" spans="2:10">
      <c r="B14" s="175"/>
      <c r="C14" s="175"/>
      <c r="D14" s="165"/>
      <c r="E14" s="176"/>
      <c r="F14" s="177"/>
      <c r="G14" s="170"/>
      <c r="H14" s="170"/>
      <c r="I14" s="170"/>
      <c r="J14" s="170"/>
    </row>
    <row r="15" spans="2:10">
      <c r="B15" s="164" t="s">
        <v>53</v>
      </c>
      <c r="C15" s="164" t="s">
        <v>56</v>
      </c>
      <c r="D15" s="165">
        <v>213091.52522632599</v>
      </c>
      <c r="E15" s="168">
        <f>E10</f>
        <v>0.97743602968185916</v>
      </c>
      <c r="F15" s="169">
        <f>D15*E15</f>
        <v>208283.33437607181</v>
      </c>
      <c r="G15" s="170">
        <f>F15+G10-F10-G10*'PERDIDAS y OTROS'!E$12</f>
        <v>250655.11623663953</v>
      </c>
      <c r="H15" s="170">
        <f>G15+H10-G10-H10*'PERDIDAS y OTROS'!F$12</f>
        <v>296379.34931992379</v>
      </c>
      <c r="I15" s="170">
        <f>H15+I10-H10-I10*'PERDIDAS y OTROS'!G$12</f>
        <v>335455.13758409244</v>
      </c>
      <c r="J15" s="170">
        <f>I15+J10-I10-J10*'PERDIDAS y OTROS'!H$12</f>
        <v>366019.78597074503</v>
      </c>
    </row>
    <row r="16" spans="2:10">
      <c r="B16" s="164" t="s">
        <v>54</v>
      </c>
      <c r="C16" s="164" t="s">
        <v>55</v>
      </c>
      <c r="D16" s="165">
        <v>28363.880614209098</v>
      </c>
      <c r="E16" s="168">
        <f>E10</f>
        <v>0.97743602968185916</v>
      </c>
      <c r="F16" s="169">
        <f>D16*E16</f>
        <v>27723.878853922793</v>
      </c>
      <c r="G16" s="170">
        <f>F16+G11-F11-G11*'PERDIDAS y OTROS'!E$13</f>
        <v>27591.739196905037</v>
      </c>
      <c r="H16" s="170">
        <f>G16+H11-G11-H11*'PERDIDAS y OTROS'!F$13</f>
        <v>27113.148489293682</v>
      </c>
      <c r="I16" s="170">
        <f>H16+I11-H11-I11*'PERDIDAS y OTROS'!G$13</f>
        <v>26254.953389198374</v>
      </c>
      <c r="J16" s="170">
        <f>I16+J11-I11-J11*'PERDIDAS y OTROS'!H$13</f>
        <v>25240.596352707347</v>
      </c>
    </row>
    <row r="17" spans="2:12">
      <c r="B17" s="164" t="s">
        <v>87</v>
      </c>
      <c r="C17" s="164" t="s">
        <v>59</v>
      </c>
      <c r="D17" s="165">
        <v>12884.440274825482</v>
      </c>
      <c r="E17" s="168">
        <f>E10</f>
        <v>0.97743602968185916</v>
      </c>
      <c r="F17" s="169">
        <f>D17*E17</f>
        <v>12593.716146898461</v>
      </c>
      <c r="G17" s="170">
        <f>F17+G12-F12-G12*'PERDIDAS y OTROS'!E$14</f>
        <v>14373.30516408487</v>
      </c>
      <c r="H17" s="170">
        <f>G17+H12-G12-H12*'PERDIDAS y OTROS'!F$14</f>
        <v>16280.187907846281</v>
      </c>
      <c r="I17" s="170">
        <f>H17+I12-H12-I12*'PERDIDAS y OTROS'!G$14</f>
        <v>16933.274428182693</v>
      </c>
      <c r="J17" s="170">
        <f>I17+J12-I12-J12*'PERDIDAS y OTROS'!H$14</f>
        <v>16926.393875094105</v>
      </c>
    </row>
    <row r="18" spans="2:12">
      <c r="B18" s="178"/>
      <c r="C18" s="178"/>
      <c r="D18" s="171">
        <f>SUM(D15:D17)</f>
        <v>254339.84611536059</v>
      </c>
      <c r="E18" s="179"/>
      <c r="F18" s="172">
        <f>SUM(F15:F17)</f>
        <v>248600.92937689307</v>
      </c>
      <c r="G18" s="180"/>
      <c r="H18" s="180"/>
      <c r="I18" s="180"/>
      <c r="J18" s="180"/>
    </row>
    <row r="19" spans="2:12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2:12">
      <c r="B20" s="110"/>
      <c r="C20" s="110"/>
      <c r="D20" s="181"/>
      <c r="E20" s="182"/>
      <c r="F20" s="182"/>
      <c r="G20" s="182"/>
      <c r="H20" s="182"/>
      <c r="I20" s="181"/>
      <c r="J20" s="181"/>
      <c r="K20" s="181"/>
      <c r="L20" s="181"/>
    </row>
    <row r="21" spans="2:12">
      <c r="E21" s="183"/>
    </row>
  </sheetData>
  <sheetProtection password="CCC5" sheet="1" objects="1" scenarios="1"/>
  <phoneticPr fontId="0" type="noConversion"/>
  <pageMargins left="0.74803149606299213" right="0.74803149606299213" top="0.98425196850393704" bottom="0.98425196850393704" header="0" footer="0"/>
  <pageSetup scale="77" orientation="landscape" horizontalDpi="300" verticalDpi="30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H23"/>
  <sheetViews>
    <sheetView zoomScaleNormal="100" workbookViewId="0">
      <selection activeCell="E9" sqref="E9"/>
    </sheetView>
  </sheetViews>
  <sheetFormatPr baseColWidth="10" defaultRowHeight="12.75"/>
  <cols>
    <col min="1" max="1" width="1.7109375" style="3" customWidth="1"/>
    <col min="2" max="2" width="46.42578125" style="3" customWidth="1"/>
    <col min="3" max="3" width="11.7109375" style="3" bestFit="1" customWidth="1"/>
    <col min="4" max="4" width="15.85546875" style="3" customWidth="1"/>
    <col min="5" max="5" width="16.5703125" style="3" bestFit="1" customWidth="1"/>
    <col min="6" max="7" width="16.85546875" style="3" bestFit="1" customWidth="1"/>
    <col min="8" max="8" width="15" style="3" bestFit="1" customWidth="1"/>
    <col min="9" max="9" width="13.42578125" style="3" bestFit="1" customWidth="1"/>
    <col min="10" max="13" width="10.140625" style="3" bestFit="1" customWidth="1"/>
    <col min="14" max="16384" width="11.42578125" style="3"/>
  </cols>
  <sheetData>
    <row r="2" spans="2:8" ht="18.75">
      <c r="B2" s="139" t="s">
        <v>149</v>
      </c>
    </row>
    <row r="4" spans="2:8">
      <c r="B4" s="144" t="s">
        <v>63</v>
      </c>
    </row>
    <row r="6" spans="2:8">
      <c r="B6" s="149"/>
      <c r="C6" s="149"/>
      <c r="D6" s="150"/>
      <c r="E6" s="1" t="s">
        <v>143</v>
      </c>
      <c r="F6" s="1" t="s">
        <v>144</v>
      </c>
      <c r="G6" s="1" t="s">
        <v>145</v>
      </c>
      <c r="H6" s="1" t="s">
        <v>146</v>
      </c>
    </row>
    <row r="7" spans="2:8">
      <c r="B7" s="151"/>
      <c r="C7" s="151"/>
      <c r="D7" s="152"/>
      <c r="E7" s="153"/>
      <c r="F7" s="153"/>
      <c r="G7" s="153"/>
      <c r="H7" s="153"/>
    </row>
    <row r="8" spans="2:8">
      <c r="B8" s="154" t="s">
        <v>40</v>
      </c>
      <c r="C8" s="154" t="s">
        <v>39</v>
      </c>
      <c r="D8" s="155" t="s">
        <v>140</v>
      </c>
      <c r="E8" s="156">
        <v>160.23705888027422</v>
      </c>
      <c r="F8" s="156">
        <v>155.72486774145273</v>
      </c>
      <c r="G8" s="156">
        <v>156.95725345330658</v>
      </c>
      <c r="H8" s="156">
        <v>154.04711351345685</v>
      </c>
    </row>
    <row r="9" spans="2:8">
      <c r="B9" s="155" t="s">
        <v>142</v>
      </c>
      <c r="C9" s="155" t="s">
        <v>1</v>
      </c>
      <c r="D9" s="155" t="s">
        <v>0</v>
      </c>
      <c r="E9" s="157">
        <f>+REGRESIONES!D86</f>
        <v>7.9884181531870213E-2</v>
      </c>
      <c r="F9" s="157">
        <f>+REGRESIONES!E86</f>
        <v>7.9851897316776055E-2</v>
      </c>
      <c r="G9" s="157">
        <f>+REGRESIONES!F86</f>
        <v>7.9823553774742456E-2</v>
      </c>
      <c r="H9" s="157">
        <f>+REGRESIONES!G86</f>
        <v>7.9795158303088629E-2</v>
      </c>
    </row>
    <row r="10" spans="2:8">
      <c r="B10" s="155" t="s">
        <v>118</v>
      </c>
      <c r="C10" s="155" t="s">
        <v>1</v>
      </c>
      <c r="D10" s="155" t="s">
        <v>0</v>
      </c>
      <c r="E10" s="157">
        <v>1.4999999999999999E-2</v>
      </c>
      <c r="F10" s="157">
        <v>1.4999999999999999E-2</v>
      </c>
      <c r="G10" s="157">
        <v>1.4999999999999999E-2</v>
      </c>
      <c r="H10" s="157">
        <v>1.4999999999999999E-2</v>
      </c>
    </row>
    <row r="11" spans="2:8">
      <c r="B11" s="155" t="s">
        <v>191</v>
      </c>
      <c r="C11" s="155" t="s">
        <v>1</v>
      </c>
      <c r="D11" s="155" t="s">
        <v>0</v>
      </c>
      <c r="E11" s="157">
        <v>1.1710664334783689E-2</v>
      </c>
      <c r="F11" s="157">
        <v>1.1710664334783689E-2</v>
      </c>
      <c r="G11" s="157">
        <v>1.1710664334783689E-2</v>
      </c>
      <c r="H11" s="157">
        <v>1.1710664334783689E-2</v>
      </c>
    </row>
    <row r="12" spans="2:8">
      <c r="B12" s="155" t="s">
        <v>113</v>
      </c>
      <c r="C12" s="155" t="s">
        <v>38</v>
      </c>
      <c r="D12" s="155" t="s">
        <v>0</v>
      </c>
      <c r="E12" s="157">
        <v>3.5000000000000003E-2</v>
      </c>
      <c r="F12" s="157">
        <f>E12</f>
        <v>3.5000000000000003E-2</v>
      </c>
      <c r="G12" s="157">
        <f>E12</f>
        <v>3.5000000000000003E-2</v>
      </c>
      <c r="H12" s="157">
        <f>E12</f>
        <v>3.5000000000000003E-2</v>
      </c>
    </row>
    <row r="13" spans="2:8">
      <c r="B13" s="155" t="s">
        <v>114</v>
      </c>
      <c r="C13" s="155" t="s">
        <v>38</v>
      </c>
      <c r="D13" s="155" t="s">
        <v>0</v>
      </c>
      <c r="E13" s="157">
        <v>5.4284434217824806E-2</v>
      </c>
      <c r="F13" s="157">
        <f>E13</f>
        <v>5.4284434217824806E-2</v>
      </c>
      <c r="G13" s="157">
        <f>E13</f>
        <v>5.4284434217824806E-2</v>
      </c>
      <c r="H13" s="157">
        <f>E13</f>
        <v>5.4284434217824806E-2</v>
      </c>
    </row>
    <row r="14" spans="2:8">
      <c r="B14" s="155" t="s">
        <v>115</v>
      </c>
      <c r="C14" s="155" t="s">
        <v>38</v>
      </c>
      <c r="D14" s="155" t="s">
        <v>0</v>
      </c>
      <c r="E14" s="157">
        <v>3.3300000000000003E-2</v>
      </c>
      <c r="F14" s="157">
        <f>E14</f>
        <v>3.3300000000000003E-2</v>
      </c>
      <c r="G14" s="157">
        <f>E14</f>
        <v>3.3300000000000003E-2</v>
      </c>
      <c r="H14" s="157">
        <f>E14</f>
        <v>3.3300000000000003E-2</v>
      </c>
    </row>
    <row r="15" spans="2:8">
      <c r="B15" s="155" t="s">
        <v>60</v>
      </c>
      <c r="C15" s="155" t="s">
        <v>61</v>
      </c>
      <c r="D15" s="155" t="s">
        <v>135</v>
      </c>
      <c r="E15" s="156">
        <f>ALUMPU!D12</f>
        <v>624.10766640361851</v>
      </c>
      <c r="F15" s="156">
        <f>ALUMPU!E12</f>
        <v>640.18869016370411</v>
      </c>
      <c r="G15" s="156">
        <f>ALUMPU!F12</f>
        <v>656.59777176031184</v>
      </c>
      <c r="H15" s="156">
        <f>ALUMPU!G12</f>
        <v>673.22659020968422</v>
      </c>
    </row>
    <row r="16" spans="2:8">
      <c r="B16" s="158"/>
      <c r="C16" s="158"/>
      <c r="D16" s="158"/>
      <c r="E16" s="159"/>
      <c r="F16" s="159"/>
      <c r="G16" s="159"/>
      <c r="H16" s="159"/>
    </row>
    <row r="18" spans="2:3">
      <c r="B18" s="144"/>
    </row>
    <row r="22" spans="2:3">
      <c r="B22" s="160"/>
      <c r="C22" s="160"/>
    </row>
    <row r="23" spans="2:3">
      <c r="B23" s="160"/>
    </row>
  </sheetData>
  <sheetProtection password="CCC5" sheet="1" objects="1" scenarios="1"/>
  <phoneticPr fontId="0" type="noConversion"/>
  <pageMargins left="0.74803149606299213" right="0.74803149606299213" top="0.98425196850393704" bottom="0.98425196850393704" header="0" footer="0"/>
  <pageSetup scale="87" orientation="landscape" horizontalDpi="300" verticalDpi="30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IMP-RESUMEN</vt:lpstr>
      <vt:lpstr>IMPD</vt:lpstr>
      <vt:lpstr>IMPCO</vt:lpstr>
      <vt:lpstr>ALUMPU</vt:lpstr>
      <vt:lpstr>DEMANDA</vt:lpstr>
      <vt:lpstr>REGRESIONES</vt:lpstr>
      <vt:lpstr>INVERSIONES</vt:lpstr>
      <vt:lpstr>ACTIVOS</vt:lpstr>
      <vt:lpstr>PERDIDAS y OTROS</vt:lpstr>
      <vt:lpstr>RETORNO</vt:lpstr>
    </vt:vector>
  </TitlesOfParts>
  <Company>Mercados Energeticos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ASEP</cp:lastModifiedBy>
  <cp:lastPrinted>2010-06-22T17:26:58Z</cp:lastPrinted>
  <dcterms:created xsi:type="dcterms:W3CDTF">2001-07-13T14:01:29Z</dcterms:created>
  <dcterms:modified xsi:type="dcterms:W3CDTF">2014-05-06T04:26:46Z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228361105</vt:i4>
  </property>
  <property fmtid="{D5CDD505-2E9C-101B-9397-08002B2CF9AE}" pid="3" name="_EmailSubject">
    <vt:lpwstr>IMP</vt:lpwstr>
  </property>
  <property fmtid="{D5CDD505-2E9C-101B-9397-08002B2CF9AE}" pid="4" name="_AuthorEmailDisplayName">
    <vt:lpwstr>Jenny de Da Lorenzo</vt:lpwstr>
  </property>
  <property fmtid="{D5CDD505-2E9C-101B-9397-08002B2CF9AE}" pid="5" name="_ReviewingToolsShownOnce">
    <vt:lpwstr/>
  </property>
</Properties>
</file>