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3615" windowWidth="20550" windowHeight="3660" tabRatio="616"/>
  </bookViews>
  <sheets>
    <sheet name="IMP-RESUMEN" sheetId="7" r:id="rId1"/>
    <sheet name="IMPD" sheetId="2" r:id="rId2"/>
    <sheet name="IMPCO" sheetId="3" r:id="rId3"/>
    <sheet name="ALUMPU" sheetId="4" r:id="rId4"/>
    <sheet name="DEMANDA" sheetId="12" r:id="rId5"/>
    <sheet name="REGRESIONES" sheetId="17" r:id="rId6"/>
    <sheet name="INVERSIONES" sheetId="10" r:id="rId7"/>
    <sheet name="ACTIVOS" sheetId="8" r:id="rId8"/>
    <sheet name="PERDIDAS y OTROS" sheetId="11" r:id="rId9"/>
    <sheet name="RETORNO" sheetId="14" r:id="rId10"/>
  </sheets>
  <calcPr calcId="125725"/>
</workbook>
</file>

<file path=xl/calcChain.xml><?xml version="1.0" encoding="utf-8"?>
<calcChain xmlns="http://schemas.openxmlformats.org/spreadsheetml/2006/main">
  <c r="D15" i="14"/>
  <c r="C15"/>
  <c r="D13"/>
  <c r="C13"/>
  <c r="C11"/>
  <c r="C16" s="1"/>
  <c r="D10"/>
  <c r="D7"/>
  <c r="D11" s="1"/>
  <c r="D16" s="1"/>
  <c r="F9" i="11"/>
  <c r="G9"/>
  <c r="H9"/>
  <c r="F18" i="8"/>
  <c r="D18"/>
  <c r="F13"/>
  <c r="D13"/>
  <c r="E15" i="17"/>
  <c r="F15"/>
  <c r="G15"/>
  <c r="H15"/>
  <c r="D15"/>
  <c r="C24"/>
  <c r="C14" i="7"/>
  <c r="E11" i="12"/>
  <c r="F11"/>
  <c r="G11"/>
  <c r="H11"/>
  <c r="D11"/>
  <c r="D17" i="14" l="1"/>
  <c r="D20" s="1"/>
  <c r="D19"/>
  <c r="C19"/>
  <c r="C17"/>
  <c r="C20" s="1"/>
  <c r="E12" i="3"/>
  <c r="P24" i="10"/>
  <c r="L24"/>
  <c r="N24"/>
  <c r="M24"/>
  <c r="G24"/>
  <c r="F24"/>
  <c r="E24"/>
  <c r="D24"/>
  <c r="Q123"/>
  <c r="O123"/>
  <c r="M61"/>
  <c r="E32" s="1"/>
  <c r="N61"/>
  <c r="O61"/>
  <c r="G32" s="1"/>
  <c r="P61"/>
  <c r="L61"/>
  <c r="D32" s="1"/>
  <c r="D12" s="1"/>
  <c r="M40"/>
  <c r="N40"/>
  <c r="F23" s="1"/>
  <c r="O40"/>
  <c r="P40"/>
  <c r="L40"/>
  <c r="D23" s="1"/>
  <c r="O24"/>
  <c r="D12" i="4"/>
  <c r="G81" i="17"/>
  <c r="G82" s="1"/>
  <c r="F81"/>
  <c r="F82" s="1"/>
  <c r="E81"/>
  <c r="E82" s="1"/>
  <c r="D81"/>
  <c r="D82" s="1"/>
  <c r="E9" i="11" s="1"/>
  <c r="C81" i="17"/>
  <c r="C82" s="1"/>
  <c r="B81"/>
  <c r="B82" s="1"/>
  <c r="D40"/>
  <c r="E40" s="1"/>
  <c r="F40" s="1"/>
  <c r="G40" s="1"/>
  <c r="C40"/>
  <c r="G27"/>
  <c r="G55" s="1"/>
  <c r="G13" i="2" s="1"/>
  <c r="F27" i="17"/>
  <c r="F55" s="1"/>
  <c r="F13" i="2" s="1"/>
  <c r="E27" i="17"/>
  <c r="E55" s="1"/>
  <c r="E13" i="2" s="1"/>
  <c r="D27" i="17"/>
  <c r="D55" s="1"/>
  <c r="D13" i="2" s="1"/>
  <c r="C27" i="17"/>
  <c r="C55" s="1"/>
  <c r="B27"/>
  <c r="B55" s="1"/>
  <c r="G26"/>
  <c r="G54" s="1"/>
  <c r="G12" i="3" s="1"/>
  <c r="F26" i="17"/>
  <c r="F54" s="1"/>
  <c r="F12" i="3" s="1"/>
  <c r="E26" i="17"/>
  <c r="E54" s="1"/>
  <c r="D26"/>
  <c r="D54" s="1"/>
  <c r="D12" i="3" s="1"/>
  <c r="C26" i="17"/>
  <c r="C54" s="1"/>
  <c r="B26"/>
  <c r="B54" s="1"/>
  <c r="G25"/>
  <c r="G53" s="1"/>
  <c r="G12" i="2" s="1"/>
  <c r="F25" i="17"/>
  <c r="F53" s="1"/>
  <c r="F12" i="2" s="1"/>
  <c r="E25" i="17"/>
  <c r="E53" s="1"/>
  <c r="E60" s="1"/>
  <c r="D25"/>
  <c r="D53" s="1"/>
  <c r="C25"/>
  <c r="C53" s="1"/>
  <c r="B25"/>
  <c r="B53" s="1"/>
  <c r="B60" s="1"/>
  <c r="G24"/>
  <c r="G52" s="1"/>
  <c r="G65" s="1"/>
  <c r="G11" i="10" s="1"/>
  <c r="F24" i="17"/>
  <c r="F52" s="1"/>
  <c r="E24"/>
  <c r="E52" s="1"/>
  <c r="D24"/>
  <c r="D52" s="1"/>
  <c r="C52"/>
  <c r="C65" s="1"/>
  <c r="B24"/>
  <c r="B52" s="1"/>
  <c r="G23"/>
  <c r="G51" s="1"/>
  <c r="F23"/>
  <c r="F51" s="1"/>
  <c r="E23"/>
  <c r="E51" s="1"/>
  <c r="D23"/>
  <c r="D51" s="1"/>
  <c r="C23"/>
  <c r="C51" s="1"/>
  <c r="B23"/>
  <c r="B51" s="1"/>
  <c r="C64" s="1"/>
  <c r="F65" l="1"/>
  <c r="F11" i="10" s="1"/>
  <c r="E12" i="2"/>
  <c r="D60" i="17"/>
  <c r="E65"/>
  <c r="E11" i="10" s="1"/>
  <c r="D12" i="2"/>
  <c r="D17"/>
  <c r="H24" i="10"/>
  <c r="F32"/>
  <c r="G23"/>
  <c r="E23"/>
  <c r="D22"/>
  <c r="H32"/>
  <c r="D64" i="17"/>
  <c r="D59"/>
  <c r="D61" s="1"/>
  <c r="C59"/>
  <c r="C67"/>
  <c r="G59"/>
  <c r="G64"/>
  <c r="G67" s="1"/>
  <c r="D65"/>
  <c r="D11" i="10" s="1"/>
  <c r="C60" i="17"/>
  <c r="G60"/>
  <c r="F64"/>
  <c r="E59"/>
  <c r="E61" s="1"/>
  <c r="E64"/>
  <c r="B59"/>
  <c r="B61" s="1"/>
  <c r="F60"/>
  <c r="F59"/>
  <c r="F67" l="1"/>
  <c r="E67"/>
  <c r="D67"/>
  <c r="E17" i="2"/>
  <c r="D10" i="10"/>
  <c r="G10" i="8" s="1"/>
  <c r="G61" i="17"/>
  <c r="F61"/>
  <c r="C61"/>
  <c r="G17" i="2" l="1"/>
  <c r="F17"/>
  <c r="I7" i="12"/>
  <c r="H10"/>
  <c r="G10"/>
  <c r="F10"/>
  <c r="E10"/>
  <c r="D10"/>
  <c r="F22" i="10"/>
  <c r="F10" s="1"/>
  <c r="E12"/>
  <c r="F12"/>
  <c r="G12"/>
  <c r="C18" i="7"/>
  <c r="D18"/>
  <c r="E18"/>
  <c r="F18"/>
  <c r="I13" i="12"/>
  <c r="F10" i="8"/>
  <c r="F12" i="11"/>
  <c r="G12"/>
  <c r="H12"/>
  <c r="F13"/>
  <c r="G13"/>
  <c r="H13"/>
  <c r="F14"/>
  <c r="G14"/>
  <c r="H14"/>
  <c r="E15" i="8"/>
  <c r="F15" s="1"/>
  <c r="E11"/>
  <c r="F11" s="1"/>
  <c r="E16"/>
  <c r="F16" s="1"/>
  <c r="E17"/>
  <c r="F17" s="1"/>
  <c r="E12"/>
  <c r="F12" s="1"/>
  <c r="E15" i="11"/>
  <c r="E12" i="4"/>
  <c r="F15" i="11" s="1"/>
  <c r="F12" i="4"/>
  <c r="G15" i="11" s="1"/>
  <c r="G12" i="4"/>
  <c r="H15" i="11" s="1"/>
  <c r="I9" i="12"/>
  <c r="I6"/>
  <c r="E22" i="10"/>
  <c r="E10" s="1"/>
  <c r="G22"/>
  <c r="G10" s="1"/>
  <c r="E14" l="1"/>
  <c r="G12" i="8"/>
  <c r="H12" s="1"/>
  <c r="H12" i="10"/>
  <c r="H23"/>
  <c r="D19" i="7"/>
  <c r="D30" s="1"/>
  <c r="E19"/>
  <c r="E30" s="1"/>
  <c r="F19"/>
  <c r="D19" i="2"/>
  <c r="C13" i="7" s="1"/>
  <c r="E19" i="2"/>
  <c r="D13" i="7" s="1"/>
  <c r="G13" i="14"/>
  <c r="F19" i="2"/>
  <c r="E13" i="7" s="1"/>
  <c r="E26" s="1"/>
  <c r="H22" i="10"/>
  <c r="G19" i="2"/>
  <c r="F13" i="7" s="1"/>
  <c r="C19"/>
  <c r="F26" l="1"/>
  <c r="D26"/>
  <c r="G17" i="8"/>
  <c r="D10" i="4" s="1"/>
  <c r="D11"/>
  <c r="G14" i="14"/>
  <c r="F30" i="7"/>
  <c r="C30"/>
  <c r="E11" i="4"/>
  <c r="I12" i="8"/>
  <c r="H10" i="10"/>
  <c r="D14"/>
  <c r="F14"/>
  <c r="G14"/>
  <c r="G11" i="8"/>
  <c r="H17" l="1"/>
  <c r="I17" s="1"/>
  <c r="D14" i="4"/>
  <c r="C12" i="7" s="1"/>
  <c r="F11" i="4"/>
  <c r="J12" i="8"/>
  <c r="G11" i="4" s="1"/>
  <c r="H11" i="8"/>
  <c r="G16"/>
  <c r="D11" i="3"/>
  <c r="G15" i="8"/>
  <c r="D11" i="2"/>
  <c r="H10" i="8"/>
  <c r="G30" i="7"/>
  <c r="D45"/>
  <c r="H11" i="10"/>
  <c r="H14"/>
  <c r="E10" i="4" l="1"/>
  <c r="E14" s="1"/>
  <c r="D12" i="7" s="1"/>
  <c r="D25" s="1"/>
  <c r="D10" i="2"/>
  <c r="D15" s="1"/>
  <c r="H15" i="8"/>
  <c r="E11" i="3"/>
  <c r="I11" i="8"/>
  <c r="F10" i="4"/>
  <c r="F14" s="1"/>
  <c r="E12" i="7" s="1"/>
  <c r="E25" s="1"/>
  <c r="J17" i="8"/>
  <c r="G10" i="4" s="1"/>
  <c r="G14" s="1"/>
  <c r="F12" i="7" s="1"/>
  <c r="F25" s="1"/>
  <c r="E11" i="2"/>
  <c r="I10" i="8"/>
  <c r="H16"/>
  <c r="D10" i="3"/>
  <c r="D14" s="1"/>
  <c r="C11" i="7" s="1"/>
  <c r="I15" i="8" l="1"/>
  <c r="E10" i="2"/>
  <c r="E15" s="1"/>
  <c r="D21"/>
  <c r="C10" i="7"/>
  <c r="F11" i="2"/>
  <c r="J10" i="8"/>
  <c r="G11" i="2" s="1"/>
  <c r="F11" i="3"/>
  <c r="J11" i="8"/>
  <c r="G11" i="3" s="1"/>
  <c r="E10"/>
  <c r="E14" s="1"/>
  <c r="D11" i="7" s="1"/>
  <c r="D24" s="1"/>
  <c r="I16" i="8"/>
  <c r="C23" i="7" l="1"/>
  <c r="C26"/>
  <c r="D43" s="1"/>
  <c r="C25"/>
  <c r="D41" s="1"/>
  <c r="C24"/>
  <c r="D10"/>
  <c r="D23" s="1"/>
  <c r="E21" i="2"/>
  <c r="F10" i="3"/>
  <c r="F14" s="1"/>
  <c r="E11" i="7" s="1"/>
  <c r="E24" s="1"/>
  <c r="J16" i="8"/>
  <c r="G10" i="3" s="1"/>
  <c r="G14" s="1"/>
  <c r="F11" i="7" s="1"/>
  <c r="F24" s="1"/>
  <c r="J15" i="8"/>
  <c r="G10" i="2" s="1"/>
  <c r="G15" s="1"/>
  <c r="F10"/>
  <c r="F15" s="1"/>
  <c r="C16" i="7"/>
  <c r="D40" l="1"/>
  <c r="E10"/>
  <c r="E23" s="1"/>
  <c r="F21" i="2"/>
  <c r="F10" i="7"/>
  <c r="F23" s="1"/>
  <c r="G21" i="2"/>
  <c r="C28" i="7"/>
  <c r="D28"/>
  <c r="D16"/>
  <c r="E16" l="1"/>
  <c r="F16"/>
  <c r="F28"/>
  <c r="E28" l="1"/>
  <c r="D39"/>
  <c r="D42" l="1"/>
  <c r="D44"/>
  <c r="D46" s="1"/>
  <c r="G46" l="1"/>
  <c r="D47"/>
  <c r="G47" s="1"/>
</calcChain>
</file>

<file path=xl/comments1.xml><?xml version="1.0" encoding="utf-8"?>
<comments xmlns="http://schemas.openxmlformats.org/spreadsheetml/2006/main">
  <authors>
    <author>Mariana Alvarez Guerrero</author>
  </authors>
  <commentList>
    <comment ref="A41" authorId="0">
      <text>
        <r>
          <rPr>
            <b/>
            <sz val="9"/>
            <color indexed="81"/>
            <rFont val="Tahoma"/>
            <family val="2"/>
          </rPr>
          <t>Mariana Alvarez Guerrero:</t>
        </r>
        <r>
          <rPr>
            <sz val="9"/>
            <color indexed="81"/>
            <rFont val="Tahoma"/>
            <family val="2"/>
          </rPr>
          <t xml:space="preserve">
Fuente: IMF
http://www.imf.org/external/data.htm</t>
        </r>
      </text>
    </comment>
  </commentList>
</comments>
</file>

<file path=xl/sharedStrings.xml><?xml version="1.0" encoding="utf-8"?>
<sst xmlns="http://schemas.openxmlformats.org/spreadsheetml/2006/main" count="722" uniqueCount="378">
  <si>
    <t>%</t>
  </si>
  <si>
    <t>PD%</t>
  </si>
  <si>
    <t>IMPULSORES DE COSTOS</t>
  </si>
  <si>
    <t>Demanda Máxima</t>
  </si>
  <si>
    <t>Clientes</t>
  </si>
  <si>
    <t>Rentabilidad sobre Activos</t>
  </si>
  <si>
    <t>Depreciación</t>
  </si>
  <si>
    <t>Operación y Mantenimiento</t>
  </si>
  <si>
    <t>Administración</t>
  </si>
  <si>
    <t>COMERCIALIZACIÓN</t>
  </si>
  <si>
    <t>ALUMBRADO PÚBLICO</t>
  </si>
  <si>
    <t>MWh</t>
  </si>
  <si>
    <t>SISTEMA PRINCIPAL</t>
  </si>
  <si>
    <t>IPPD</t>
  </si>
  <si>
    <t>COMERCIALIZACION</t>
  </si>
  <si>
    <t>IPCO</t>
  </si>
  <si>
    <t>ALUMPU</t>
  </si>
  <si>
    <t>IMPD</t>
  </si>
  <si>
    <t>IMPCO</t>
  </si>
  <si>
    <t>IMP</t>
  </si>
  <si>
    <t>ACTIVOS TARIFARIOS PERMITIDOS</t>
  </si>
  <si>
    <t>INVERSIONES</t>
  </si>
  <si>
    <t>TOTAL INVERSIONES</t>
  </si>
  <si>
    <t>DISTRIBUCIÓN</t>
  </si>
  <si>
    <t>COM</t>
  </si>
  <si>
    <t>WACC REAL ANTES. IMPUESTOS(%)</t>
  </si>
  <si>
    <t>TOTAL</t>
  </si>
  <si>
    <t>Nº clientes</t>
  </si>
  <si>
    <t>OMD</t>
  </si>
  <si>
    <t>AD</t>
  </si>
  <si>
    <t>AC</t>
  </si>
  <si>
    <t>ADM</t>
  </si>
  <si>
    <t>Constante</t>
  </si>
  <si>
    <t>OM</t>
  </si>
  <si>
    <t>BCDN * RR</t>
  </si>
  <si>
    <t>BCD * DEP%</t>
  </si>
  <si>
    <t>IPSD</t>
  </si>
  <si>
    <t>(PD%) * MWhD * CMM</t>
  </si>
  <si>
    <t>DEP%</t>
  </si>
  <si>
    <t>CMM</t>
  </si>
  <si>
    <t>Costo de la Energía en Mercado Mayorista</t>
  </si>
  <si>
    <t>BCNC * RR</t>
  </si>
  <si>
    <t>BCC * DEP%</t>
  </si>
  <si>
    <t>Comercialización</t>
  </si>
  <si>
    <t>ACTNalum * RR</t>
  </si>
  <si>
    <t>ACTalum * DEP%</t>
  </si>
  <si>
    <t>OMalum</t>
  </si>
  <si>
    <t>ID</t>
  </si>
  <si>
    <t>IC</t>
  </si>
  <si>
    <t>Distribución</t>
  </si>
  <si>
    <t>RETORNO SOBRE CAPITAL DISTRIBUCION</t>
  </si>
  <si>
    <t>BCD</t>
  </si>
  <si>
    <t>BCC</t>
  </si>
  <si>
    <t>Valor Neto Base Capital Distribución</t>
  </si>
  <si>
    <t>Valor Neto Base Capital Comercializ.</t>
  </si>
  <si>
    <t>BCNC</t>
  </si>
  <si>
    <t>BCND</t>
  </si>
  <si>
    <t>BASE DE CAPITAL</t>
  </si>
  <si>
    <t>ACTalum</t>
  </si>
  <si>
    <t>ACTN alum</t>
  </si>
  <si>
    <t>Operación y Mantenimiento de AP</t>
  </si>
  <si>
    <t>O&amp;Malum</t>
  </si>
  <si>
    <t>IAP</t>
  </si>
  <si>
    <t>PERDIDAS Y OTROS DATOS</t>
  </si>
  <si>
    <t>UNIDADES</t>
  </si>
  <si>
    <t>DEM/CLIENTE</t>
  </si>
  <si>
    <t>ENERGIA-AÑO/CLIENTE</t>
  </si>
  <si>
    <t>KW/CL</t>
  </si>
  <si>
    <t>CREC.a.a.</t>
  </si>
  <si>
    <t>BASE</t>
  </si>
  <si>
    <t>TOTALES</t>
  </si>
  <si>
    <t>MWh/CL</t>
  </si>
  <si>
    <t>AJUSTE ACTNOREG</t>
  </si>
  <si>
    <t>Adim</t>
  </si>
  <si>
    <t>B. REFERENCIAL</t>
  </si>
  <si>
    <t>MWH</t>
  </si>
  <si>
    <t xml:space="preserve"> </t>
  </si>
  <si>
    <t>Factor de Descuento</t>
  </si>
  <si>
    <t>Factor de Descuento Aplicado</t>
  </si>
  <si>
    <t>MW</t>
  </si>
  <si>
    <t>Valor Bruto Base de Capital de Distribución</t>
  </si>
  <si>
    <t>Valor Bruto Base de Capital de Comercialización</t>
  </si>
  <si>
    <t>Valor Bruto Activos Fijos AP</t>
  </si>
  <si>
    <t>Valor Neto Activos Fijos AP</t>
  </si>
  <si>
    <t>En miles de Balboas</t>
  </si>
  <si>
    <t>Alumbrado Público</t>
  </si>
  <si>
    <t>Concepto</t>
  </si>
  <si>
    <t>Valor</t>
  </si>
  <si>
    <t>Tasa Libre de Riesgo</t>
  </si>
  <si>
    <t>Beta Equity Panama</t>
  </si>
  <si>
    <t>Prima Riesgo Mercado</t>
  </si>
  <si>
    <t>Riesgo País</t>
  </si>
  <si>
    <t>Costo Capital Propio</t>
  </si>
  <si>
    <t>Tasa Endeudamiento antes de Impuesto</t>
  </si>
  <si>
    <t>Tasa Endeudamiento despues de Impuesto</t>
  </si>
  <si>
    <t>D/(D+E)</t>
  </si>
  <si>
    <t>E/(D+E)</t>
  </si>
  <si>
    <t>WACC Nominal despues de Impuestos</t>
  </si>
  <si>
    <t>WACC Nominal antes de Impuestos</t>
  </si>
  <si>
    <t>Tasa Inflación EUA Largo Plazo</t>
  </si>
  <si>
    <t>WACC Real despues de Impuestos</t>
  </si>
  <si>
    <t>WACC Real antes de Impuestos</t>
  </si>
  <si>
    <t>Cantidad de luminarias al 30/6</t>
  </si>
  <si>
    <t>Costo O&amp;M por luminaria [B/. /año]</t>
  </si>
  <si>
    <t>IMP (AÑO TARIFARIO)</t>
  </si>
  <si>
    <t>A. RESOLUCIÓN ASEP</t>
  </si>
  <si>
    <t>DIFERENCIAS</t>
  </si>
  <si>
    <t>Depreciaciones Activos de Distribución</t>
  </si>
  <si>
    <t>Depreciaciones Activos de Comercialización</t>
  </si>
  <si>
    <t>Depreciaciones Activos de AP</t>
  </si>
  <si>
    <t>DETALLE</t>
  </si>
  <si>
    <t>Estas inversiones se agregan a las que resultan de las ecuaciones de eficiencia</t>
  </si>
  <si>
    <t>Inversiones totales en Alumbrado Público</t>
  </si>
  <si>
    <t>EDEMET</t>
  </si>
  <si>
    <t>IMP S/Pérdidas(AÑO TARIFARIO)</t>
  </si>
  <si>
    <t>Energía Facturada (MWh) sin incluir AP</t>
  </si>
  <si>
    <t>Considerando Inversiones para Soterramiento</t>
  </si>
  <si>
    <t>NO</t>
  </si>
  <si>
    <t>SI</t>
  </si>
  <si>
    <t>Nueva Subestación Guadalupe (115kV) en Chorrera</t>
  </si>
  <si>
    <t>Nueva Subestación Las Tablas 115 y línea ARE-LTA</t>
  </si>
  <si>
    <t>Nueva Subestación Howard</t>
  </si>
  <si>
    <t>Energía ingresada al sist. Por ELEKTRA</t>
  </si>
  <si>
    <t>Energía ingresada al sist. Con ELEKTRA</t>
  </si>
  <si>
    <t>SUB-TOTAL</t>
  </si>
  <si>
    <t>PÉRDIDAS ESTÁNDAR EN DISTRIBUCIÓN (1)</t>
  </si>
  <si>
    <t>IMP TOTAL</t>
  </si>
  <si>
    <t>ENERGIA FACTURADA sin AP</t>
  </si>
  <si>
    <t>(1) Las pérdidas estándar de energía se han fijado conforme a las ecuaciones de eficiencia, no obstante, el monto (en B/.) es un valor de referencia.</t>
  </si>
  <si>
    <t xml:space="preserve"> El mismo se revisa semestralmente, según varía el costo real de la energía.</t>
  </si>
  <si>
    <t>Miles de B/.</t>
  </si>
  <si>
    <t>B/./MWh</t>
  </si>
  <si>
    <t>VALOR PRESENTE NETO - INGRESO MÁXIMO PERMITIDO</t>
  </si>
  <si>
    <t>VPN DEL INGRESO MÁXIMO PERMITIDO</t>
  </si>
  <si>
    <t>INGRESO MÁXIMO PERMITIDO = IMP</t>
  </si>
  <si>
    <t>INGRESO MÁXIMO PERMITIDO POR DISTRIBUCIÓN = IMPD</t>
  </si>
  <si>
    <t>Miles de Balboas</t>
  </si>
  <si>
    <t>INGRESO MÁXIMO PERMITIDO POR COMERCIALIZACIÓN = IPCO</t>
  </si>
  <si>
    <t>INGRESO MÁXIMO PERMITIDO POR ALUMBRADO PÚBLICO = ALUMPU</t>
  </si>
  <si>
    <t>Balboas/MWh</t>
  </si>
  <si>
    <t>Pérdidas</t>
  </si>
  <si>
    <t>JUL14 / JUN15</t>
  </si>
  <si>
    <t>JUL15 / JUN16</t>
  </si>
  <si>
    <t>JUL16 / JUN17</t>
  </si>
  <si>
    <t>JUL17 / JUN18</t>
  </si>
  <si>
    <t>REGRESIONES CON DATOS DE LA FERC, AÑOS 2011-2012 - MODELO OLS MUESTRA COMPLETA</t>
  </si>
  <si>
    <t>1 - CAPEX y OPEX</t>
  </si>
  <si>
    <t xml:space="preserve">Variable </t>
  </si>
  <si>
    <t>Ln(DM)</t>
  </si>
  <si>
    <t>Ln(Cl) - Ln(DM/Cl)</t>
  </si>
  <si>
    <t>DATOS FÍSICOS EMPRESA</t>
  </si>
  <si>
    <t>Variable</t>
  </si>
  <si>
    <t>Unidad</t>
  </si>
  <si>
    <t>Base</t>
  </si>
  <si>
    <t>Jul 2012-Jun 2013</t>
  </si>
  <si>
    <t>Jul 2013-Jun 2014</t>
  </si>
  <si>
    <t>Jul 2014-Jun 2015</t>
  </si>
  <si>
    <t>Jul 2015-Jun 2016</t>
  </si>
  <si>
    <t>Jul 2016-Jun 2017</t>
  </si>
  <si>
    <t>Jul 2017-Jun 2018</t>
  </si>
  <si>
    <t>Demanda</t>
  </si>
  <si>
    <t>Cant.</t>
  </si>
  <si>
    <t>RESULTADOS CAPEX y OPEX</t>
  </si>
  <si>
    <t>En USD 2013 sin ajuste</t>
  </si>
  <si>
    <t>COSTO</t>
  </si>
  <si>
    <t>Factores de ajuste</t>
  </si>
  <si>
    <t>1) Componente Mano de Obra</t>
  </si>
  <si>
    <t>Costo laboral relativo</t>
  </si>
  <si>
    <t>Participación de la mano de obra en los costos totales</t>
  </si>
  <si>
    <t>2) Componente Materiales</t>
  </si>
  <si>
    <t>PPP</t>
  </si>
  <si>
    <t>% Nacional</t>
  </si>
  <si>
    <t>En USD 2013 con ajuste</t>
  </si>
  <si>
    <t>Activos totales</t>
  </si>
  <si>
    <t>OPEX Totales</t>
  </si>
  <si>
    <t>TOTEX (Costos Totales)</t>
  </si>
  <si>
    <t>Inversión Totales</t>
  </si>
  <si>
    <t>2 - PÉRDIDAS</t>
  </si>
  <si>
    <t>Ln(EF)</t>
  </si>
  <si>
    <t>RESULTADOS PÉRDIDAS</t>
  </si>
  <si>
    <t>Porcentaje</t>
  </si>
  <si>
    <t>PE_MWH</t>
  </si>
  <si>
    <t>PE_%</t>
  </si>
  <si>
    <t xml:space="preserve">Proyección </t>
  </si>
  <si>
    <t>Pérdidas en Sist Distribución propio</t>
  </si>
  <si>
    <t>Pérdidas en Sist Distribución No propio</t>
  </si>
  <si>
    <t>Jul a Dic 2014</t>
  </si>
  <si>
    <t>Ene a Jun 2018</t>
  </si>
  <si>
    <t>Soterrado Polígono Centro Bancario</t>
  </si>
  <si>
    <t>Soterrado Ciudad de Santiago (Ave. Central)</t>
  </si>
  <si>
    <t>Sorretamiento Vía brasil</t>
  </si>
  <si>
    <t>Sorretamiento Vía Porras</t>
  </si>
  <si>
    <t>Sorretamiento Vía Cincuentenario</t>
  </si>
  <si>
    <t>Sorretamiento Chitré</t>
  </si>
  <si>
    <t>Nuevo Circuito Las Tablas - Cerro Canajagua (refuerzo para antenas de radiodifusión)</t>
  </si>
  <si>
    <t>-</t>
  </si>
  <si>
    <t>Confiabilidad de plantas potabilizadoras EDEMET</t>
  </si>
  <si>
    <t>Medidores Inteligentes</t>
  </si>
  <si>
    <t>Conversión de 4.16kV a 13.2kV</t>
  </si>
  <si>
    <t>Nuevo Circuito SE Arraiján</t>
  </si>
  <si>
    <t>Repotenciación de línea  LLS-ARE 115 kV</t>
  </si>
  <si>
    <t>Doble Circuito Combinado Miraflores Howard (115 kV)</t>
  </si>
  <si>
    <t>Nueva Línea LLS-POC 115 KV</t>
  </si>
  <si>
    <t>Nueva SE La Floresta 115/13,8 KV</t>
  </si>
  <si>
    <t>Diseño de Línea 230 KV Panamá 1 - SE Bella Vista</t>
  </si>
  <si>
    <t>Línea 230 KV Panamá 1 - SE Bella Vista</t>
  </si>
  <si>
    <t>Nueva SE Arraiján 230/34,5 KV</t>
  </si>
  <si>
    <t>Ampliación SE El Higo</t>
  </si>
  <si>
    <t>Ampliación SE Santiago</t>
  </si>
  <si>
    <t>Nueva SE Chame Coronado y Línea de 115 KV</t>
  </si>
  <si>
    <t>Nueva línea  Chorrera-Guadalupe 115 kV</t>
  </si>
  <si>
    <t>Otras Inversiones</t>
  </si>
  <si>
    <t>Electrificación Rural</t>
  </si>
  <si>
    <t>Crecimiento Vegetativo</t>
  </si>
  <si>
    <t>Corredor Norte</t>
  </si>
  <si>
    <t>Corredor Sur</t>
  </si>
  <si>
    <t>Entrada de Hopsa a Urb. Brisas del Golf</t>
  </si>
  <si>
    <t>Entrada de N. Chorrillo a Urb. Brisas del Golf</t>
  </si>
  <si>
    <t>Ave. Omar Torrijos desde la entrada al Hotel Summit Golf hasta SE Summit</t>
  </si>
  <si>
    <t>Vía al Cristo desde la antigua pista de aterrizaje Nuevo Perú hasta la barriada Perla Dorada</t>
  </si>
  <si>
    <t>Interamericana desde Plaza Italia hasta la entrada El Limón</t>
  </si>
  <si>
    <t>Camino de Plantación (Plantation Rd.) desde Subestación Summit hasta la entrada a Parque Municipal Summit</t>
  </si>
  <si>
    <t>Carretera hacia Playa Agallito, distrito de Chitré</t>
  </si>
  <si>
    <t>Interamericana desde Divisa hasta entrada Vía hacia Ocú</t>
  </si>
  <si>
    <t>El Líbano a Punta Chame</t>
  </si>
  <si>
    <t>Camino de Plantación (Plantation Rd.) desde el Parque Municipal Summit hasta Puente de Gamboa</t>
  </si>
  <si>
    <t>Interamericana desde Santiago a San Antonio</t>
  </si>
  <si>
    <t>Interamericana Nueva Gorgona a Sajalices</t>
  </si>
  <si>
    <t>Interamericana desde San Antonio hasta entrada Vía hacia Ocú</t>
  </si>
  <si>
    <t>INVERSIONES EN ALUMBRADO PÚBLICO - Miles de Balboas</t>
  </si>
  <si>
    <t>Periodo</t>
  </si>
  <si>
    <t>PROVINCIA</t>
  </si>
  <si>
    <t>DISTRITO</t>
  </si>
  <si>
    <t>CORREGIMIENTO</t>
  </si>
  <si>
    <t>POBLADO</t>
  </si>
  <si>
    <t># VIV</t>
  </si>
  <si>
    <t>Inversión en B/.</t>
  </si>
  <si>
    <t>Jul-Dic14</t>
  </si>
  <si>
    <t>Coclé</t>
  </si>
  <si>
    <t>Penonomé</t>
  </si>
  <si>
    <t>El Coco</t>
  </si>
  <si>
    <t>Hierba Buena</t>
  </si>
  <si>
    <t>Altos del Encanto</t>
  </si>
  <si>
    <t>Herrera</t>
  </si>
  <si>
    <t>Santa María</t>
  </si>
  <si>
    <t>Chupampa</t>
  </si>
  <si>
    <t>Los Panamaes</t>
  </si>
  <si>
    <t>Canelo</t>
  </si>
  <si>
    <t>El Paraiso</t>
  </si>
  <si>
    <t>Los Santos</t>
  </si>
  <si>
    <t>La Colorada</t>
  </si>
  <si>
    <t>Los Rodriguez o Los Picadores</t>
  </si>
  <si>
    <t>Panamá</t>
  </si>
  <si>
    <t>Capira</t>
  </si>
  <si>
    <t>Campana</t>
  </si>
  <si>
    <t>La Gloria</t>
  </si>
  <si>
    <t>Veraguas</t>
  </si>
  <si>
    <t>San Francisco</t>
  </si>
  <si>
    <t>El Rosario Final</t>
  </si>
  <si>
    <t>Río de Jesús</t>
  </si>
  <si>
    <t>Ene-Jun15</t>
  </si>
  <si>
    <t>Antón</t>
  </si>
  <si>
    <t>Río Hato</t>
  </si>
  <si>
    <t>Sector La Onda-Las Guías de Oriente</t>
  </si>
  <si>
    <t>El Ribazo</t>
  </si>
  <si>
    <t>Los Pozos</t>
  </si>
  <si>
    <t>La Arena</t>
  </si>
  <si>
    <t>La Arena Arriba</t>
  </si>
  <si>
    <t>Ocú</t>
  </si>
  <si>
    <t>Los Remedios</t>
  </si>
  <si>
    <t>Las Minas</t>
  </si>
  <si>
    <t>Leones</t>
  </si>
  <si>
    <t>Suay Arriba</t>
  </si>
  <si>
    <t>Tonosí</t>
  </si>
  <si>
    <t>Guánico</t>
  </si>
  <si>
    <t>Junto al Río</t>
  </si>
  <si>
    <t>La Mesa</t>
  </si>
  <si>
    <t>San Bartolo</t>
  </si>
  <si>
    <t>Lajillas</t>
  </si>
  <si>
    <t>Boró</t>
  </si>
  <si>
    <t>Ruices Arriba</t>
  </si>
  <si>
    <t>Contingencias*</t>
  </si>
  <si>
    <t>Jul-Dic15</t>
  </si>
  <si>
    <t>Olá</t>
  </si>
  <si>
    <t>El Copé</t>
  </si>
  <si>
    <t>El Ajico</t>
  </si>
  <si>
    <t>Menchaca</t>
  </si>
  <si>
    <t>Los Bajos</t>
  </si>
  <si>
    <t>Los Llanos</t>
  </si>
  <si>
    <t>La Iguana</t>
  </si>
  <si>
    <t>Quebrada Pintada</t>
  </si>
  <si>
    <t>Macaracas</t>
  </si>
  <si>
    <t>Bahía Honda</t>
  </si>
  <si>
    <t>El Jobo II</t>
  </si>
  <si>
    <t>Panamá O.</t>
  </si>
  <si>
    <t>La Trinidad</t>
  </si>
  <si>
    <t>Gasparillal</t>
  </si>
  <si>
    <t>Lídice</t>
  </si>
  <si>
    <t>Majara 2</t>
  </si>
  <si>
    <t>Cacao</t>
  </si>
  <si>
    <t>Cacao Arriba</t>
  </si>
  <si>
    <t>Mariato</t>
  </si>
  <si>
    <t>Quebro</t>
  </si>
  <si>
    <t>Puerto Nance</t>
  </si>
  <si>
    <t>Ene-Jun16</t>
  </si>
  <si>
    <t xml:space="preserve">Toabré </t>
  </si>
  <si>
    <t>MiraFlores Chichibali</t>
  </si>
  <si>
    <t xml:space="preserve">Peñas </t>
  </si>
  <si>
    <t>Chatas El Carate</t>
  </si>
  <si>
    <t xml:space="preserve">Ocú </t>
  </si>
  <si>
    <t>El Cope</t>
  </si>
  <si>
    <t>Las Tablas</t>
  </si>
  <si>
    <t xml:space="preserve">El Carate </t>
  </si>
  <si>
    <t>Los Morales</t>
  </si>
  <si>
    <t xml:space="preserve">Cambutal </t>
  </si>
  <si>
    <t>Vía Pedregal</t>
  </si>
  <si>
    <t xml:space="preserve">La Palma </t>
  </si>
  <si>
    <t>Los Perez-El Pajaro</t>
  </si>
  <si>
    <t>San Carlos</t>
  </si>
  <si>
    <t xml:space="preserve">La Laguna </t>
  </si>
  <si>
    <t>Las Ánima</t>
  </si>
  <si>
    <t>Las Palmas</t>
  </si>
  <si>
    <t xml:space="preserve">Viguí </t>
  </si>
  <si>
    <t>El Barrigón</t>
  </si>
  <si>
    <t>Santa Fé</t>
  </si>
  <si>
    <t xml:space="preserve">El Alto </t>
  </si>
  <si>
    <t>La Puente</t>
  </si>
  <si>
    <t>Jul-Dic16</t>
  </si>
  <si>
    <t>La Pintada</t>
  </si>
  <si>
    <t>Piedras Gordas</t>
  </si>
  <si>
    <t xml:space="preserve"> Cerro El Medio</t>
  </si>
  <si>
    <t xml:space="preserve">Las Pipas </t>
  </si>
  <si>
    <t>Las Matas</t>
  </si>
  <si>
    <t xml:space="preserve">Ciri de los Sotos </t>
  </si>
  <si>
    <t>Cruce Nuevo Paraiso</t>
  </si>
  <si>
    <t xml:space="preserve">Los Llanitos </t>
  </si>
  <si>
    <t>Los Pintos</t>
  </si>
  <si>
    <t>Ñurum</t>
  </si>
  <si>
    <t xml:space="preserve">El Piro </t>
  </si>
  <si>
    <t>Alto del Prado</t>
  </si>
  <si>
    <t>Ene-Jun17</t>
  </si>
  <si>
    <t>Las Trancas - Las Lomas</t>
  </si>
  <si>
    <t>Cerro Largo</t>
  </si>
  <si>
    <t>Cerro Agudo-Rascador</t>
  </si>
  <si>
    <t>La Tronosa</t>
  </si>
  <si>
    <t>El Guayabo</t>
  </si>
  <si>
    <t>Soná</t>
  </si>
  <si>
    <t>Bahia Honda</t>
  </si>
  <si>
    <t>Jul-Dic17</t>
  </si>
  <si>
    <t>La Pava</t>
  </si>
  <si>
    <t>Cumbrilla - La Hincada</t>
  </si>
  <si>
    <t>Cerro de Paja</t>
  </si>
  <si>
    <t>El Chumico</t>
  </si>
  <si>
    <t>Majara 3</t>
  </si>
  <si>
    <t>Las Huacas</t>
  </si>
  <si>
    <t>Trinidad Abajo</t>
  </si>
  <si>
    <t>Ene-Jun18</t>
  </si>
  <si>
    <t xml:space="preserve">Pajonal </t>
  </si>
  <si>
    <t>Mañanitas</t>
  </si>
  <si>
    <t>Las Guías de Oriente ( Calle El</t>
  </si>
  <si>
    <t>Los Duendes</t>
  </si>
  <si>
    <t>Atalaya</t>
  </si>
  <si>
    <t>La Carrillo</t>
  </si>
  <si>
    <t>Total</t>
  </si>
  <si>
    <t>*Fondo para poblaciones adicionales cuyo requerimiento surja dentro del periodo</t>
  </si>
  <si>
    <t>INVERSIONES EN ELECTRIFICACIÓN RURAL - Balboas</t>
  </si>
  <si>
    <t>ACT.JUN14</t>
  </si>
  <si>
    <t>Energía ingresada al sist. Propio</t>
  </si>
  <si>
    <t>Ener facturada sin AP</t>
  </si>
  <si>
    <t>JULIO/14-JUNIO/18</t>
  </si>
  <si>
    <t>Actualizados al primer semestre 2014</t>
  </si>
  <si>
    <t>INVNE</t>
  </si>
  <si>
    <t>Energía Inyectada al sistema propio</t>
  </si>
  <si>
    <t>Distribución (SE AT)</t>
  </si>
  <si>
    <t>INVERSION EN AT NO CONTEMPLADAS EN LAS ECUACIONES DE EFICIENCIA - Miles de Balboas</t>
  </si>
  <si>
    <t>OTRAS INVERSIONES NO CONTEMPLADAS EN LAS ECUACIONES DE EFICIENCIA - Miles de Balboas</t>
  </si>
  <si>
    <t>Pérdidas No Gestionables Reconocidas</t>
  </si>
  <si>
    <t>INVERSIONES NO CONTEMPLADAS EN LAS ECUACIONES DE EFICIENCIA</t>
  </si>
</sst>
</file>

<file path=xl/styles.xml><?xml version="1.0" encoding="utf-8"?>
<styleSheet xmlns="http://schemas.openxmlformats.org/spreadsheetml/2006/main">
  <numFmts count="19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0.0"/>
    <numFmt numFmtId="167" formatCode="0.0000"/>
    <numFmt numFmtId="168" formatCode="0.0%"/>
    <numFmt numFmtId="169" formatCode="0.000"/>
    <numFmt numFmtId="170" formatCode="0.00000"/>
    <numFmt numFmtId="171" formatCode="_ * #,##0.0_ ;_ * \-#,##0.0_ ;_ * &quot;-&quot;??_ ;_ @_ "/>
    <numFmt numFmtId="172" formatCode="#,##0.0000"/>
    <numFmt numFmtId="173" formatCode="0.0000000%"/>
    <numFmt numFmtId="174" formatCode="#,##0.000"/>
    <numFmt numFmtId="175" formatCode="#,##0.000\ ;[Red]\(#,##0.000\)"/>
    <numFmt numFmtId="176" formatCode="#,##0.0"/>
    <numFmt numFmtId="177" formatCode="#,##0.00_ ;[Red]\-#,##0.00\ "/>
    <numFmt numFmtId="178" formatCode="#,##0.00000"/>
    <numFmt numFmtId="179" formatCode="0.0000%"/>
    <numFmt numFmtId="180" formatCode="#,##0.00\ ;[Red]\(#,##0.00\)"/>
    <numFmt numFmtId="181" formatCode="#,##0.000_ ;[Red]\-#,##0.000\ "/>
  </numFmts>
  <fonts count="50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"/>
      <family val="2"/>
      <scheme val="minor"/>
    </font>
    <font>
      <b/>
      <sz val="10"/>
      <color rgb="FFFFD4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2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indexed="6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indexed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56413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0" borderId="0"/>
  </cellStyleXfs>
  <cellXfs count="349">
    <xf numFmtId="0" fontId="0" fillId="0" borderId="0" xfId="0"/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2" fillId="7" borderId="0" xfId="0" applyNumberFormat="1" applyFont="1" applyFill="1" applyAlignment="1">
      <alignment horizontal="center" vertical="center"/>
    </xf>
    <xf numFmtId="3" fontId="13" fillId="7" borderId="0" xfId="0" applyNumberFormat="1" applyFont="1" applyFill="1" applyAlignment="1">
      <alignment horizontal="center" vertical="center"/>
    </xf>
    <xf numFmtId="3" fontId="14" fillId="7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/>
    </xf>
    <xf numFmtId="165" fontId="8" fillId="0" borderId="0" xfId="4" applyNumberFormat="1" applyFont="1" applyFill="1" applyAlignment="1">
      <alignment horizontal="center" vertical="center"/>
    </xf>
    <xf numFmtId="167" fontId="12" fillId="0" borderId="0" xfId="2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indent="2"/>
    </xf>
    <xf numFmtId="0" fontId="12" fillId="0" borderId="0" xfId="0" applyFont="1" applyFill="1" applyBorder="1" applyAlignment="1"/>
    <xf numFmtId="10" fontId="12" fillId="0" borderId="0" xfId="3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164" fontId="12" fillId="0" borderId="0" xfId="4" applyFont="1" applyAlignment="1">
      <alignment horizontal="center" vertical="center"/>
    </xf>
    <xf numFmtId="9" fontId="12" fillId="0" borderId="0" xfId="3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1" fillId="8" borderId="24" xfId="5" applyFont="1" applyFill="1" applyBorder="1" applyAlignment="1">
      <alignment horizontal="center" vertical="center" wrapText="1"/>
    </xf>
    <xf numFmtId="0" fontId="21" fillId="8" borderId="3" xfId="5" applyFont="1" applyFill="1" applyBorder="1" applyAlignment="1">
      <alignment horizontal="center" vertical="center" wrapText="1"/>
    </xf>
    <xf numFmtId="0" fontId="21" fillId="8" borderId="30" xfId="5" applyFont="1" applyFill="1" applyBorder="1" applyAlignment="1">
      <alignment horizontal="center" vertical="center" wrapText="1"/>
    </xf>
    <xf numFmtId="0" fontId="22" fillId="6" borderId="24" xfId="0" applyFont="1" applyFill="1" applyBorder="1" applyAlignment="1">
      <alignment horizontal="left"/>
    </xf>
    <xf numFmtId="0" fontId="23" fillId="0" borderId="3" xfId="0" applyFont="1" applyBorder="1" applyAlignment="1">
      <alignment vertical="top" wrapText="1"/>
    </xf>
    <xf numFmtId="0" fontId="23" fillId="0" borderId="3" xfId="0" applyFont="1" applyBorder="1" applyAlignment="1">
      <alignment horizontal="justify" vertical="top" wrapText="1"/>
    </xf>
    <xf numFmtId="0" fontId="23" fillId="0" borderId="3" xfId="0" applyFont="1" applyBorder="1" applyAlignment="1">
      <alignment horizontal="center" vertical="center" wrapText="1"/>
    </xf>
    <xf numFmtId="4" fontId="22" fillId="0" borderId="30" xfId="5" applyNumberFormat="1" applyFont="1" applyBorder="1" applyAlignment="1">
      <alignment horizontal="center"/>
    </xf>
    <xf numFmtId="0" fontId="23" fillId="0" borderId="3" xfId="0" applyFont="1" applyBorder="1"/>
    <xf numFmtId="0" fontId="23" fillId="0" borderId="3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23" fillId="0" borderId="31" xfId="0" applyFont="1" applyBorder="1"/>
    <xf numFmtId="4" fontId="22" fillId="0" borderId="31" xfId="5" applyNumberFormat="1" applyFont="1" applyBorder="1" applyAlignment="1">
      <alignment horizontal="center"/>
    </xf>
    <xf numFmtId="4" fontId="22" fillId="0" borderId="32" xfId="5" applyNumberFormat="1" applyFont="1" applyBorder="1" applyAlignment="1">
      <alignment horizontal="center"/>
    </xf>
    <xf numFmtId="0" fontId="23" fillId="0" borderId="0" xfId="0" applyFont="1"/>
    <xf numFmtId="3" fontId="22" fillId="6" borderId="3" xfId="0" applyNumberFormat="1" applyFont="1" applyFill="1" applyBorder="1" applyAlignment="1">
      <alignment horizontal="right"/>
    </xf>
    <xf numFmtId="3" fontId="22" fillId="6" borderId="30" xfId="0" applyNumberFormat="1" applyFont="1" applyFill="1" applyBorder="1" applyAlignment="1">
      <alignment horizontal="right"/>
    </xf>
    <xf numFmtId="3" fontId="22" fillId="0" borderId="3" xfId="0" applyNumberFormat="1" applyFont="1" applyFill="1" applyBorder="1" applyAlignment="1">
      <alignment horizontal="right"/>
    </xf>
    <xf numFmtId="3" fontId="22" fillId="0" borderId="30" xfId="0" applyNumberFormat="1" applyFont="1" applyFill="1" applyBorder="1" applyAlignment="1">
      <alignment horizontal="right"/>
    </xf>
    <xf numFmtId="3" fontId="25" fillId="0" borderId="31" xfId="0" applyNumberFormat="1" applyFont="1" applyFill="1" applyBorder="1" applyAlignment="1">
      <alignment horizontal="right"/>
    </xf>
    <xf numFmtId="3" fontId="25" fillId="0" borderId="32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 indent="2"/>
    </xf>
    <xf numFmtId="3" fontId="26" fillId="0" borderId="0" xfId="0" applyNumberFormat="1" applyFont="1" applyFill="1" applyBorder="1" applyAlignment="1">
      <alignment horizontal="right"/>
    </xf>
    <xf numFmtId="0" fontId="22" fillId="0" borderId="0" xfId="0" applyFont="1" applyBorder="1"/>
    <xf numFmtId="0" fontId="22" fillId="0" borderId="0" xfId="0" applyFont="1"/>
    <xf numFmtId="0" fontId="25" fillId="0" borderId="26" xfId="0" applyFont="1" applyFill="1" applyBorder="1" applyAlignment="1">
      <alignment horizontal="right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22" fillId="0" borderId="2" xfId="0" applyFont="1" applyFill="1" applyBorder="1"/>
    <xf numFmtId="0" fontId="20" fillId="2" borderId="3" xfId="0" applyFont="1" applyFill="1" applyBorder="1" applyAlignment="1">
      <alignment horizontal="center"/>
    </xf>
    <xf numFmtId="0" fontId="22" fillId="0" borderId="7" xfId="0" applyFont="1" applyFill="1" applyBorder="1"/>
    <xf numFmtId="0" fontId="22" fillId="0" borderId="8" xfId="0" applyFont="1" applyFill="1" applyBorder="1"/>
    <xf numFmtId="0" fontId="20" fillId="0" borderId="7" xfId="0" applyFont="1" applyFill="1" applyBorder="1"/>
    <xf numFmtId="4" fontId="20" fillId="0" borderId="8" xfId="1" applyNumberFormat="1" applyFont="1" applyFill="1" applyBorder="1"/>
    <xf numFmtId="0" fontId="31" fillId="0" borderId="2" xfId="0" applyFont="1" applyFill="1" applyBorder="1"/>
    <xf numFmtId="4" fontId="31" fillId="0" borderId="3" xfId="0" applyNumberFormat="1" applyFont="1" applyFill="1" applyBorder="1"/>
    <xf numFmtId="0" fontId="31" fillId="0" borderId="0" xfId="0" applyFont="1" applyFill="1" applyBorder="1"/>
    <xf numFmtId="4" fontId="31" fillId="0" borderId="0" xfId="0" applyNumberFormat="1" applyFont="1" applyFill="1" applyBorder="1"/>
    <xf numFmtId="0" fontId="22" fillId="0" borderId="3" xfId="0" applyFont="1" applyBorder="1"/>
    <xf numFmtId="170" fontId="22" fillId="0" borderId="3" xfId="0" applyNumberFormat="1" applyFont="1" applyBorder="1" applyAlignment="1">
      <alignment horizontal="center"/>
    </xf>
    <xf numFmtId="170" fontId="22" fillId="0" borderId="3" xfId="0" applyNumberFormat="1" applyFont="1" applyFill="1" applyBorder="1" applyAlignment="1">
      <alignment horizontal="center"/>
    </xf>
    <xf numFmtId="0" fontId="22" fillId="0" borderId="0" xfId="0" applyFont="1" applyFill="1" applyBorder="1"/>
    <xf numFmtId="0" fontId="20" fillId="0" borderId="2" xfId="0" applyFont="1" applyBorder="1"/>
    <xf numFmtId="170" fontId="20" fillId="0" borderId="14" xfId="0" applyNumberFormat="1" applyFont="1" applyBorder="1" applyAlignment="1">
      <alignment horizontal="center"/>
    </xf>
    <xf numFmtId="170" fontId="20" fillId="0" borderId="22" xfId="0" applyNumberFormat="1" applyFont="1" applyBorder="1" applyAlignment="1">
      <alignment horizontal="center"/>
    </xf>
    <xf numFmtId="1" fontId="22" fillId="0" borderId="0" xfId="0" applyNumberFormat="1" applyFont="1" applyFill="1" applyBorder="1"/>
    <xf numFmtId="165" fontId="22" fillId="0" borderId="8" xfId="1" applyNumberFormat="1" applyFont="1" applyBorder="1"/>
    <xf numFmtId="165" fontId="22" fillId="0" borderId="10" xfId="1" applyNumberFormat="1" applyFont="1" applyBorder="1"/>
    <xf numFmtId="0" fontId="22" fillId="0" borderId="2" xfId="0" applyFont="1" applyBorder="1"/>
    <xf numFmtId="165" fontId="22" fillId="0" borderId="3" xfId="1" applyNumberFormat="1" applyFont="1" applyBorder="1"/>
    <xf numFmtId="0" fontId="31" fillId="2" borderId="17" xfId="0" applyFont="1" applyFill="1" applyBorder="1"/>
    <xf numFmtId="0" fontId="32" fillId="2" borderId="18" xfId="0" applyFont="1" applyFill="1" applyBorder="1"/>
    <xf numFmtId="10" fontId="34" fillId="0" borderId="41" xfId="0" applyNumberFormat="1" applyFont="1" applyFill="1" applyBorder="1" applyAlignment="1">
      <alignment horizontal="center"/>
    </xf>
    <xf numFmtId="0" fontId="32" fillId="0" borderId="17" xfId="0" applyFont="1" applyFill="1" applyBorder="1"/>
    <xf numFmtId="0" fontId="32" fillId="0" borderId="19" xfId="0" applyFont="1" applyFill="1" applyBorder="1"/>
    <xf numFmtId="10" fontId="35" fillId="0" borderId="21" xfId="0" applyNumberFormat="1" applyFont="1" applyFill="1" applyBorder="1" applyAlignment="1">
      <alignment horizontal="center"/>
    </xf>
    <xf numFmtId="0" fontId="32" fillId="0" borderId="20" xfId="0" applyFont="1" applyFill="1" applyBorder="1"/>
    <xf numFmtId="0" fontId="32" fillId="0" borderId="21" xfId="0" applyFont="1" applyFill="1" applyBorder="1" applyAlignment="1">
      <alignment horizontal="center"/>
    </xf>
    <xf numFmtId="177" fontId="32" fillId="0" borderId="21" xfId="0" applyNumberFormat="1" applyFont="1" applyFill="1" applyBorder="1"/>
    <xf numFmtId="0" fontId="32" fillId="0" borderId="12" xfId="0" applyFont="1" applyFill="1" applyBorder="1"/>
    <xf numFmtId="0" fontId="32" fillId="0" borderId="11" xfId="0" applyFont="1" applyFill="1" applyBorder="1" applyAlignment="1">
      <alignment horizontal="center"/>
    </xf>
    <xf numFmtId="177" fontId="32" fillId="0" borderId="11" xfId="0" applyNumberFormat="1" applyFont="1" applyFill="1" applyBorder="1"/>
    <xf numFmtId="165" fontId="32" fillId="0" borderId="21" xfId="1" applyNumberFormat="1" applyFont="1" applyFill="1" applyBorder="1"/>
    <xf numFmtId="10" fontId="35" fillId="0" borderId="36" xfId="0" applyNumberFormat="1" applyFont="1" applyFill="1" applyBorder="1" applyAlignment="1">
      <alignment horizontal="center"/>
    </xf>
    <xf numFmtId="0" fontId="31" fillId="3" borderId="12" xfId="0" applyFont="1" applyFill="1" applyBorder="1"/>
    <xf numFmtId="0" fontId="31" fillId="3" borderId="11" xfId="0" applyFont="1" applyFill="1" applyBorder="1" applyAlignment="1">
      <alignment horizontal="center"/>
    </xf>
    <xf numFmtId="2" fontId="31" fillId="3" borderId="11" xfId="0" applyNumberFormat="1" applyFont="1" applyFill="1" applyBorder="1" applyAlignment="1">
      <alignment horizontal="center"/>
    </xf>
    <xf numFmtId="2" fontId="31" fillId="3" borderId="12" xfId="0" applyNumberFormat="1" applyFont="1" applyFill="1" applyBorder="1" applyAlignment="1">
      <alignment horizontal="center"/>
    </xf>
    <xf numFmtId="10" fontId="35" fillId="3" borderId="11" xfId="0" applyNumberFormat="1" applyFont="1" applyFill="1" applyBorder="1" applyAlignment="1">
      <alignment horizontal="center"/>
    </xf>
    <xf numFmtId="10" fontId="35" fillId="3" borderId="36" xfId="0" applyNumberFormat="1" applyFont="1" applyFill="1" applyBorder="1" applyAlignment="1">
      <alignment horizontal="center"/>
    </xf>
    <xf numFmtId="10" fontId="28" fillId="0" borderId="0" xfId="3" applyNumberFormat="1" applyFont="1" applyAlignment="1">
      <alignment horizontal="center"/>
    </xf>
    <xf numFmtId="2" fontId="22" fillId="0" borderId="0" xfId="0" applyNumberFormat="1" applyFont="1"/>
    <xf numFmtId="0" fontId="36" fillId="0" borderId="0" xfId="0" applyFont="1"/>
    <xf numFmtId="179" fontId="17" fillId="4" borderId="3" xfId="3" applyNumberFormat="1" applyFont="1" applyFill="1" applyBorder="1" applyAlignment="1">
      <alignment horizontal="center" vertical="justify"/>
    </xf>
    <xf numFmtId="3" fontId="37" fillId="0" borderId="3" xfId="0" applyNumberFormat="1" applyFont="1" applyBorder="1" applyAlignment="1">
      <alignment horizontal="center"/>
    </xf>
    <xf numFmtId="177" fontId="32" fillId="0" borderId="20" xfId="0" applyNumberFormat="1" applyFont="1" applyFill="1" applyBorder="1"/>
    <xf numFmtId="0" fontId="22" fillId="0" borderId="19" xfId="0" applyFont="1" applyBorder="1"/>
    <xf numFmtId="0" fontId="22" fillId="0" borderId="21" xfId="0" applyFont="1" applyBorder="1"/>
    <xf numFmtId="0" fontId="22" fillId="0" borderId="36" xfId="0" applyFont="1" applyBorder="1"/>
    <xf numFmtId="0" fontId="22" fillId="0" borderId="0" xfId="0" applyFont="1" applyAlignment="1">
      <alignment horizontal="center" vertical="center"/>
    </xf>
    <xf numFmtId="1" fontId="20" fillId="0" borderId="28" xfId="0" applyNumberFormat="1" applyFont="1" applyBorder="1" applyAlignment="1">
      <alignment horizontal="center" vertical="center"/>
    </xf>
    <xf numFmtId="1" fontId="38" fillId="0" borderId="0" xfId="0" applyNumberFormat="1" applyFont="1"/>
    <xf numFmtId="0" fontId="22" fillId="0" borderId="0" xfId="0" applyFont="1" applyAlignment="1">
      <alignment horizontal="left" vertical="center"/>
    </xf>
    <xf numFmtId="2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3" fontId="22" fillId="7" borderId="0" xfId="0" applyNumberFormat="1" applyFont="1" applyFill="1" applyAlignment="1">
      <alignment horizontal="center" vertical="center"/>
    </xf>
    <xf numFmtId="0" fontId="22" fillId="0" borderId="0" xfId="0" applyFont="1" applyAlignment="1">
      <alignment vertical="center"/>
    </xf>
    <xf numFmtId="165" fontId="22" fillId="0" borderId="0" xfId="4" applyNumberFormat="1" applyFont="1" applyAlignment="1">
      <alignment horizontal="center" vertical="center"/>
    </xf>
    <xf numFmtId="0" fontId="22" fillId="0" borderId="0" xfId="0" applyFont="1" applyFill="1" applyAlignment="1">
      <alignment vertical="center"/>
    </xf>
    <xf numFmtId="165" fontId="22" fillId="0" borderId="0" xfId="4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horizontal="left" vertical="center" indent="1"/>
    </xf>
    <xf numFmtId="0" fontId="22" fillId="0" borderId="0" xfId="0" applyFont="1" applyFill="1" applyBorder="1" applyAlignment="1">
      <alignment horizontal="left" vertical="center" indent="2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indent="3"/>
    </xf>
    <xf numFmtId="0" fontId="22" fillId="0" borderId="0" xfId="0" applyFont="1" applyFill="1" applyBorder="1" applyAlignment="1">
      <alignment horizontal="left" indent="2"/>
    </xf>
    <xf numFmtId="0" fontId="22" fillId="0" borderId="0" xfId="0" applyFont="1" applyFill="1" applyBorder="1" applyAlignment="1">
      <alignment horizontal="left" vertical="justify" indent="2"/>
    </xf>
    <xf numFmtId="173" fontId="22" fillId="0" borderId="0" xfId="0" applyNumberFormat="1" applyFont="1" applyFill="1" applyBorder="1"/>
    <xf numFmtId="165" fontId="22" fillId="0" borderId="0" xfId="0" applyNumberFormat="1" applyFont="1" applyFill="1" applyBorder="1" applyAlignment="1">
      <alignment horizontal="center" vertical="center"/>
    </xf>
    <xf numFmtId="10" fontId="22" fillId="0" borderId="0" xfId="3" applyNumberFormat="1" applyFont="1" applyFill="1" applyBorder="1" applyAlignment="1">
      <alignment horizontal="center" vertical="center"/>
    </xf>
    <xf numFmtId="0" fontId="34" fillId="0" borderId="0" xfId="0" applyFont="1" applyBorder="1"/>
    <xf numFmtId="0" fontId="20" fillId="0" borderId="0" xfId="0" applyFont="1"/>
    <xf numFmtId="0" fontId="20" fillId="2" borderId="4" xfId="0" applyFont="1" applyFill="1" applyBorder="1"/>
    <xf numFmtId="0" fontId="20" fillId="2" borderId="5" xfId="0" applyFont="1" applyFill="1" applyBorder="1" applyAlignment="1">
      <alignment horizontal="center"/>
    </xf>
    <xf numFmtId="0" fontId="20" fillId="0" borderId="5" xfId="0" applyFont="1" applyFill="1" applyBorder="1"/>
    <xf numFmtId="0" fontId="20" fillId="0" borderId="5" xfId="0" applyFont="1" applyFill="1" applyBorder="1" applyAlignment="1">
      <alignment horizontal="center"/>
    </xf>
    <xf numFmtId="3" fontId="39" fillId="0" borderId="5" xfId="0" applyNumberFormat="1" applyFont="1" applyFill="1" applyBorder="1" applyAlignment="1">
      <alignment horizontal="right"/>
    </xf>
    <xf numFmtId="17" fontId="20" fillId="0" borderId="8" xfId="0" applyNumberFormat="1" applyFont="1" applyBorder="1" applyAlignment="1">
      <alignment horizontal="left"/>
    </xf>
    <xf numFmtId="0" fontId="20" fillId="0" borderId="8" xfId="0" applyFont="1" applyBorder="1"/>
    <xf numFmtId="180" fontId="20" fillId="0" borderId="8" xfId="0" applyNumberFormat="1" applyFont="1" applyBorder="1"/>
    <xf numFmtId="10" fontId="40" fillId="0" borderId="8" xfId="3" applyNumberFormat="1" applyFont="1" applyFill="1" applyBorder="1"/>
    <xf numFmtId="0" fontId="22" fillId="0" borderId="10" xfId="0" applyFont="1" applyBorder="1"/>
    <xf numFmtId="0" fontId="22" fillId="0" borderId="10" xfId="0" applyFont="1" applyFill="1" applyBorder="1"/>
    <xf numFmtId="0" fontId="22" fillId="3" borderId="3" xfId="0" applyFont="1" applyFill="1" applyBorder="1" applyAlignment="1">
      <alignment horizontal="center" vertical="justify"/>
    </xf>
    <xf numFmtId="0" fontId="22" fillId="3" borderId="3" xfId="0" applyFont="1" applyFill="1" applyBorder="1" applyAlignment="1">
      <alignment horizontal="center" vertical="center"/>
    </xf>
    <xf numFmtId="0" fontId="22" fillId="3" borderId="3" xfId="0" quotePrefix="1" applyFont="1" applyFill="1" applyBorder="1" applyAlignment="1">
      <alignment horizontal="center" vertical="center"/>
    </xf>
    <xf numFmtId="0" fontId="22" fillId="3" borderId="3" xfId="0" applyFont="1" applyFill="1" applyBorder="1"/>
    <xf numFmtId="10" fontId="22" fillId="0" borderId="3" xfId="0" applyNumberFormat="1" applyFont="1" applyFill="1" applyBorder="1" applyAlignment="1">
      <alignment horizontal="center"/>
    </xf>
    <xf numFmtId="10" fontId="40" fillId="0" borderId="8" xfId="3" applyNumberFormat="1" applyFont="1" applyFill="1" applyBorder="1" applyAlignment="1">
      <alignment horizontal="center"/>
    </xf>
    <xf numFmtId="10" fontId="41" fillId="4" borderId="3" xfId="3" applyNumberFormat="1" applyFont="1" applyFill="1" applyBorder="1" applyAlignment="1">
      <alignment horizontal="center"/>
    </xf>
    <xf numFmtId="10" fontId="22" fillId="0" borderId="3" xfId="3" applyNumberFormat="1" applyFont="1" applyBorder="1" applyAlignment="1">
      <alignment horizontal="center"/>
    </xf>
    <xf numFmtId="10" fontId="20" fillId="0" borderId="3" xfId="3" applyNumberFormat="1" applyFont="1" applyBorder="1" applyAlignment="1">
      <alignment horizontal="center"/>
    </xf>
    <xf numFmtId="10" fontId="22" fillId="0" borderId="0" xfId="3" applyNumberFormat="1" applyFont="1"/>
    <xf numFmtId="0" fontId="20" fillId="4" borderId="27" xfId="0" applyFont="1" applyFill="1" applyBorder="1" applyAlignment="1">
      <alignment vertical="justify" wrapText="1"/>
    </xf>
    <xf numFmtId="1" fontId="20" fillId="0" borderId="29" xfId="0" applyNumberFormat="1" applyFont="1" applyBorder="1" applyAlignment="1">
      <alignment horizontal="center" vertical="center"/>
    </xf>
    <xf numFmtId="0" fontId="22" fillId="4" borderId="24" xfId="0" applyFont="1" applyFill="1" applyBorder="1"/>
    <xf numFmtId="175" fontId="22" fillId="0" borderId="3" xfId="0" applyNumberFormat="1" applyFont="1" applyBorder="1"/>
    <xf numFmtId="175" fontId="22" fillId="0" borderId="30" xfId="0" applyNumberFormat="1" applyFont="1" applyBorder="1"/>
    <xf numFmtId="0" fontId="22" fillId="4" borderId="26" xfId="0" applyFont="1" applyFill="1" applyBorder="1"/>
    <xf numFmtId="175" fontId="22" fillId="0" borderId="31" xfId="0" applyNumberFormat="1" applyFont="1" applyBorder="1"/>
    <xf numFmtId="175" fontId="22" fillId="0" borderId="32" xfId="0" applyNumberFormat="1" applyFont="1" applyBorder="1"/>
    <xf numFmtId="0" fontId="22" fillId="0" borderId="0" xfId="0" applyFont="1" applyFill="1"/>
    <xf numFmtId="0" fontId="34" fillId="0" borderId="0" xfId="0" applyFont="1"/>
    <xf numFmtId="0" fontId="22" fillId="0" borderId="11" xfId="0" applyFont="1" applyBorder="1"/>
    <xf numFmtId="0" fontId="20" fillId="0" borderId="0" xfId="0" applyFont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2" fillId="0" borderId="38" xfId="0" applyFont="1" applyBorder="1"/>
    <xf numFmtId="0" fontId="22" fillId="0" borderId="25" xfId="0" applyFont="1" applyBorder="1"/>
    <xf numFmtId="0" fontId="22" fillId="0" borderId="12" xfId="0" applyFont="1" applyBorder="1"/>
    <xf numFmtId="10" fontId="42" fillId="0" borderId="11" xfId="3" applyNumberFormat="1" applyFont="1" applyFill="1" applyBorder="1" applyAlignment="1">
      <alignment horizontal="center"/>
    </xf>
    <xf numFmtId="0" fontId="43" fillId="0" borderId="20" xfId="0" applyFont="1" applyBorder="1" applyAlignment="1">
      <alignment horizontal="right"/>
    </xf>
    <xf numFmtId="0" fontId="43" fillId="0" borderId="25" xfId="0" applyFont="1" applyBorder="1"/>
    <xf numFmtId="0" fontId="43" fillId="0" borderId="25" xfId="0" applyFont="1" applyFill="1" applyBorder="1" applyAlignment="1">
      <alignment horizontal="right"/>
    </xf>
    <xf numFmtId="0" fontId="43" fillId="0" borderId="39" xfId="0" applyFont="1" applyFill="1" applyBorder="1" applyAlignment="1">
      <alignment horizontal="right"/>
    </xf>
    <xf numFmtId="0" fontId="22" fillId="0" borderId="0" xfId="0" applyFont="1" applyBorder="1" applyAlignment="1"/>
    <xf numFmtId="0" fontId="20" fillId="3" borderId="3" xfId="0" applyFont="1" applyFill="1" applyBorder="1" applyAlignment="1">
      <alignment horizontal="center"/>
    </xf>
    <xf numFmtId="0" fontId="20" fillId="0" borderId="12" xfId="0" applyFont="1" applyBorder="1"/>
    <xf numFmtId="0" fontId="22" fillId="0" borderId="15" xfId="0" applyFont="1" applyBorder="1"/>
    <xf numFmtId="0" fontId="22" fillId="0" borderId="7" xfId="0" applyFont="1" applyBorder="1"/>
    <xf numFmtId="174" fontId="44" fillId="3" borderId="8" xfId="0" applyNumberFormat="1" applyFont="1" applyFill="1" applyBorder="1"/>
    <xf numFmtId="3" fontId="42" fillId="3" borderId="8" xfId="0" applyNumberFormat="1" applyFont="1" applyFill="1" applyBorder="1"/>
    <xf numFmtId="3" fontId="22" fillId="0" borderId="8" xfId="0" applyNumberFormat="1" applyFont="1" applyFill="1" applyBorder="1"/>
    <xf numFmtId="174" fontId="45" fillId="3" borderId="8" xfId="0" applyNumberFormat="1" applyFont="1" applyFill="1" applyBorder="1"/>
    <xf numFmtId="178" fontId="42" fillId="3" borderId="8" xfId="0" applyNumberFormat="1" applyFont="1" applyFill="1" applyBorder="1"/>
    <xf numFmtId="4" fontId="42" fillId="3" borderId="8" xfId="0" applyNumberFormat="1" applyFont="1" applyFill="1" applyBorder="1"/>
    <xf numFmtId="4" fontId="22" fillId="0" borderId="8" xfId="0" applyNumberFormat="1" applyFont="1" applyFill="1" applyBorder="1"/>
    <xf numFmtId="174" fontId="42" fillId="3" borderId="10" xfId="0" applyNumberFormat="1" applyFont="1" applyFill="1" applyBorder="1"/>
    <xf numFmtId="4" fontId="22" fillId="0" borderId="10" xfId="0" applyNumberFormat="1" applyFont="1" applyFill="1" applyBorder="1"/>
    <xf numFmtId="4" fontId="22" fillId="0" borderId="13" xfId="0" applyNumberFormat="1" applyFont="1" applyFill="1" applyBorder="1"/>
    <xf numFmtId="0" fontId="20" fillId="0" borderId="4" xfId="0" applyFont="1" applyBorder="1"/>
    <xf numFmtId="178" fontId="42" fillId="3" borderId="5" xfId="0" applyNumberFormat="1" applyFont="1" applyFill="1" applyBorder="1"/>
    <xf numFmtId="4" fontId="42" fillId="3" borderId="5" xfId="0" applyNumberFormat="1" applyFont="1" applyFill="1" applyBorder="1"/>
    <xf numFmtId="0" fontId="20" fillId="0" borderId="9" xfId="0" applyFont="1" applyFill="1" applyBorder="1"/>
    <xf numFmtId="3" fontId="42" fillId="0" borderId="10" xfId="0" applyNumberFormat="1" applyFont="1" applyFill="1" applyBorder="1"/>
    <xf numFmtId="168" fontId="22" fillId="0" borderId="0" xfId="3" applyNumberFormat="1" applyFont="1" applyBorder="1"/>
    <xf numFmtId="164" fontId="22" fillId="0" borderId="0" xfId="1" applyFont="1" applyBorder="1"/>
    <xf numFmtId="172" fontId="42" fillId="0" borderId="0" xfId="0" applyNumberFormat="1" applyFont="1" applyFill="1" applyBorder="1"/>
    <xf numFmtId="0" fontId="20" fillId="2" borderId="6" xfId="0" applyFont="1" applyFill="1" applyBorder="1" applyAlignment="1">
      <alignment horizontal="center"/>
    </xf>
    <xf numFmtId="0" fontId="22" fillId="0" borderId="5" xfId="0" applyFont="1" applyBorder="1"/>
    <xf numFmtId="0" fontId="22" fillId="0" borderId="4" xfId="0" applyFont="1" applyBorder="1"/>
    <xf numFmtId="0" fontId="22" fillId="0" borderId="8" xfId="0" applyFont="1" applyBorder="1"/>
    <xf numFmtId="164" fontId="22" fillId="0" borderId="8" xfId="1" applyNumberFormat="1" applyFont="1" applyFill="1" applyBorder="1"/>
    <xf numFmtId="165" fontId="22" fillId="0" borderId="10" xfId="0" applyNumberFormat="1" applyFont="1" applyBorder="1"/>
    <xf numFmtId="0" fontId="20" fillId="0" borderId="3" xfId="0" applyFont="1" applyBorder="1"/>
    <xf numFmtId="165" fontId="20" fillId="0" borderId="3" xfId="0" applyNumberFormat="1" applyFont="1" applyFill="1" applyBorder="1"/>
    <xf numFmtId="165" fontId="20" fillId="0" borderId="2" xfId="0" applyNumberFormat="1" applyFont="1" applyFill="1" applyBorder="1"/>
    <xf numFmtId="165" fontId="20" fillId="0" borderId="3" xfId="0" applyNumberFormat="1" applyFont="1" applyBorder="1"/>
    <xf numFmtId="43" fontId="22" fillId="0" borderId="0" xfId="0" applyNumberFormat="1" applyFont="1"/>
    <xf numFmtId="164" fontId="22" fillId="0" borderId="0" xfId="0" applyNumberFormat="1" applyFont="1"/>
    <xf numFmtId="0" fontId="22" fillId="0" borderId="24" xfId="0" applyFont="1" applyBorder="1"/>
    <xf numFmtId="0" fontId="20" fillId="2" borderId="3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30" xfId="0" applyFont="1" applyBorder="1"/>
    <xf numFmtId="171" fontId="22" fillId="0" borderId="0" xfId="0" applyNumberFormat="1" applyFont="1"/>
    <xf numFmtId="169" fontId="22" fillId="0" borderId="0" xfId="0" applyNumberFormat="1" applyFont="1" applyFill="1" applyBorder="1"/>
    <xf numFmtId="3" fontId="22" fillId="0" borderId="0" xfId="0" applyNumberFormat="1" applyFont="1"/>
    <xf numFmtId="0" fontId="47" fillId="0" borderId="0" xfId="0" applyFont="1" applyAlignment="1"/>
    <xf numFmtId="0" fontId="22" fillId="0" borderId="0" xfId="0" applyFont="1" applyAlignment="1"/>
    <xf numFmtId="169" fontId="22" fillId="0" borderId="0" xfId="0" applyNumberFormat="1" applyFont="1"/>
    <xf numFmtId="0" fontId="47" fillId="0" borderId="17" xfId="0" applyFont="1" applyBorder="1" applyAlignment="1"/>
    <xf numFmtId="0" fontId="47" fillId="0" borderId="20" xfId="0" applyFont="1" applyBorder="1" applyAlignment="1"/>
    <xf numFmtId="0" fontId="40" fillId="0" borderId="3" xfId="0" applyFont="1" applyBorder="1" applyAlignment="1">
      <alignment horizontal="center" wrapText="1"/>
    </xf>
    <xf numFmtId="0" fontId="22" fillId="3" borderId="26" xfId="0" applyFont="1" applyFill="1" applyBorder="1"/>
    <xf numFmtId="0" fontId="22" fillId="3" borderId="31" xfId="0" applyFont="1" applyFill="1" applyBorder="1"/>
    <xf numFmtId="164" fontId="22" fillId="3" borderId="33" xfId="1" applyFont="1" applyFill="1" applyBorder="1"/>
    <xf numFmtId="164" fontId="22" fillId="3" borderId="37" xfId="1" applyFont="1" applyFill="1" applyBorder="1"/>
    <xf numFmtId="0" fontId="20" fillId="2" borderId="2" xfId="0" applyFont="1" applyFill="1" applyBorder="1"/>
    <xf numFmtId="2" fontId="39" fillId="3" borderId="8" xfId="1" applyNumberFormat="1" applyFont="1" applyFill="1" applyBorder="1"/>
    <xf numFmtId="0" fontId="22" fillId="0" borderId="8" xfId="0" applyFont="1" applyBorder="1" applyAlignment="1">
      <alignment horizontal="center"/>
    </xf>
    <xf numFmtId="2" fontId="22" fillId="0" borderId="8" xfId="0" applyNumberFormat="1" applyFont="1" applyBorder="1"/>
    <xf numFmtId="10" fontId="20" fillId="0" borderId="1" xfId="3" applyNumberFormat="1" applyFont="1" applyBorder="1"/>
    <xf numFmtId="171" fontId="39" fillId="3" borderId="8" xfId="1" applyNumberFormat="1" applyFont="1" applyFill="1" applyBorder="1"/>
    <xf numFmtId="171" fontId="22" fillId="0" borderId="8" xfId="1" applyNumberFormat="1" applyFont="1" applyFill="1" applyBorder="1"/>
    <xf numFmtId="171" fontId="39" fillId="3" borderId="7" xfId="1" applyNumberFormat="1" applyFont="1" applyFill="1" applyBorder="1"/>
    <xf numFmtId="176" fontId="22" fillId="0" borderId="8" xfId="0" applyNumberFormat="1" applyFont="1" applyBorder="1"/>
    <xf numFmtId="176" fontId="22" fillId="0" borderId="1" xfId="0" applyNumberFormat="1" applyFont="1" applyBorder="1"/>
    <xf numFmtId="0" fontId="22" fillId="0" borderId="9" xfId="0" applyFont="1" applyBorder="1"/>
    <xf numFmtId="0" fontId="22" fillId="0" borderId="10" xfId="0" applyFont="1" applyBorder="1" applyAlignment="1">
      <alignment horizontal="center"/>
    </xf>
    <xf numFmtId="165" fontId="39" fillId="3" borderId="10" xfId="1" applyNumberFormat="1" applyFont="1" applyFill="1" applyBorder="1"/>
    <xf numFmtId="3" fontId="22" fillId="0" borderId="10" xfId="0" applyNumberFormat="1" applyFont="1" applyBorder="1"/>
    <xf numFmtId="10" fontId="20" fillId="0" borderId="13" xfId="3" applyNumberFormat="1" applyFont="1" applyBorder="1"/>
    <xf numFmtId="0" fontId="22" fillId="0" borderId="3" xfId="0" applyFont="1" applyBorder="1" applyAlignment="1">
      <alignment horizontal="center"/>
    </xf>
    <xf numFmtId="2" fontId="22" fillId="0" borderId="3" xfId="0" applyNumberFormat="1" applyFont="1" applyBorder="1"/>
    <xf numFmtId="176" fontId="22" fillId="0" borderId="3" xfId="0" applyNumberFormat="1" applyFont="1" applyBorder="1"/>
    <xf numFmtId="10" fontId="20" fillId="0" borderId="3" xfId="3" applyNumberFormat="1" applyFont="1" applyBorder="1"/>
    <xf numFmtId="2" fontId="22" fillId="0" borderId="0" xfId="0" applyNumberFormat="1" applyFont="1" applyBorder="1"/>
    <xf numFmtId="2" fontId="22" fillId="0" borderId="0" xfId="0" applyNumberFormat="1" applyFont="1" applyFill="1" applyBorder="1"/>
    <xf numFmtId="0" fontId="49" fillId="0" borderId="0" xfId="0" applyFont="1"/>
    <xf numFmtId="165" fontId="22" fillId="0" borderId="0" xfId="0" applyNumberFormat="1" applyFont="1" applyFill="1" applyBorder="1"/>
    <xf numFmtId="166" fontId="22" fillId="0" borderId="0" xfId="0" applyNumberFormat="1" applyFont="1" applyFill="1" applyBorder="1"/>
    <xf numFmtId="3" fontId="22" fillId="0" borderId="0" xfId="0" applyNumberFormat="1" applyFont="1" applyFill="1" applyBorder="1"/>
    <xf numFmtId="165" fontId="39" fillId="0" borderId="0" xfId="1" applyNumberFormat="1" applyFont="1" applyFill="1" applyBorder="1"/>
    <xf numFmtId="0" fontId="20" fillId="0" borderId="2" xfId="0" applyFont="1" applyFill="1" applyBorder="1"/>
    <xf numFmtId="0" fontId="22" fillId="0" borderId="3" xfId="0" applyFont="1" applyFill="1" applyBorder="1"/>
    <xf numFmtId="0" fontId="32" fillId="0" borderId="2" xfId="0" applyFont="1" applyBorder="1"/>
    <xf numFmtId="0" fontId="31" fillId="0" borderId="3" xfId="0" applyFont="1" applyFill="1" applyBorder="1"/>
    <xf numFmtId="17" fontId="20" fillId="0" borderId="3" xfId="0" applyNumberFormat="1" applyFont="1" applyBorder="1" applyAlignment="1">
      <alignment horizontal="center"/>
    </xf>
    <xf numFmtId="0" fontId="12" fillId="0" borderId="3" xfId="0" applyFont="1" applyBorder="1"/>
    <xf numFmtId="3" fontId="22" fillId="0" borderId="3" xfId="0" applyNumberFormat="1" applyFont="1" applyFill="1" applyBorder="1"/>
    <xf numFmtId="0" fontId="12" fillId="0" borderId="3" xfId="0" quotePrefix="1" applyFont="1" applyBorder="1" applyAlignment="1">
      <alignment horizontal="left"/>
    </xf>
    <xf numFmtId="2" fontId="12" fillId="0" borderId="3" xfId="0" applyNumberFormat="1" applyFont="1" applyBorder="1" applyAlignment="1">
      <alignment horizontal="center"/>
    </xf>
    <xf numFmtId="0" fontId="20" fillId="0" borderId="0" xfId="0" applyFont="1" applyFill="1"/>
    <xf numFmtId="0" fontId="32" fillId="0" borderId="12" xfId="0" applyFont="1" applyBorder="1"/>
    <xf numFmtId="0" fontId="31" fillId="0" borderId="16" xfId="0" applyFont="1" applyFill="1" applyBorder="1"/>
    <xf numFmtId="4" fontId="31" fillId="0" borderId="16" xfId="0" applyNumberFormat="1" applyFont="1" applyFill="1" applyBorder="1"/>
    <xf numFmtId="4" fontId="31" fillId="0" borderId="15" xfId="0" applyNumberFormat="1" applyFont="1" applyFill="1" applyBorder="1"/>
    <xf numFmtId="4" fontId="22" fillId="0" borderId="0" xfId="0" applyNumberFormat="1" applyFont="1"/>
    <xf numFmtId="0" fontId="20" fillId="0" borderId="3" xfId="0" applyFont="1" applyFill="1" applyBorder="1"/>
    <xf numFmtId="0" fontId="22" fillId="0" borderId="12" xfId="0" applyFont="1" applyFill="1" applyBorder="1"/>
    <xf numFmtId="0" fontId="29" fillId="0" borderId="16" xfId="0" applyFont="1" applyFill="1" applyBorder="1"/>
    <xf numFmtId="4" fontId="29" fillId="0" borderId="16" xfId="0" applyNumberFormat="1" applyFont="1" applyFill="1" applyBorder="1"/>
    <xf numFmtId="4" fontId="29" fillId="0" borderId="15" xfId="0" applyNumberFormat="1" applyFont="1" applyFill="1" applyBorder="1"/>
    <xf numFmtId="0" fontId="31" fillId="0" borderId="12" xfId="0" applyFont="1" applyBorder="1"/>
    <xf numFmtId="10" fontId="22" fillId="0" borderId="0" xfId="0" applyNumberFormat="1" applyFont="1"/>
    <xf numFmtId="0" fontId="22" fillId="9" borderId="24" xfId="0" applyFont="1" applyFill="1" applyBorder="1"/>
    <xf numFmtId="0" fontId="22" fillId="9" borderId="3" xfId="0" applyFont="1" applyFill="1" applyBorder="1"/>
    <xf numFmtId="164" fontId="22" fillId="9" borderId="3" xfId="1" applyFont="1" applyFill="1" applyBorder="1"/>
    <xf numFmtId="164" fontId="22" fillId="9" borderId="30" xfId="1" applyFont="1" applyFill="1" applyBorder="1"/>
    <xf numFmtId="0" fontId="22" fillId="10" borderId="24" xfId="0" applyFont="1" applyFill="1" applyBorder="1"/>
    <xf numFmtId="0" fontId="22" fillId="10" borderId="3" xfId="0" applyFont="1" applyFill="1" applyBorder="1"/>
    <xf numFmtId="164" fontId="22" fillId="10" borderId="3" xfId="1" applyFont="1" applyFill="1" applyBorder="1"/>
    <xf numFmtId="164" fontId="22" fillId="10" borderId="30" xfId="1" applyFont="1" applyFill="1" applyBorder="1"/>
    <xf numFmtId="0" fontId="22" fillId="11" borderId="24" xfId="0" applyFont="1" applyFill="1" applyBorder="1"/>
    <xf numFmtId="0" fontId="22" fillId="11" borderId="3" xfId="0" applyFont="1" applyFill="1" applyBorder="1"/>
    <xf numFmtId="164" fontId="22" fillId="11" borderId="3" xfId="1" applyFont="1" applyFill="1" applyBorder="1"/>
    <xf numFmtId="164" fontId="22" fillId="11" borderId="30" xfId="1" applyFont="1" applyFill="1" applyBorder="1"/>
    <xf numFmtId="0" fontId="22" fillId="0" borderId="24" xfId="0" applyFont="1" applyFill="1" applyBorder="1" applyAlignment="1">
      <alignment horizontal="left"/>
    </xf>
    <xf numFmtId="0" fontId="23" fillId="0" borderId="24" xfId="0" applyFont="1" applyBorder="1" applyAlignment="1">
      <alignment vertical="top" wrapText="1"/>
    </xf>
    <xf numFmtId="0" fontId="23" fillId="0" borderId="24" xfId="0" applyFont="1" applyBorder="1" applyAlignment="1">
      <alignment horizontal="justify" vertical="top" wrapText="1"/>
    </xf>
    <xf numFmtId="0" fontId="23" fillId="0" borderId="24" xfId="0" applyFont="1" applyBorder="1"/>
    <xf numFmtId="0" fontId="23" fillId="0" borderId="26" xfId="0" applyFont="1" applyBorder="1" applyAlignment="1">
      <alignment vertical="top" wrapText="1"/>
    </xf>
    <xf numFmtId="0" fontId="23" fillId="0" borderId="3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0" fillId="3" borderId="3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 wrapText="1"/>
    </xf>
    <xf numFmtId="17" fontId="20" fillId="2" borderId="5" xfId="0" applyNumberFormat="1" applyFont="1" applyFill="1" applyBorder="1" applyAlignment="1">
      <alignment horizontal="center" vertical="center"/>
    </xf>
    <xf numFmtId="0" fontId="20" fillId="0" borderId="48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7" xfId="0" applyFont="1" applyBorder="1"/>
    <xf numFmtId="4" fontId="22" fillId="0" borderId="8" xfId="1" applyNumberFormat="1" applyFont="1" applyFill="1" applyBorder="1"/>
    <xf numFmtId="165" fontId="31" fillId="0" borderId="3" xfId="0" applyNumberFormat="1" applyFont="1" applyBorder="1"/>
    <xf numFmtId="4" fontId="42" fillId="3" borderId="13" xfId="0" applyNumberFormat="1" applyFont="1" applyFill="1" applyBorder="1"/>
    <xf numFmtId="10" fontId="12" fillId="0" borderId="40" xfId="3" applyNumberFormat="1" applyFont="1" applyFill="1" applyBorder="1" applyAlignment="1">
      <alignment horizontal="center" vertical="center"/>
    </xf>
    <xf numFmtId="174" fontId="12" fillId="0" borderId="34" xfId="3" applyNumberFormat="1" applyFont="1" applyFill="1" applyBorder="1" applyAlignment="1">
      <alignment horizontal="center" vertical="center"/>
    </xf>
    <xf numFmtId="10" fontId="12" fillId="0" borderId="34" xfId="3" applyNumberFormat="1" applyFont="1" applyFill="1" applyBorder="1" applyAlignment="1">
      <alignment horizontal="center" vertical="center"/>
    </xf>
    <xf numFmtId="10" fontId="17" fillId="0" borderId="34" xfId="3" applyNumberFormat="1" applyFont="1" applyFill="1" applyBorder="1" applyAlignment="1">
      <alignment horizontal="center" vertical="center"/>
    </xf>
    <xf numFmtId="9" fontId="12" fillId="0" borderId="34" xfId="3" applyNumberFormat="1" applyFont="1" applyFill="1" applyBorder="1" applyAlignment="1">
      <alignment horizontal="center" vertical="center"/>
    </xf>
    <xf numFmtId="10" fontId="17" fillId="0" borderId="35" xfId="3" applyNumberFormat="1" applyFont="1" applyFill="1" applyBorder="1" applyAlignment="1">
      <alignment horizontal="center" vertical="center"/>
    </xf>
    <xf numFmtId="174" fontId="22" fillId="0" borderId="8" xfId="0" applyNumberFormat="1" applyFont="1" applyFill="1" applyBorder="1"/>
    <xf numFmtId="174" fontId="31" fillId="0" borderId="3" xfId="0" applyNumberFormat="1" applyFont="1" applyFill="1" applyBorder="1"/>
    <xf numFmtId="181" fontId="32" fillId="0" borderId="21" xfId="0" applyNumberFormat="1" applyFont="1" applyFill="1" applyBorder="1"/>
    <xf numFmtId="0" fontId="31" fillId="2" borderId="12" xfId="0" applyFont="1" applyFill="1" applyBorder="1" applyAlignment="1">
      <alignment horizontal="center"/>
    </xf>
    <xf numFmtId="0" fontId="31" fillId="2" borderId="42" xfId="0" applyFont="1" applyFill="1" applyBorder="1" applyAlignment="1">
      <alignment horizontal="center"/>
    </xf>
    <xf numFmtId="0" fontId="31" fillId="2" borderId="41" xfId="0" applyFont="1" applyFill="1" applyBorder="1" applyAlignment="1">
      <alignment horizontal="center"/>
    </xf>
    <xf numFmtId="0" fontId="20" fillId="5" borderId="19" xfId="0" applyFont="1" applyFill="1" applyBorder="1" applyAlignment="1">
      <alignment horizontal="center" vertical="justify"/>
    </xf>
    <xf numFmtId="0" fontId="20" fillId="5" borderId="36" xfId="0" applyFont="1" applyFill="1" applyBorder="1" applyAlignment="1">
      <alignment horizontal="center" vertical="justify"/>
    </xf>
    <xf numFmtId="0" fontId="33" fillId="2" borderId="19" xfId="0" applyFont="1" applyFill="1" applyBorder="1" applyAlignment="1">
      <alignment horizontal="center" vertical="center" wrapText="1"/>
    </xf>
    <xf numFmtId="0" fontId="33" fillId="2" borderId="36" xfId="0" applyFont="1" applyFill="1" applyBorder="1" applyAlignment="1">
      <alignment horizontal="center" vertical="center" wrapText="1"/>
    </xf>
    <xf numFmtId="0" fontId="32" fillId="2" borderId="19" xfId="0" applyFont="1" applyFill="1" applyBorder="1" applyAlignment="1">
      <alignment horizontal="center" vertical="center" wrapText="1"/>
    </xf>
    <xf numFmtId="0" fontId="32" fillId="2" borderId="3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0" fillId="0" borderId="48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4" fillId="0" borderId="29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29" fillId="0" borderId="0" xfId="0" applyFont="1" applyAlignment="1"/>
    <xf numFmtId="0" fontId="48" fillId="0" borderId="45" xfId="0" applyFont="1" applyBorder="1" applyAlignment="1">
      <alignment horizontal="center" wrapText="1"/>
    </xf>
    <xf numFmtId="0" fontId="48" fillId="0" borderId="46" xfId="0" applyFont="1" applyBorder="1" applyAlignment="1">
      <alignment horizontal="center" wrapText="1"/>
    </xf>
    <xf numFmtId="0" fontId="48" fillId="0" borderId="47" xfId="0" applyFont="1" applyBorder="1" applyAlignment="1">
      <alignment horizont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 wrapText="1"/>
    </xf>
  </cellXfs>
  <cellStyles count="6">
    <cellStyle name="Millares" xfId="1" builtinId="3"/>
    <cellStyle name="Millares 2" xfId="4"/>
    <cellStyle name="Normal" xfId="0" builtinId="0"/>
    <cellStyle name="Normal 2" xfId="5"/>
    <cellStyle name="Normal_COyM_DDE_DOLAR_97-04_SANJUAN" xfId="2"/>
    <cellStyle name="Porcentual" xfId="3" builtinId="5"/>
  </cellStyles>
  <dxfs count="3"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J65"/>
  <sheetViews>
    <sheetView tabSelected="1" topLeftCell="A28" zoomScaleNormal="100" workbookViewId="0">
      <selection activeCell="B39" sqref="B39"/>
    </sheetView>
  </sheetViews>
  <sheetFormatPr baseColWidth="10" defaultRowHeight="12.75"/>
  <cols>
    <col min="1" max="1" width="3" style="53" customWidth="1"/>
    <col min="2" max="2" width="69.28515625" style="53" customWidth="1"/>
    <col min="3" max="3" width="18.140625" style="53" customWidth="1"/>
    <col min="4" max="4" width="27.28515625" style="53" customWidth="1"/>
    <col min="5" max="5" width="22" style="53" customWidth="1"/>
    <col min="6" max="6" width="17.140625" style="53" customWidth="1"/>
    <col min="7" max="7" width="20.42578125" style="53" customWidth="1"/>
    <col min="8" max="8" width="20.5703125" style="53" customWidth="1"/>
    <col min="9" max="9" width="17.140625" style="53" bestFit="1" customWidth="1"/>
    <col min="10" max="10" width="15.28515625" style="53" hidden="1" customWidth="1"/>
    <col min="11" max="11" width="22.42578125" style="53" customWidth="1"/>
    <col min="12" max="13" width="17.140625" style="53" bestFit="1" customWidth="1"/>
    <col min="14" max="14" width="16.7109375" style="53" customWidth="1"/>
    <col min="15" max="16" width="17.140625" style="53" bestFit="1" customWidth="1"/>
    <col min="17" max="16384" width="11.42578125" style="53"/>
  </cols>
  <sheetData>
    <row r="1" spans="2:6" ht="23.25">
      <c r="B1" s="55" t="s">
        <v>113</v>
      </c>
      <c r="C1" s="56"/>
    </row>
    <row r="3" spans="2:6" ht="23.25">
      <c r="B3" s="55" t="s">
        <v>134</v>
      </c>
    </row>
    <row r="5" spans="2:6" ht="15.75">
      <c r="B5" s="57"/>
    </row>
    <row r="6" spans="2:6" ht="15.75">
      <c r="B6" s="58" t="s">
        <v>84</v>
      </c>
    </row>
    <row r="8" spans="2:6">
      <c r="B8" s="59"/>
      <c r="C8" s="60" t="s">
        <v>141</v>
      </c>
      <c r="D8" s="60" t="s">
        <v>142</v>
      </c>
      <c r="E8" s="60" t="s">
        <v>143</v>
      </c>
      <c r="F8" s="60" t="s">
        <v>144</v>
      </c>
    </row>
    <row r="9" spans="2:6">
      <c r="B9" s="61"/>
      <c r="C9" s="62"/>
      <c r="D9" s="62"/>
      <c r="E9" s="62"/>
      <c r="F9" s="62"/>
    </row>
    <row r="10" spans="2:6">
      <c r="B10" s="63" t="s">
        <v>36</v>
      </c>
      <c r="C10" s="187">
        <f>+IMPD!D15</f>
        <v>70615.022528676636</v>
      </c>
      <c r="D10" s="187">
        <f>+IMPD!E15</f>
        <v>80273.796801096789</v>
      </c>
      <c r="E10" s="187">
        <f>+IMPD!F15</f>
        <v>88301.866729111527</v>
      </c>
      <c r="F10" s="187">
        <f>+IMPD!G15</f>
        <v>94943.179204634653</v>
      </c>
    </row>
    <row r="11" spans="2:6">
      <c r="B11" s="63" t="s">
        <v>18</v>
      </c>
      <c r="C11" s="187">
        <f>+IMPCO!D14</f>
        <v>28214.636589324469</v>
      </c>
      <c r="D11" s="187">
        <f>+IMPCO!E14</f>
        <v>29598.891570502939</v>
      </c>
      <c r="E11" s="187">
        <f>+IMPCO!F14</f>
        <v>30995.762306360677</v>
      </c>
      <c r="F11" s="187">
        <f>+IMPCO!G14</f>
        <v>32404.968557049098</v>
      </c>
    </row>
    <row r="12" spans="2:6">
      <c r="B12" s="63" t="s">
        <v>16</v>
      </c>
      <c r="C12" s="187">
        <f>+ALUMPU!D14</f>
        <v>3391.7766463266917</v>
      </c>
      <c r="D12" s="187">
        <f>+ALUMPU!E14</f>
        <v>3813.1391783130553</v>
      </c>
      <c r="E12" s="187">
        <f>+ALUMPU!F14</f>
        <v>4307.9775637743351</v>
      </c>
      <c r="F12" s="187">
        <f>+ALUMPU!G14</f>
        <v>4924.9804037299155</v>
      </c>
    </row>
    <row r="13" spans="2:6">
      <c r="B13" s="63" t="s">
        <v>13</v>
      </c>
      <c r="C13" s="187">
        <f>+IMPD!D19</f>
        <v>51430.494315232354</v>
      </c>
      <c r="D13" s="187">
        <f>+IMPD!E19</f>
        <v>52361.337226188829</v>
      </c>
      <c r="E13" s="187">
        <f>+IMPD!F19</f>
        <v>55092.581845318258</v>
      </c>
      <c r="F13" s="187">
        <f>+IMPD!G19</f>
        <v>57796.051621927421</v>
      </c>
    </row>
    <row r="14" spans="2:6">
      <c r="B14" s="63" t="s">
        <v>371</v>
      </c>
      <c r="C14" s="303">
        <f>-30112526.2955029/1000</f>
        <v>-30112.526295502899</v>
      </c>
      <c r="D14" s="303"/>
      <c r="E14" s="303"/>
      <c r="F14" s="303"/>
    </row>
    <row r="15" spans="2:6">
      <c r="B15" s="63"/>
      <c r="C15" s="64"/>
      <c r="D15" s="64"/>
      <c r="E15" s="64"/>
      <c r="F15" s="64"/>
    </row>
    <row r="16" spans="2:6" ht="21">
      <c r="B16" s="65" t="s">
        <v>19</v>
      </c>
      <c r="C16" s="66">
        <f>+C10+C13+C11+C12+C14</f>
        <v>123539.40378405727</v>
      </c>
      <c r="D16" s="313">
        <f>+D10+D13+D11+D12+D14</f>
        <v>166047.16477610162</v>
      </c>
      <c r="E16" s="313">
        <f>+E10+E13+E11+E12+E14</f>
        <v>178698.18844456479</v>
      </c>
      <c r="F16" s="313">
        <f>+F10+F13+F11+F12+F14</f>
        <v>190069.17978734107</v>
      </c>
    </row>
    <row r="17" spans="1:7" ht="21">
      <c r="B17" s="67"/>
      <c r="C17" s="68"/>
      <c r="D17" s="68"/>
      <c r="E17" s="68"/>
      <c r="F17" s="68"/>
    </row>
    <row r="18" spans="1:7">
      <c r="B18" s="69" t="s">
        <v>77</v>
      </c>
      <c r="C18" s="70">
        <f>1/(1+RETORNO!G9)</f>
        <v>0.91253364967833195</v>
      </c>
      <c r="D18" s="71">
        <f>1/(1+RETORNO!G9)*1/(1+RETORNO!G9)</f>
        <v>0.83271766179525664</v>
      </c>
      <c r="E18" s="71">
        <f>1/(1+RETORNO!G9)*1/(1+RETORNO!G9)*1/(1+RETORNO!G9)</f>
        <v>0.75988288706963236</v>
      </c>
      <c r="F18" s="71">
        <f>1/(1+RETORNO!G9)*1/(1+RETORNO!G9)*1/(1+RETORNO!G9)*1/(1+RETORNO!G9)</f>
        <v>0.69341870426575936</v>
      </c>
      <c r="G18" s="72"/>
    </row>
    <row r="19" spans="1:7">
      <c r="B19" s="73" t="s">
        <v>78</v>
      </c>
      <c r="C19" s="74">
        <f>+(1+C18)/2</f>
        <v>0.95626682483916592</v>
      </c>
      <c r="D19" s="74">
        <f>+(C18+D18)/2</f>
        <v>0.87262565573679429</v>
      </c>
      <c r="E19" s="74">
        <f>+(D18+E18)/2</f>
        <v>0.79630027443244455</v>
      </c>
      <c r="F19" s="75">
        <f>+(E18+F18)/2</f>
        <v>0.72665079566769586</v>
      </c>
      <c r="G19" s="72"/>
    </row>
    <row r="20" spans="1:7">
      <c r="A20" s="72"/>
      <c r="B20" s="72"/>
      <c r="C20" s="72"/>
      <c r="D20" s="72"/>
      <c r="E20" s="72"/>
      <c r="F20" s="72"/>
      <c r="G20" s="72"/>
    </row>
    <row r="21" spans="1:7">
      <c r="B21" s="73" t="s">
        <v>133</v>
      </c>
      <c r="C21" s="69"/>
      <c r="D21" s="69"/>
      <c r="E21" s="69"/>
      <c r="F21" s="69"/>
      <c r="G21" s="72"/>
    </row>
    <row r="22" spans="1:7">
      <c r="B22" s="302"/>
      <c r="C22" s="200"/>
      <c r="D22" s="200"/>
      <c r="E22" s="200"/>
      <c r="F22" s="200"/>
      <c r="G22" s="72"/>
    </row>
    <row r="23" spans="1:7">
      <c r="A23" s="53" t="s">
        <v>76</v>
      </c>
      <c r="B23" s="63" t="s">
        <v>36</v>
      </c>
      <c r="C23" s="77">
        <f>+(C10+$C$14/SUM($C$10:$C$13)*C10)*C$19</f>
        <v>54292.979102964659</v>
      </c>
      <c r="D23" s="77">
        <f t="shared" ref="D23:F26" si="0">+D10*D$19</f>
        <v>70048.974572039268</v>
      </c>
      <c r="E23" s="77">
        <f t="shared" si="0"/>
        <v>70314.800709288655</v>
      </c>
      <c r="F23" s="77">
        <f t="shared" si="0"/>
        <v>68990.536712268411</v>
      </c>
      <c r="G23" s="76"/>
    </row>
    <row r="24" spans="1:7">
      <c r="B24" s="63" t="s">
        <v>18</v>
      </c>
      <c r="C24" s="77">
        <f>+(C11+$C$14/SUM($C$10:$C$13)*C11)*C$19</f>
        <v>21693.07067939901</v>
      </c>
      <c r="D24" s="77">
        <f t="shared" si="0"/>
        <v>25828.752165792401</v>
      </c>
      <c r="E24" s="77">
        <f t="shared" si="0"/>
        <v>24681.934030797827</v>
      </c>
      <c r="F24" s="77">
        <f t="shared" si="0"/>
        <v>23547.096185566392</v>
      </c>
      <c r="G24" s="72"/>
    </row>
    <row r="25" spans="1:7">
      <c r="B25" s="63" t="s">
        <v>16</v>
      </c>
      <c r="C25" s="77">
        <f>+(C12+$C$14/SUM($C$10:$C$13)*C12)*C$19</f>
        <v>2607.7972078272123</v>
      </c>
      <c r="D25" s="77">
        <f t="shared" si="0"/>
        <v>3327.4430758910908</v>
      </c>
      <c r="E25" s="77">
        <f t="shared" si="0"/>
        <v>3430.4437162823169</v>
      </c>
      <c r="F25" s="77">
        <f t="shared" si="0"/>
        <v>3578.7409290181531</v>
      </c>
      <c r="G25" s="72"/>
    </row>
    <row r="26" spans="1:7">
      <c r="B26" s="63" t="s">
        <v>13</v>
      </c>
      <c r="C26" s="77">
        <f>+(C13+$C$14/SUM($C$10:$C$13)*C13)*C$19</f>
        <v>39542.786408913184</v>
      </c>
      <c r="D26" s="77">
        <f t="shared" si="0"/>
        <v>45691.846232258446</v>
      </c>
      <c r="E26" s="77">
        <f t="shared" si="0"/>
        <v>43870.238042618839</v>
      </c>
      <c r="F26" s="77">
        <f t="shared" si="0"/>
        <v>41997.546897524786</v>
      </c>
      <c r="G26" s="72"/>
    </row>
    <row r="27" spans="1:7">
      <c r="B27" s="63"/>
      <c r="C27" s="78"/>
      <c r="D27" s="78"/>
      <c r="E27" s="78"/>
      <c r="F27" s="78"/>
      <c r="G27" s="72"/>
    </row>
    <row r="28" spans="1:7" ht="21">
      <c r="B28" s="65" t="s">
        <v>19</v>
      </c>
      <c r="C28" s="304">
        <f>SUM(C23:C27)</f>
        <v>118136.63339910406</v>
      </c>
      <c r="D28" s="304">
        <f>SUM(D23:D27)</f>
        <v>144897.0160459812</v>
      </c>
      <c r="E28" s="304">
        <f>SUM(E23:E27)</f>
        <v>142297.41649898764</v>
      </c>
      <c r="F28" s="304">
        <f>SUM(F23:F27)</f>
        <v>138113.92072437773</v>
      </c>
      <c r="G28" s="72"/>
    </row>
    <row r="29" spans="1:7">
      <c r="D29" s="76"/>
      <c r="E29" s="76"/>
      <c r="F29" s="76"/>
      <c r="G29" s="72"/>
    </row>
    <row r="30" spans="1:7">
      <c r="B30" s="79" t="s">
        <v>115</v>
      </c>
      <c r="C30" s="80">
        <f>C19*DEMANDA!E13</f>
        <v>3617395.1603245987</v>
      </c>
      <c r="D30" s="80">
        <f>D19*DEMANDA!F13</f>
        <v>3437306.5698516541</v>
      </c>
      <c r="E30" s="80">
        <f>E19*DEMANDA!G13</f>
        <v>3262484.6134994929</v>
      </c>
      <c r="F30" s="80">
        <f>F19*DEMANDA!H13</f>
        <v>3093855.3791103889</v>
      </c>
      <c r="G30" s="80">
        <f>SUM(C30:F30)</f>
        <v>13411041.722786134</v>
      </c>
    </row>
    <row r="33" spans="2:8" ht="15.75">
      <c r="B33" s="58"/>
    </row>
    <row r="34" spans="2:8" ht="13.5" thickBot="1"/>
    <row r="35" spans="2:8" ht="21.75" thickBot="1">
      <c r="B35" s="315" t="s">
        <v>132</v>
      </c>
      <c r="C35" s="316"/>
      <c r="D35" s="317"/>
    </row>
    <row r="36" spans="2:8" ht="20.25" customHeight="1" thickBot="1">
      <c r="B36" s="81"/>
      <c r="C36" s="322" t="s">
        <v>64</v>
      </c>
      <c r="D36" s="320" t="s">
        <v>369</v>
      </c>
      <c r="F36" s="318" t="s">
        <v>370</v>
      </c>
    </row>
    <row r="37" spans="2:8" ht="21.75" thickBot="1">
      <c r="B37" s="82"/>
      <c r="C37" s="323"/>
      <c r="D37" s="321"/>
      <c r="F37" s="319"/>
      <c r="G37" s="83" t="s">
        <v>106</v>
      </c>
    </row>
    <row r="38" spans="2:8" ht="21" customHeight="1">
      <c r="B38" s="84"/>
      <c r="C38" s="85"/>
      <c r="D38" s="85"/>
      <c r="F38" s="107"/>
      <c r="G38" s="86"/>
    </row>
    <row r="39" spans="2:8" ht="21">
      <c r="B39" s="87" t="s">
        <v>23</v>
      </c>
      <c r="C39" s="88" t="s">
        <v>130</v>
      </c>
      <c r="D39" s="89">
        <f>+C23+D23+E23+F23</f>
        <v>263647.29109656101</v>
      </c>
      <c r="F39" s="108"/>
      <c r="G39" s="86"/>
    </row>
    <row r="40" spans="2:8" ht="21">
      <c r="B40" s="87" t="s">
        <v>9</v>
      </c>
      <c r="C40" s="88" t="s">
        <v>130</v>
      </c>
      <c r="D40" s="89">
        <f>+C24+D24+E24+F24</f>
        <v>95750.853061555623</v>
      </c>
      <c r="E40" s="106"/>
      <c r="F40" s="108"/>
      <c r="G40" s="86"/>
    </row>
    <row r="41" spans="2:8" ht="21">
      <c r="B41" s="87" t="s">
        <v>10</v>
      </c>
      <c r="C41" s="88" t="s">
        <v>130</v>
      </c>
      <c r="D41" s="89">
        <f>+C25+D25+E25+F25</f>
        <v>12944.424929018773</v>
      </c>
      <c r="E41" s="106"/>
      <c r="F41" s="108"/>
      <c r="G41" s="86"/>
    </row>
    <row r="42" spans="2:8" ht="21">
      <c r="B42" s="87" t="s">
        <v>124</v>
      </c>
      <c r="C42" s="88" t="s">
        <v>130</v>
      </c>
      <c r="D42" s="89">
        <f>SUM(D39:D41)</f>
        <v>372342.56908713543</v>
      </c>
      <c r="E42" s="106"/>
      <c r="F42" s="108"/>
      <c r="G42" s="86"/>
    </row>
    <row r="43" spans="2:8" ht="21.75" thickBot="1">
      <c r="B43" s="87" t="s">
        <v>125</v>
      </c>
      <c r="C43" s="88" t="s">
        <v>130</v>
      </c>
      <c r="D43" s="314">
        <f>+C26+D26+E26+F26</f>
        <v>171102.41758131527</v>
      </c>
      <c r="E43" s="106"/>
      <c r="F43" s="108"/>
      <c r="G43" s="86"/>
    </row>
    <row r="44" spans="2:8" ht="21.75" thickBot="1">
      <c r="B44" s="90" t="s">
        <v>126</v>
      </c>
      <c r="C44" s="91" t="s">
        <v>130</v>
      </c>
      <c r="D44" s="92">
        <f>SUM(D39:D41)+D43</f>
        <v>543444.98666845076</v>
      </c>
      <c r="E44" s="106"/>
      <c r="F44" s="108"/>
      <c r="G44" s="86"/>
    </row>
    <row r="45" spans="2:8" ht="21.75" thickBot="1">
      <c r="B45" s="87" t="s">
        <v>127</v>
      </c>
      <c r="C45" s="88" t="s">
        <v>11</v>
      </c>
      <c r="D45" s="93">
        <f>+C30+D30+E30+F30</f>
        <v>13411041.722786134</v>
      </c>
      <c r="E45" s="106"/>
      <c r="F45" s="109"/>
      <c r="G45" s="94"/>
    </row>
    <row r="46" spans="2:8" ht="21.75" thickBot="1">
      <c r="B46" s="95" t="s">
        <v>104</v>
      </c>
      <c r="C46" s="96" t="s">
        <v>131</v>
      </c>
      <c r="D46" s="97">
        <f>+D44/D45*1000</f>
        <v>40.522205351513179</v>
      </c>
      <c r="E46" s="89"/>
      <c r="F46" s="98">
        <v>56.24</v>
      </c>
      <c r="G46" s="99">
        <f>(D46-F46)/F46</f>
        <v>-0.27947714524336453</v>
      </c>
    </row>
    <row r="47" spans="2:8" ht="21.75" thickBot="1">
      <c r="B47" s="95" t="s">
        <v>114</v>
      </c>
      <c r="C47" s="96" t="s">
        <v>131</v>
      </c>
      <c r="D47" s="97">
        <f>D46-(D43*1000/D45)</f>
        <v>27.763881194590873</v>
      </c>
      <c r="E47" s="89"/>
      <c r="F47" s="98">
        <v>39.409999999999997</v>
      </c>
      <c r="G47" s="100">
        <f>(D47-F47)/F47</f>
        <v>-0.29551176872390572</v>
      </c>
    </row>
    <row r="48" spans="2:8" ht="18.75">
      <c r="D48" s="101"/>
      <c r="H48" s="52"/>
    </row>
    <row r="49" spans="2:8" ht="15.75">
      <c r="B49" s="58" t="s">
        <v>128</v>
      </c>
    </row>
    <row r="50" spans="2:8" ht="15.75">
      <c r="B50" s="58" t="s">
        <v>129</v>
      </c>
    </row>
    <row r="51" spans="2:8" ht="26.25" hidden="1">
      <c r="B51" s="102"/>
      <c r="D51" s="103"/>
    </row>
    <row r="52" spans="2:8" ht="45" hidden="1">
      <c r="C52" s="104" t="s">
        <v>116</v>
      </c>
      <c r="H52" s="53" t="s">
        <v>118</v>
      </c>
    </row>
    <row r="53" spans="2:8" ht="15.75" hidden="1">
      <c r="C53" s="105" t="s">
        <v>118</v>
      </c>
      <c r="H53" s="53" t="s">
        <v>117</v>
      </c>
    </row>
    <row r="65" spans="2:2" ht="15.75">
      <c r="B65" s="58"/>
    </row>
  </sheetData>
  <sheetProtection password="CCC5" sheet="1" objects="1" scenarios="1"/>
  <mergeCells count="4">
    <mergeCell ref="B35:D35"/>
    <mergeCell ref="F36:F37"/>
    <mergeCell ref="D36:D37"/>
    <mergeCell ref="C36:C37"/>
  </mergeCells>
  <phoneticPr fontId="0" type="noConversion"/>
  <dataValidations count="1">
    <dataValidation type="list" allowBlank="1" showInputMessage="1" showErrorMessage="1" sqref="C53">
      <formula1>$H$52:$H$53</formula1>
    </dataValidation>
  </dataValidations>
  <pageMargins left="0.74803149606299213" right="0.74803149606299213" top="0.62992125984251968" bottom="0.6692913385826772" header="0" footer="0"/>
  <pageSetup scale="67" orientation="landscape" horizontalDpi="300" verticalDpi="300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G44"/>
  <sheetViews>
    <sheetView topLeftCell="A5" zoomScaleNormal="100" workbookViewId="0">
      <selection activeCell="C7" sqref="C7:D20"/>
    </sheetView>
  </sheetViews>
  <sheetFormatPr baseColWidth="10" defaultRowHeight="12.75"/>
  <cols>
    <col min="1" max="1" width="1.140625" style="53" customWidth="1"/>
    <col min="2" max="2" width="52.85546875" style="53" customWidth="1"/>
    <col min="3" max="4" width="11.42578125" style="53"/>
    <col min="5" max="5" width="4" style="53" customWidth="1"/>
    <col min="6" max="6" width="33.7109375" style="53" bestFit="1" customWidth="1"/>
    <col min="7" max="16384" width="11.42578125" style="53"/>
  </cols>
  <sheetData>
    <row r="2" spans="2:7" ht="18.75">
      <c r="B2" s="163"/>
    </row>
    <row r="3" spans="2:7" ht="19.5" thickBot="1">
      <c r="B3" s="163" t="s">
        <v>113</v>
      </c>
    </row>
    <row r="4" spans="2:7" ht="13.5" thickBot="1">
      <c r="B4" s="164" t="s">
        <v>50</v>
      </c>
    </row>
    <row r="5" spans="2:7" ht="16.5" thickBot="1">
      <c r="C5" s="165"/>
      <c r="F5" s="57" t="s">
        <v>50</v>
      </c>
    </row>
    <row r="6" spans="2:7" ht="13.5" thickBot="1">
      <c r="B6" s="166" t="s">
        <v>86</v>
      </c>
      <c r="C6" s="167" t="s">
        <v>87</v>
      </c>
      <c r="D6" s="167" t="s">
        <v>87</v>
      </c>
    </row>
    <row r="7" spans="2:7" ht="15">
      <c r="B7" s="168" t="s">
        <v>88</v>
      </c>
      <c r="C7" s="306">
        <v>3.585E-2</v>
      </c>
      <c r="D7" s="306">
        <f>+C7</f>
        <v>3.585E-2</v>
      </c>
      <c r="F7" s="132" t="s">
        <v>105</v>
      </c>
    </row>
    <row r="8" spans="2:7" ht="15.75" thickBot="1">
      <c r="B8" s="169" t="s">
        <v>89</v>
      </c>
      <c r="C8" s="307">
        <v>0.70556234718826394</v>
      </c>
      <c r="D8" s="307">
        <v>0.7272045559994742</v>
      </c>
    </row>
    <row r="9" spans="2:7" ht="15.75" thickBot="1">
      <c r="B9" s="169" t="s">
        <v>90</v>
      </c>
      <c r="C9" s="308">
        <v>6.7000000000000004E-2</v>
      </c>
      <c r="D9" s="308">
        <v>4.1826829268292703E-2</v>
      </c>
      <c r="F9" s="170" t="s">
        <v>25</v>
      </c>
      <c r="G9" s="171">
        <v>9.5850000000000005E-2</v>
      </c>
    </row>
    <row r="10" spans="2:7" ht="15">
      <c r="B10" s="169" t="s">
        <v>91</v>
      </c>
      <c r="C10" s="309">
        <v>1.9357642104272502E-2</v>
      </c>
      <c r="D10" s="309">
        <f>+C10</f>
        <v>1.9357642104272502E-2</v>
      </c>
    </row>
    <row r="11" spans="2:7" ht="15">
      <c r="B11" s="172" t="s">
        <v>92</v>
      </c>
      <c r="C11" s="309">
        <f>+C7+C8*C9+C10</f>
        <v>0.10248031936588618</v>
      </c>
      <c r="D11" s="309">
        <f>+D7+D8*D9+D10</f>
        <v>8.5624302911187111E-2</v>
      </c>
      <c r="F11" s="132" t="s">
        <v>74</v>
      </c>
    </row>
    <row r="12" spans="2:7" ht="15.75" thickBot="1">
      <c r="B12" s="173" t="s">
        <v>93</v>
      </c>
      <c r="C12" s="308">
        <v>7.5200000000000003E-2</v>
      </c>
      <c r="D12" s="308">
        <v>6.0699999999999997E-2</v>
      </c>
    </row>
    <row r="13" spans="2:7" ht="15.75" thickBot="1">
      <c r="B13" s="173" t="s">
        <v>94</v>
      </c>
      <c r="C13" s="309">
        <f>C12*0.7</f>
        <v>5.2639999999999999E-2</v>
      </c>
      <c r="D13" s="309">
        <f>D12*0.7</f>
        <v>4.2489999999999993E-2</v>
      </c>
      <c r="F13" s="170" t="s">
        <v>25</v>
      </c>
      <c r="G13" s="171">
        <f>C20</f>
        <v>8.7314240523189257E-2</v>
      </c>
    </row>
    <row r="14" spans="2:7" ht="15.75" thickBot="1">
      <c r="B14" s="169" t="s">
        <v>95</v>
      </c>
      <c r="C14" s="310">
        <v>0.5</v>
      </c>
      <c r="D14" s="310">
        <v>0.56600000000000006</v>
      </c>
      <c r="F14" s="170" t="s">
        <v>25</v>
      </c>
      <c r="G14" s="171">
        <f>+D20</f>
        <v>6.2933786250314205E-2</v>
      </c>
    </row>
    <row r="15" spans="2:7" ht="15">
      <c r="B15" s="169" t="s">
        <v>96</v>
      </c>
      <c r="C15" s="310">
        <f>1-C14</f>
        <v>0.5</v>
      </c>
      <c r="D15" s="310">
        <f>1-D14</f>
        <v>0.43399999999999994</v>
      </c>
    </row>
    <row r="16" spans="2:7" ht="15">
      <c r="B16" s="174" t="s">
        <v>97</v>
      </c>
      <c r="C16" s="309">
        <f>+C11*C15+C13*C14</f>
        <v>7.7560159682943094E-2</v>
      </c>
      <c r="D16" s="309">
        <f>+D11*D15+D13*D14</f>
        <v>6.1210287463455207E-2</v>
      </c>
    </row>
    <row r="17" spans="2:4" ht="15">
      <c r="B17" s="174" t="s">
        <v>98</v>
      </c>
      <c r="C17" s="309">
        <f>+C16/0.7</f>
        <v>0.11080022811849015</v>
      </c>
      <c r="D17" s="309">
        <f>+D16/0.7</f>
        <v>8.7443267804936012E-2</v>
      </c>
    </row>
    <row r="18" spans="2:4" ht="15">
      <c r="B18" s="169" t="s">
        <v>99</v>
      </c>
      <c r="C18" s="308">
        <v>2.1600000000000001E-2</v>
      </c>
      <c r="D18" s="308">
        <v>2.3058333333333299E-2</v>
      </c>
    </row>
    <row r="19" spans="2:4" ht="15">
      <c r="B19" s="174" t="s">
        <v>100</v>
      </c>
      <c r="C19" s="309">
        <f>+(C16-C18)/(1+C18)</f>
        <v>5.4776976980171387E-2</v>
      </c>
      <c r="D19" s="309">
        <f>+(D16-D18)/(1+D18)</f>
        <v>3.7292061348852941E-2</v>
      </c>
    </row>
    <row r="20" spans="2:4" ht="15.75" thickBot="1">
      <c r="B20" s="175" t="s">
        <v>101</v>
      </c>
      <c r="C20" s="311">
        <f>+(C17-C18)/(1+C18)</f>
        <v>8.7314240523189257E-2</v>
      </c>
      <c r="D20" s="311">
        <f>+(D17-D18)/(1+D18)</f>
        <v>6.2933786250314205E-2</v>
      </c>
    </row>
    <row r="21" spans="2:4">
      <c r="B21" s="176"/>
      <c r="C21" s="176"/>
    </row>
    <row r="22" spans="2:4">
      <c r="B22" s="176"/>
      <c r="C22" s="176"/>
    </row>
    <row r="23" spans="2:4">
      <c r="B23" s="176"/>
      <c r="C23" s="176"/>
    </row>
    <row r="24" spans="2:4">
      <c r="B24" s="176"/>
      <c r="C24" s="176"/>
    </row>
    <row r="25" spans="2:4">
      <c r="B25" s="176"/>
      <c r="C25" s="176"/>
    </row>
    <row r="26" spans="2:4">
      <c r="B26" s="176"/>
      <c r="C26" s="176"/>
    </row>
    <row r="27" spans="2:4">
      <c r="B27" s="176"/>
      <c r="C27" s="176"/>
    </row>
    <row r="28" spans="2:4">
      <c r="B28" s="176"/>
      <c r="C28" s="176"/>
    </row>
    <row r="29" spans="2:4">
      <c r="B29" s="176"/>
      <c r="C29" s="176"/>
    </row>
    <row r="30" spans="2:4">
      <c r="B30" s="176"/>
      <c r="C30" s="176"/>
    </row>
    <row r="31" spans="2:4">
      <c r="B31" s="176"/>
      <c r="C31" s="176"/>
    </row>
    <row r="32" spans="2:4">
      <c r="B32" s="176"/>
      <c r="C32" s="176"/>
    </row>
    <row r="33" spans="2:3">
      <c r="B33" s="176"/>
      <c r="C33" s="176"/>
    </row>
    <row r="34" spans="2:3">
      <c r="B34" s="176"/>
      <c r="C34" s="176"/>
    </row>
    <row r="35" spans="2:3">
      <c r="B35" s="176"/>
      <c r="C35" s="176"/>
    </row>
    <row r="36" spans="2:3">
      <c r="B36" s="176"/>
      <c r="C36" s="176"/>
    </row>
    <row r="37" spans="2:3">
      <c r="B37" s="176"/>
      <c r="C37" s="176"/>
    </row>
    <row r="38" spans="2:3">
      <c r="B38" s="176"/>
      <c r="C38" s="176"/>
    </row>
    <row r="39" spans="2:3">
      <c r="B39" s="176"/>
      <c r="C39" s="176"/>
    </row>
    <row r="40" spans="2:3">
      <c r="B40" s="176"/>
      <c r="C40" s="176"/>
    </row>
    <row r="41" spans="2:3">
      <c r="B41" s="176"/>
      <c r="C41" s="176"/>
    </row>
    <row r="42" spans="2:3">
      <c r="B42" s="176"/>
      <c r="C42" s="176"/>
    </row>
    <row r="43" spans="2:3">
      <c r="B43" s="176"/>
      <c r="C43" s="176"/>
    </row>
    <row r="44" spans="2:3">
      <c r="B44" s="176"/>
      <c r="C44" s="176"/>
    </row>
  </sheetData>
  <sheetProtection password="CCC5" sheet="1" objects="1" scenarios="1"/>
  <phoneticPr fontId="0" type="noConversion"/>
  <pageMargins left="0.74803149606299213" right="0.74803149606299213" top="0.62992125984251968" bottom="0.6692913385826772" header="0" footer="0"/>
  <pageSetup scale="98" orientation="landscape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2:L29"/>
  <sheetViews>
    <sheetView zoomScaleNormal="100" workbookViewId="0">
      <selection activeCell="D21" sqref="D21:G21"/>
    </sheetView>
  </sheetViews>
  <sheetFormatPr baseColWidth="10" defaultRowHeight="12.75"/>
  <cols>
    <col min="1" max="1" width="1.7109375" style="53" customWidth="1"/>
    <col min="2" max="2" width="22.7109375" style="53" customWidth="1"/>
    <col min="3" max="3" width="20.28515625" style="53" bestFit="1" customWidth="1"/>
    <col min="4" max="4" width="18.28515625" style="53" customWidth="1"/>
    <col min="5" max="5" width="19.5703125" style="53" customWidth="1"/>
    <col min="6" max="6" width="19.42578125" style="53" customWidth="1"/>
    <col min="7" max="7" width="17.42578125" style="53" customWidth="1"/>
    <col min="8" max="8" width="13.42578125" style="53" bestFit="1" customWidth="1"/>
    <col min="9" max="16384" width="11.42578125" style="53"/>
  </cols>
  <sheetData>
    <row r="2" spans="2:8" ht="18.75">
      <c r="B2" s="131" t="s">
        <v>113</v>
      </c>
    </row>
    <row r="4" spans="2:8" ht="15.75">
      <c r="B4" s="57" t="s">
        <v>135</v>
      </c>
    </row>
    <row r="5" spans="2:8" ht="15.75">
      <c r="B5" s="58" t="s">
        <v>84</v>
      </c>
    </row>
    <row r="7" spans="2:8">
      <c r="B7" s="269" t="s">
        <v>12</v>
      </c>
      <c r="C7" s="255"/>
      <c r="D7" s="134" t="s">
        <v>141</v>
      </c>
      <c r="E7" s="134" t="s">
        <v>142</v>
      </c>
      <c r="F7" s="134" t="s">
        <v>143</v>
      </c>
      <c r="G7" s="134" t="s">
        <v>144</v>
      </c>
    </row>
    <row r="8" spans="2:8">
      <c r="B8" s="63"/>
      <c r="C8" s="62"/>
      <c r="D8" s="60" t="s">
        <v>136</v>
      </c>
      <c r="E8" s="60" t="s">
        <v>136</v>
      </c>
      <c r="F8" s="60" t="s">
        <v>136</v>
      </c>
      <c r="G8" s="60" t="s">
        <v>136</v>
      </c>
    </row>
    <row r="9" spans="2:8">
      <c r="B9" s="61"/>
      <c r="C9" s="62"/>
      <c r="D9" s="62"/>
      <c r="E9" s="62"/>
      <c r="F9" s="62"/>
      <c r="G9" s="62"/>
    </row>
    <row r="10" spans="2:8">
      <c r="B10" s="61" t="s">
        <v>5</v>
      </c>
      <c r="C10" s="62" t="s">
        <v>34</v>
      </c>
      <c r="D10" s="187">
        <f>+ACTIVOS!G15*RETORNO!$G$9</f>
        <v>25762.95122116842</v>
      </c>
      <c r="E10" s="187">
        <f>+ACTIVOS!H15*RETORNO!$G$9</f>
        <v>31699.670128096011</v>
      </c>
      <c r="F10" s="187">
        <f>+ACTIVOS!I15*RETORNO!$G$9</f>
        <v>36334.891490988579</v>
      </c>
      <c r="G10" s="187">
        <f>+ACTIVOS!J15*RETORNO!$G$9</f>
        <v>39861.981400692581</v>
      </c>
    </row>
    <row r="11" spans="2:8">
      <c r="B11" s="61" t="s">
        <v>6</v>
      </c>
      <c r="C11" s="62" t="s">
        <v>35</v>
      </c>
      <c r="D11" s="187">
        <f>+ACTIVOS!G10*'PERDIDAS y OTROS'!E12</f>
        <v>18355.256285142907</v>
      </c>
      <c r="E11" s="187">
        <f>+ACTIVOS!H10*'PERDIDAS y OTROS'!F12</f>
        <v>20838.540483022498</v>
      </c>
      <c r="F11" s="187">
        <f>+ACTIVOS!I10*'PERDIDAS y OTROS'!G12</f>
        <v>22978.674219108289</v>
      </c>
      <c r="G11" s="187">
        <f>+ACTIVOS!J10*'PERDIDAS y OTROS'!H12</f>
        <v>24827.437858688671</v>
      </c>
    </row>
    <row r="12" spans="2:8">
      <c r="B12" s="61" t="s">
        <v>7</v>
      </c>
      <c r="C12" s="62" t="s">
        <v>33</v>
      </c>
      <c r="D12" s="187">
        <f>+REGRESIONES!D53/1000</f>
        <v>13610.258175892519</v>
      </c>
      <c r="E12" s="187">
        <f>+REGRESIONES!E53/1000</f>
        <v>14227.131831737395</v>
      </c>
      <c r="F12" s="187">
        <f>+REGRESIONES!F53/1000</f>
        <v>14852.379477340621</v>
      </c>
      <c r="G12" s="187">
        <f>+REGRESIONES!G53/1000</f>
        <v>15485.052601221461</v>
      </c>
      <c r="H12" s="268"/>
    </row>
    <row r="13" spans="2:8">
      <c r="B13" s="61" t="s">
        <v>8</v>
      </c>
      <c r="C13" s="62" t="s">
        <v>31</v>
      </c>
      <c r="D13" s="187">
        <f>+REGRESIONES!D55/1000</f>
        <v>12886.556846472788</v>
      </c>
      <c r="E13" s="187">
        <f>+REGRESIONES!E55/1000</f>
        <v>13508.454358240882</v>
      </c>
      <c r="F13" s="187">
        <f>+REGRESIONES!F55/1000</f>
        <v>14135.92154167403</v>
      </c>
      <c r="G13" s="187">
        <f>+REGRESIONES!G55/1000</f>
        <v>14768.70734403194</v>
      </c>
      <c r="H13" s="268"/>
    </row>
    <row r="14" spans="2:8" ht="13.5" thickBot="1">
      <c r="B14" s="61"/>
      <c r="C14" s="62"/>
      <c r="D14" s="183"/>
      <c r="E14" s="183"/>
      <c r="F14" s="183"/>
      <c r="G14" s="183"/>
    </row>
    <row r="15" spans="2:8" ht="16.5" thickBot="1">
      <c r="B15" s="270"/>
      <c r="C15" s="271" t="s">
        <v>36</v>
      </c>
      <c r="D15" s="272">
        <f>+D13+D12+D11+D10</f>
        <v>70615.022528676636</v>
      </c>
      <c r="E15" s="272">
        <f>+E13+E12+E11+E10</f>
        <v>80273.796801096789</v>
      </c>
      <c r="F15" s="273">
        <f>+F13+F12+F11+F10</f>
        <v>88301.866729111527</v>
      </c>
      <c r="G15" s="273">
        <f>+G13+G12+G11+G10</f>
        <v>94943.179204634653</v>
      </c>
    </row>
    <row r="16" spans="2:8">
      <c r="B16" s="180"/>
      <c r="C16" s="202"/>
      <c r="D16" s="187"/>
      <c r="E16" s="187"/>
      <c r="F16" s="187"/>
      <c r="G16" s="187"/>
    </row>
    <row r="17" spans="2:12">
      <c r="B17" s="61" t="s">
        <v>140</v>
      </c>
      <c r="C17" s="61" t="s">
        <v>37</v>
      </c>
      <c r="D17" s="312">
        <f>+('PERDIDAS y OTROS'!E9+'PERDIDAS y OTROS'!E11)*'PERDIDAS y OTROS'!E8*DEMANDA!E7/1000</f>
        <v>51430.494315232354</v>
      </c>
      <c r="E17" s="187">
        <f>+('PERDIDAS y OTROS'!F9+'PERDIDAS y OTROS'!F11)*'PERDIDAS y OTROS'!F8*DEMANDA!F7/1000</f>
        <v>52361.337226188829</v>
      </c>
      <c r="F17" s="187">
        <f>+('PERDIDAS y OTROS'!G9+'PERDIDAS y OTROS'!G11)*'PERDIDAS y OTROS'!G8*DEMANDA!G7/1000</f>
        <v>55092.581845318258</v>
      </c>
      <c r="G17" s="187">
        <f>+('PERDIDAS y OTROS'!H9+'PERDIDAS y OTROS'!H11)*'PERDIDAS y OTROS'!H8*DEMANDA!H7/1000</f>
        <v>57796.051621927421</v>
      </c>
    </row>
    <row r="18" spans="2:12" ht="13.5" thickBot="1">
      <c r="B18" s="61"/>
      <c r="C18" s="202"/>
      <c r="D18" s="187"/>
      <c r="E18" s="187"/>
      <c r="F18" s="187"/>
      <c r="G18" s="187"/>
    </row>
    <row r="19" spans="2:12" ht="16.5" thickBot="1">
      <c r="B19" s="270"/>
      <c r="C19" s="271" t="s">
        <v>13</v>
      </c>
      <c r="D19" s="272">
        <f>+D17+D18</f>
        <v>51430.494315232354</v>
      </c>
      <c r="E19" s="272">
        <f>+E17+E18</f>
        <v>52361.337226188829</v>
      </c>
      <c r="F19" s="273">
        <f>+F17+F18</f>
        <v>55092.581845318258</v>
      </c>
      <c r="G19" s="273">
        <f>+G17+G18</f>
        <v>57796.051621927421</v>
      </c>
      <c r="L19" s="268"/>
    </row>
    <row r="20" spans="2:12" ht="13.5" thickBot="1">
      <c r="B20" s="180"/>
      <c r="C20" s="62"/>
      <c r="D20" s="187"/>
      <c r="E20" s="187"/>
      <c r="F20" s="187"/>
      <c r="G20" s="187"/>
    </row>
    <row r="21" spans="2:12" ht="21.75" thickBot="1">
      <c r="B21" s="274"/>
      <c r="C21" s="265" t="s">
        <v>17</v>
      </c>
      <c r="D21" s="266">
        <f>+D15+D19</f>
        <v>122045.51684390899</v>
      </c>
      <c r="E21" s="266">
        <f>+E15+E19</f>
        <v>132635.13402728562</v>
      </c>
      <c r="F21" s="266">
        <f>+F15+F19</f>
        <v>143394.44857442979</v>
      </c>
      <c r="G21" s="267">
        <f>+G15+G19</f>
        <v>152739.23082656207</v>
      </c>
    </row>
    <row r="23" spans="2:12">
      <c r="B23" s="162"/>
      <c r="C23" s="162"/>
    </row>
    <row r="24" spans="2:12">
      <c r="B24" s="162"/>
    </row>
    <row r="25" spans="2:12">
      <c r="B25" s="162"/>
      <c r="C25" s="162"/>
      <c r="D25" s="275"/>
    </row>
    <row r="26" spans="2:12">
      <c r="B26" s="162"/>
    </row>
    <row r="27" spans="2:12">
      <c r="B27" s="162"/>
      <c r="C27" s="162"/>
    </row>
    <row r="28" spans="2:12">
      <c r="B28" s="162"/>
      <c r="C28" s="162"/>
    </row>
    <row r="29" spans="2:12">
      <c r="B29" s="162"/>
      <c r="C29" s="162"/>
    </row>
  </sheetData>
  <sheetProtection password="CCC5" sheet="1" objects="1" scenarios="1"/>
  <phoneticPr fontId="0" type="noConversion"/>
  <pageMargins left="0.74803149606299213" right="0.74803149606299213" top="0.62992125984251968" bottom="0.6692913385826772" header="0" footer="0"/>
  <pageSetup orientation="landscape" horizontalDpi="300" verticalDpi="30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2:G20"/>
  <sheetViews>
    <sheetView zoomScaleNormal="100" workbookViewId="0">
      <selection activeCell="D14" sqref="D14:G14"/>
    </sheetView>
  </sheetViews>
  <sheetFormatPr baseColWidth="10" defaultRowHeight="12.75"/>
  <cols>
    <col min="1" max="1" width="1.28515625" style="53" customWidth="1"/>
    <col min="2" max="2" width="23.28515625" style="53" customWidth="1"/>
    <col min="3" max="3" width="12.28515625" style="53" bestFit="1" customWidth="1"/>
    <col min="4" max="7" width="18.5703125" style="53" bestFit="1" customWidth="1"/>
    <col min="8" max="8" width="13.42578125" style="53" bestFit="1" customWidth="1"/>
    <col min="9" max="16384" width="11.42578125" style="53"/>
  </cols>
  <sheetData>
    <row r="2" spans="2:7" ht="18.75">
      <c r="B2" s="131" t="s">
        <v>113</v>
      </c>
    </row>
    <row r="4" spans="2:7" ht="15.75">
      <c r="B4" s="57" t="s">
        <v>137</v>
      </c>
    </row>
    <row r="5" spans="2:7" ht="15.75">
      <c r="B5" s="58" t="s">
        <v>84</v>
      </c>
    </row>
    <row r="6" spans="2:7">
      <c r="B6" s="263"/>
      <c r="C6" s="162"/>
    </row>
    <row r="7" spans="2:7">
      <c r="B7" s="254" t="s">
        <v>14</v>
      </c>
      <c r="C7" s="255"/>
      <c r="D7" s="134" t="s">
        <v>141</v>
      </c>
      <c r="E7" s="134" t="s">
        <v>142</v>
      </c>
      <c r="F7" s="134" t="s">
        <v>143</v>
      </c>
      <c r="G7" s="134" t="s">
        <v>144</v>
      </c>
    </row>
    <row r="8" spans="2:7">
      <c r="B8" s="63"/>
      <c r="C8" s="62"/>
      <c r="D8" s="60" t="s">
        <v>136</v>
      </c>
      <c r="E8" s="60" t="s">
        <v>136</v>
      </c>
      <c r="F8" s="60" t="s">
        <v>136</v>
      </c>
      <c r="G8" s="60" t="s">
        <v>136</v>
      </c>
    </row>
    <row r="9" spans="2:7">
      <c r="B9" s="63"/>
      <c r="C9" s="62"/>
      <c r="D9" s="62"/>
      <c r="E9" s="62"/>
      <c r="F9" s="62"/>
      <c r="G9" s="62"/>
    </row>
    <row r="10" spans="2:7">
      <c r="B10" s="61" t="s">
        <v>5</v>
      </c>
      <c r="C10" s="62" t="s">
        <v>41</v>
      </c>
      <c r="D10" s="187">
        <f>+ACTIVOS!G16*RETORNO!$G$9</f>
        <v>2017.338946265796</v>
      </c>
      <c r="E10" s="187">
        <f>+ACTIVOS!H16*RETORNO!$G$9</f>
        <v>2015.805520985808</v>
      </c>
      <c r="F10" s="187">
        <f>+ACTIVOS!I16*RETORNO!$G$9</f>
        <v>2005.2324674801052</v>
      </c>
      <c r="G10" s="187">
        <f>+ACTIVOS!J16*RETORNO!$G$9</f>
        <v>1985.5138478857964</v>
      </c>
    </row>
    <row r="11" spans="2:7">
      <c r="B11" s="61" t="s">
        <v>6</v>
      </c>
      <c r="C11" s="62" t="s">
        <v>42</v>
      </c>
      <c r="D11" s="187">
        <f>+ACTIVOS!G11*'PERDIDAS y OTROS'!E13</f>
        <v>2611.5108789487699</v>
      </c>
      <c r="E11" s="187">
        <f>+ACTIVOS!H11*'PERDIDAS y OTROS'!F13</f>
        <v>2734.4551862448407</v>
      </c>
      <c r="F11" s="187">
        <f>+ACTIVOS!I11*'PERDIDAS y OTROS'!G13</f>
        <v>2858.755836811622</v>
      </c>
      <c r="G11" s="187">
        <f>+ACTIVOS!J11*'PERDIDAS y OTROS'!H13</f>
        <v>2984.4247246138957</v>
      </c>
    </row>
    <row r="12" spans="2:7">
      <c r="B12" s="61" t="s">
        <v>43</v>
      </c>
      <c r="C12" s="62" t="s">
        <v>24</v>
      </c>
      <c r="D12" s="187">
        <f>+REGRESIONES!D54/1000</f>
        <v>23585.786764109904</v>
      </c>
      <c r="E12" s="187">
        <f>+REGRESIONES!E54/1000</f>
        <v>24848.63086327229</v>
      </c>
      <c r="F12" s="187">
        <f>+REGRESIONES!F54/1000</f>
        <v>26131.774002068949</v>
      </c>
      <c r="G12" s="187">
        <f>+REGRESIONES!G54/1000</f>
        <v>27435.029984549405</v>
      </c>
    </row>
    <row r="13" spans="2:7" ht="13.5" thickBot="1">
      <c r="B13" s="180"/>
      <c r="C13" s="202"/>
      <c r="D13" s="187"/>
      <c r="E13" s="187"/>
      <c r="F13" s="187"/>
      <c r="G13" s="187"/>
    </row>
    <row r="14" spans="2:7" ht="21.75" thickBot="1">
      <c r="B14" s="264"/>
      <c r="C14" s="265" t="s">
        <v>15</v>
      </c>
      <c r="D14" s="266">
        <f>+D10+D11+D12</f>
        <v>28214.636589324469</v>
      </c>
      <c r="E14" s="266">
        <f>+E10+E11+E12</f>
        <v>29598.891570502939</v>
      </c>
      <c r="F14" s="266">
        <f>+F10+F11+F12</f>
        <v>30995.762306360677</v>
      </c>
      <c r="G14" s="267">
        <f>+G10+G11+G12</f>
        <v>32404.968557049098</v>
      </c>
    </row>
    <row r="17" spans="4:7">
      <c r="D17" s="268"/>
      <c r="E17" s="268"/>
      <c r="F17" s="268"/>
      <c r="G17" s="268"/>
    </row>
    <row r="18" spans="4:7">
      <c r="D18" s="268"/>
      <c r="E18" s="268"/>
      <c r="F18" s="268"/>
      <c r="G18" s="268"/>
    </row>
    <row r="19" spans="4:7">
      <c r="D19" s="102"/>
      <c r="E19" s="102"/>
      <c r="F19" s="102"/>
      <c r="G19" s="102"/>
    </row>
    <row r="20" spans="4:7">
      <c r="D20" s="268"/>
      <c r="E20" s="268"/>
      <c r="F20" s="268"/>
      <c r="G20" s="268"/>
    </row>
  </sheetData>
  <sheetProtection password="CCC5" sheet="1" objects="1" scenarios="1"/>
  <phoneticPr fontId="0" type="noConversion"/>
  <pageMargins left="0.74803149606299213" right="0.74803149606299213" top="0.62992125984251968" bottom="0.6692913385826772" header="0" footer="0"/>
  <pageSetup orientation="landscape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B2:H25"/>
  <sheetViews>
    <sheetView topLeftCell="A3" zoomScaleNormal="100" workbookViewId="0">
      <selection activeCell="E24" sqref="E24:H24"/>
    </sheetView>
  </sheetViews>
  <sheetFormatPr baseColWidth="10" defaultRowHeight="12.75"/>
  <cols>
    <col min="1" max="1" width="1.7109375" style="53" customWidth="1"/>
    <col min="2" max="2" width="33.5703125" style="53" customWidth="1"/>
    <col min="3" max="3" width="16" style="53" bestFit="1" customWidth="1"/>
    <col min="4" max="5" width="18.5703125" style="53" bestFit="1" customWidth="1"/>
    <col min="6" max="6" width="18.5703125" style="53" customWidth="1"/>
    <col min="7" max="7" width="18.5703125" style="53" bestFit="1" customWidth="1"/>
    <col min="8" max="8" width="13.42578125" style="53" bestFit="1" customWidth="1"/>
    <col min="9" max="16384" width="11.42578125" style="53"/>
  </cols>
  <sheetData>
    <row r="2" spans="2:7" ht="18.75">
      <c r="B2" s="131" t="s">
        <v>113</v>
      </c>
    </row>
    <row r="4" spans="2:7" ht="15.75">
      <c r="B4" s="57" t="s">
        <v>138</v>
      </c>
    </row>
    <row r="5" spans="2:7" ht="15.75">
      <c r="B5" s="58" t="s">
        <v>84</v>
      </c>
    </row>
    <row r="7" spans="2:7">
      <c r="B7" s="254"/>
      <c r="C7" s="255"/>
      <c r="D7" s="134" t="s">
        <v>141</v>
      </c>
      <c r="E7" s="134" t="s">
        <v>142</v>
      </c>
      <c r="F7" s="134" t="s">
        <v>143</v>
      </c>
      <c r="G7" s="134" t="s">
        <v>144</v>
      </c>
    </row>
    <row r="8" spans="2:7">
      <c r="B8" s="63"/>
      <c r="C8" s="62"/>
      <c r="D8" s="60" t="s">
        <v>136</v>
      </c>
      <c r="E8" s="60" t="s">
        <v>136</v>
      </c>
      <c r="F8" s="60" t="s">
        <v>136</v>
      </c>
      <c r="G8" s="60" t="s">
        <v>136</v>
      </c>
    </row>
    <row r="9" spans="2:7">
      <c r="B9" s="61"/>
      <c r="C9" s="62"/>
      <c r="D9" s="62"/>
      <c r="E9" s="62"/>
      <c r="F9" s="62"/>
      <c r="G9" s="62"/>
    </row>
    <row r="10" spans="2:7">
      <c r="B10" s="61" t="s">
        <v>5</v>
      </c>
      <c r="C10" s="62" t="s">
        <v>44</v>
      </c>
      <c r="D10" s="187">
        <f>+ACTIVOS!G17*RETORNO!$G$9</f>
        <v>1551.8983934143746</v>
      </c>
      <c r="E10" s="187">
        <f>+ACTIVOS!H17*RETORNO!$G$9</f>
        <v>1796.4013292405582</v>
      </c>
      <c r="F10" s="187">
        <f>+ACTIVOS!I17*RETORNO!$G$9</f>
        <v>2079.6490310142044</v>
      </c>
      <c r="G10" s="187">
        <f>+ACTIVOS!J17*RETORNO!$G$9</f>
        <v>2447.9511952128501</v>
      </c>
    </row>
    <row r="11" spans="2:7">
      <c r="B11" s="61" t="s">
        <v>6</v>
      </c>
      <c r="C11" s="62" t="s">
        <v>45</v>
      </c>
      <c r="D11" s="187">
        <f>+ACTIVOS!G12*'PERDIDAS y OTROS'!E14</f>
        <v>1053.1919751940416</v>
      </c>
      <c r="E11" s="187">
        <f>+ACTIVOS!H12*'PERDIDAS y OTROS'!F14</f>
        <v>1177.3421507440414</v>
      </c>
      <c r="F11" s="187">
        <f>+ACTIVOS!I12*'PERDIDAS y OTROS'!G14</f>
        <v>1319.6932404940414</v>
      </c>
      <c r="G11" s="187">
        <f>+ACTIVOS!J12*'PERDIDAS y OTROS'!H14</f>
        <v>1497.5152404940416</v>
      </c>
    </row>
    <row r="12" spans="2:7">
      <c r="B12" s="61" t="s">
        <v>7</v>
      </c>
      <c r="C12" s="62" t="s">
        <v>46</v>
      </c>
      <c r="D12" s="187">
        <f>$D$25*(D24+E24)/2/1000</f>
        <v>786.68627771827539</v>
      </c>
      <c r="E12" s="187">
        <f>$D$25*(E24+F24)/2/1000</f>
        <v>839.39569832845564</v>
      </c>
      <c r="F12" s="187">
        <f>$D$25*(F24+G24)/2/1000</f>
        <v>908.63529226608887</v>
      </c>
      <c r="G12" s="187">
        <f>$D$25*(G24+H24)/2/1000</f>
        <v>979.51396802302406</v>
      </c>
    </row>
    <row r="13" spans="2:7">
      <c r="B13" s="180"/>
      <c r="C13" s="202"/>
      <c r="D13" s="187"/>
      <c r="E13" s="187"/>
      <c r="F13" s="187"/>
      <c r="G13" s="187"/>
    </row>
    <row r="14" spans="2:7" ht="21">
      <c r="B14" s="256"/>
      <c r="C14" s="257" t="s">
        <v>16</v>
      </c>
      <c r="D14" s="66">
        <f>+D10+D11+D12</f>
        <v>3391.7766463266917</v>
      </c>
      <c r="E14" s="66">
        <f>+E10+E11+E12</f>
        <v>3813.1391783130553</v>
      </c>
      <c r="F14" s="66">
        <f>+F10+F11+F12</f>
        <v>4307.9775637743351</v>
      </c>
      <c r="G14" s="66">
        <f>+G10+G11+G12</f>
        <v>4924.9804037299155</v>
      </c>
    </row>
    <row r="23" spans="2:8">
      <c r="D23" s="258">
        <v>41791</v>
      </c>
      <c r="E23" s="258">
        <v>42156</v>
      </c>
      <c r="F23" s="258">
        <v>42522</v>
      </c>
      <c r="G23" s="258">
        <v>42887</v>
      </c>
      <c r="H23" s="258">
        <v>43252</v>
      </c>
    </row>
    <row r="24" spans="2:8" ht="15">
      <c r="B24" s="259" t="s">
        <v>102</v>
      </c>
      <c r="C24" s="69"/>
      <c r="D24" s="260">
        <v>115749</v>
      </c>
      <c r="E24" s="260">
        <v>121349</v>
      </c>
      <c r="F24" s="260">
        <v>131635</v>
      </c>
      <c r="G24" s="260">
        <v>142217</v>
      </c>
      <c r="H24" s="260">
        <v>152997</v>
      </c>
    </row>
    <row r="25" spans="2:8" ht="15">
      <c r="B25" s="261" t="s">
        <v>103</v>
      </c>
      <c r="C25" s="69"/>
      <c r="D25" s="262">
        <v>6.6359587825985491</v>
      </c>
    </row>
  </sheetData>
  <sheetProtection password="CCC5" sheet="1" objects="1" scenarios="1"/>
  <phoneticPr fontId="0" type="noConversion"/>
  <pageMargins left="0.74803149606299213" right="0.74803149606299213" top="0.62992125984251968" bottom="0.6692913385826772" header="0" footer="0"/>
  <pageSetup scale="89" orientation="landscape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3:M31"/>
  <sheetViews>
    <sheetView zoomScaleNormal="100" workbookViewId="0">
      <selection activeCell="E9" sqref="E9:H9"/>
    </sheetView>
  </sheetViews>
  <sheetFormatPr baseColWidth="10" defaultRowHeight="12.75"/>
  <cols>
    <col min="1" max="1" width="2.5703125" style="53" customWidth="1"/>
    <col min="2" max="2" width="35.28515625" style="53" customWidth="1"/>
    <col min="3" max="3" width="11.42578125" style="53"/>
    <col min="4" max="4" width="13.85546875" style="53" customWidth="1"/>
    <col min="5" max="8" width="15.7109375" style="53" bestFit="1" customWidth="1"/>
    <col min="9" max="16384" width="11.42578125" style="53"/>
  </cols>
  <sheetData>
    <row r="3" spans="2:13" ht="18.75">
      <c r="B3" s="131" t="s">
        <v>113</v>
      </c>
    </row>
    <row r="5" spans="2:13">
      <c r="B5" s="228" t="s">
        <v>2</v>
      </c>
      <c r="C5" s="60"/>
      <c r="D5" s="177" t="s">
        <v>69</v>
      </c>
      <c r="E5" s="60" t="s">
        <v>141</v>
      </c>
      <c r="F5" s="60" t="s">
        <v>142</v>
      </c>
      <c r="G5" s="60" t="s">
        <v>143</v>
      </c>
      <c r="H5" s="60" t="s">
        <v>144</v>
      </c>
      <c r="I5" s="60" t="s">
        <v>68</v>
      </c>
    </row>
    <row r="6" spans="2:13">
      <c r="B6" s="180" t="s">
        <v>3</v>
      </c>
      <c r="C6" s="230" t="s">
        <v>79</v>
      </c>
      <c r="D6" s="229">
        <v>669.4561606609243</v>
      </c>
      <c r="E6" s="231">
        <v>698.18257388604661</v>
      </c>
      <c r="F6" s="231">
        <v>726.65020072534094</v>
      </c>
      <c r="G6" s="231">
        <v>755.77763520774829</v>
      </c>
      <c r="H6" s="231">
        <v>785.39361699743336</v>
      </c>
      <c r="I6" s="232">
        <f>(H6/D6)^(1/4)-1</f>
        <v>4.0737746384440943E-2</v>
      </c>
    </row>
    <row r="7" spans="2:13">
      <c r="B7" s="180" t="s">
        <v>367</v>
      </c>
      <c r="C7" s="230" t="s">
        <v>75</v>
      </c>
      <c r="D7" s="233">
        <v>4034731.9455641108</v>
      </c>
      <c r="E7" s="234">
        <v>4207862.5909023369</v>
      </c>
      <c r="F7" s="234">
        <v>4379433.5617475435</v>
      </c>
      <c r="G7" s="234">
        <v>4554981.1140808742</v>
      </c>
      <c r="H7" s="234">
        <v>4733473.0824094908</v>
      </c>
      <c r="I7" s="232">
        <f>(H7/D7)^(1/4)-1</f>
        <v>4.0737746384441165E-2</v>
      </c>
    </row>
    <row r="8" spans="2:13">
      <c r="B8" s="180" t="s">
        <v>122</v>
      </c>
      <c r="C8" s="230" t="s">
        <v>75</v>
      </c>
      <c r="D8" s="235"/>
      <c r="E8" s="236"/>
      <c r="F8" s="236"/>
      <c r="G8" s="236"/>
      <c r="H8" s="237"/>
      <c r="I8" s="232"/>
    </row>
    <row r="9" spans="2:13">
      <c r="B9" s="238" t="s">
        <v>4</v>
      </c>
      <c r="C9" s="239" t="s">
        <v>27</v>
      </c>
      <c r="D9" s="240">
        <v>409772.21545805054</v>
      </c>
      <c r="E9" s="241">
        <v>428986.76252141001</v>
      </c>
      <c r="F9" s="241">
        <v>448774.72114593117</v>
      </c>
      <c r="G9" s="241">
        <v>468838.69452188024</v>
      </c>
      <c r="H9" s="241">
        <v>489190.46424818749</v>
      </c>
      <c r="I9" s="242">
        <f>(H9/D9)^(1/4)-1</f>
        <v>4.528295537182947E-2</v>
      </c>
    </row>
    <row r="10" spans="2:13">
      <c r="B10" s="69" t="s">
        <v>65</v>
      </c>
      <c r="C10" s="243" t="s">
        <v>67</v>
      </c>
      <c r="D10" s="244">
        <f>D6/D9*1000</f>
        <v>1.6337275574250305</v>
      </c>
      <c r="E10" s="244">
        <f>E6/E9*1000</f>
        <v>1.6275154267754393</v>
      </c>
      <c r="F10" s="244">
        <f>F6/F9*1000</f>
        <v>1.619187014076604</v>
      </c>
      <c r="G10" s="244">
        <f>G6/G9*1000</f>
        <v>1.6120206033302928</v>
      </c>
      <c r="H10" s="244">
        <f>H6/H9*1000</f>
        <v>1.6054965793424976</v>
      </c>
      <c r="I10" s="52"/>
      <c r="J10" s="52"/>
      <c r="K10" s="52"/>
      <c r="L10" s="52"/>
      <c r="M10" s="52"/>
    </row>
    <row r="11" spans="2:13">
      <c r="B11" s="69" t="s">
        <v>66</v>
      </c>
      <c r="C11" s="243" t="s">
        <v>71</v>
      </c>
      <c r="D11" s="244">
        <f>D7/D9</f>
        <v>9.8462799412937674</v>
      </c>
      <c r="E11" s="244">
        <f t="shared" ref="E11:H11" si="0">E7/E9</f>
        <v>9.8088401753243595</v>
      </c>
      <c r="F11" s="244">
        <f t="shared" si="0"/>
        <v>9.758645831398006</v>
      </c>
      <c r="G11" s="244">
        <f t="shared" si="0"/>
        <v>9.7154547337992767</v>
      </c>
      <c r="H11" s="244">
        <f t="shared" si="0"/>
        <v>9.6761352241077105</v>
      </c>
      <c r="I11" s="52"/>
      <c r="J11" s="52"/>
      <c r="K11" s="52"/>
      <c r="L11" s="52"/>
      <c r="M11" s="52"/>
    </row>
    <row r="12" spans="2:13">
      <c r="J12" s="52"/>
      <c r="K12" s="52"/>
      <c r="L12" s="52"/>
      <c r="M12" s="52"/>
    </row>
    <row r="13" spans="2:13">
      <c r="B13" s="69" t="s">
        <v>368</v>
      </c>
      <c r="C13" s="243" t="s">
        <v>11</v>
      </c>
      <c r="D13" s="245">
        <v>3623484.844374632</v>
      </c>
      <c r="E13" s="245">
        <v>3782830.3422875791</v>
      </c>
      <c r="F13" s="245">
        <v>3939039.0911087673</v>
      </c>
      <c r="G13" s="245">
        <v>4097053.232619815</v>
      </c>
      <c r="H13" s="245">
        <v>4257692.1370705245</v>
      </c>
      <c r="I13" s="246">
        <f>(H13/D13)^(1/4)-1</f>
        <v>4.1146759104870867E-2</v>
      </c>
    </row>
    <row r="14" spans="2:13">
      <c r="B14" s="69" t="s">
        <v>123</v>
      </c>
      <c r="C14" s="243" t="s">
        <v>11</v>
      </c>
      <c r="D14" s="245"/>
      <c r="E14" s="245"/>
      <c r="F14" s="245"/>
      <c r="G14" s="245"/>
      <c r="H14" s="245"/>
    </row>
    <row r="15" spans="2:13">
      <c r="B15" s="52"/>
      <c r="C15" s="52"/>
      <c r="D15" s="247"/>
      <c r="E15" s="247"/>
      <c r="F15" s="247"/>
      <c r="G15" s="247"/>
      <c r="H15" s="247"/>
    </row>
    <row r="16" spans="2:13">
      <c r="D16" s="247"/>
      <c r="E16" s="247"/>
      <c r="F16" s="247"/>
      <c r="G16" s="247"/>
      <c r="H16" s="247"/>
    </row>
    <row r="17" spans="2:10">
      <c r="B17" s="132"/>
      <c r="D17" s="247"/>
      <c r="E17" s="247"/>
      <c r="F17" s="247"/>
      <c r="G17" s="247"/>
      <c r="H17" s="247"/>
    </row>
    <row r="18" spans="2:10">
      <c r="D18" s="247"/>
      <c r="E18" s="247"/>
      <c r="F18" s="247"/>
      <c r="G18" s="247"/>
      <c r="H18" s="247"/>
    </row>
    <row r="20" spans="2:10">
      <c r="D20" s="248"/>
      <c r="E20" s="248"/>
      <c r="F20" s="248"/>
      <c r="G20" s="248"/>
      <c r="H20" s="248"/>
      <c r="I20" s="72"/>
      <c r="J20" s="72"/>
    </row>
    <row r="21" spans="2:10">
      <c r="D21" s="76"/>
      <c r="E21" s="76"/>
      <c r="F21" s="76"/>
      <c r="G21" s="76"/>
      <c r="H21" s="76"/>
      <c r="I21" s="72"/>
      <c r="J21" s="72"/>
    </row>
    <row r="22" spans="2:10">
      <c r="D22" s="76"/>
      <c r="E22" s="76"/>
      <c r="F22" s="76"/>
      <c r="G22" s="76"/>
      <c r="H22" s="76"/>
      <c r="I22" s="72"/>
      <c r="J22" s="72"/>
    </row>
    <row r="23" spans="2:10" ht="15.75">
      <c r="C23" s="249"/>
      <c r="D23" s="250"/>
      <c r="E23" s="250"/>
      <c r="F23" s="251"/>
      <c r="G23" s="250"/>
      <c r="H23" s="250"/>
      <c r="I23" s="72"/>
      <c r="J23" s="72"/>
    </row>
    <row r="24" spans="2:10" ht="15.75">
      <c r="C24" s="249"/>
      <c r="D24" s="252"/>
      <c r="E24" s="252"/>
      <c r="F24" s="251"/>
      <c r="G24" s="252"/>
      <c r="H24" s="252"/>
      <c r="I24" s="72"/>
      <c r="J24" s="72"/>
    </row>
    <row r="25" spans="2:10">
      <c r="D25" s="252"/>
      <c r="E25" s="252"/>
      <c r="F25" s="251"/>
      <c r="G25" s="252"/>
      <c r="H25" s="252"/>
      <c r="I25" s="72"/>
      <c r="J25" s="72"/>
    </row>
    <row r="26" spans="2:10">
      <c r="D26" s="76"/>
      <c r="E26" s="76"/>
      <c r="F26" s="76"/>
      <c r="G26" s="76"/>
      <c r="H26" s="76"/>
      <c r="I26" s="72"/>
      <c r="J26" s="72"/>
    </row>
    <row r="27" spans="2:10">
      <c r="D27" s="253"/>
      <c r="E27" s="253"/>
      <c r="F27" s="253"/>
      <c r="G27" s="253"/>
      <c r="H27" s="253"/>
      <c r="I27" s="72"/>
      <c r="J27" s="72"/>
    </row>
    <row r="28" spans="2:10">
      <c r="D28" s="76"/>
      <c r="E28" s="76"/>
      <c r="F28" s="76"/>
      <c r="G28" s="76"/>
      <c r="H28" s="76"/>
      <c r="I28" s="72"/>
      <c r="J28" s="72"/>
    </row>
    <row r="29" spans="2:10">
      <c r="D29" s="72"/>
      <c r="E29" s="72"/>
      <c r="F29" s="72"/>
      <c r="G29" s="72"/>
      <c r="H29" s="72"/>
      <c r="I29" s="72"/>
      <c r="J29" s="72"/>
    </row>
    <row r="30" spans="2:10">
      <c r="D30" s="72"/>
      <c r="E30" s="72"/>
      <c r="F30" s="72"/>
      <c r="G30" s="72"/>
      <c r="H30" s="72"/>
      <c r="I30" s="72"/>
      <c r="J30" s="72"/>
    </row>
    <row r="31" spans="2:10">
      <c r="D31" s="72"/>
      <c r="E31" s="72"/>
      <c r="F31" s="72"/>
      <c r="G31" s="72"/>
      <c r="H31" s="72"/>
      <c r="I31" s="72"/>
      <c r="J31" s="72"/>
    </row>
  </sheetData>
  <sheetProtection password="CCC5" sheet="1" objects="1" scenarios="1"/>
  <phoneticPr fontId="0" type="noConversion"/>
  <pageMargins left="0.74803149606299213" right="0.74803149606299213" top="0.62992125984251968" bottom="0.6692913385826772" header="0" footer="0"/>
  <pageSetup scale="90" orientation="landscape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93"/>
  <sheetViews>
    <sheetView topLeftCell="A46" workbookViewId="0">
      <selection activeCell="D54" sqref="D54:G54"/>
    </sheetView>
  </sheetViews>
  <sheetFormatPr baseColWidth="10" defaultColWidth="16.7109375" defaultRowHeight="12.75"/>
  <cols>
    <col min="1" max="1" width="30.7109375" style="110" customWidth="1"/>
    <col min="2" max="16384" width="16.7109375" style="110"/>
  </cols>
  <sheetData>
    <row r="1" spans="1:13" ht="15">
      <c r="A1" s="1" t="s">
        <v>145</v>
      </c>
    </row>
    <row r="2" spans="1:13" ht="15">
      <c r="A2" s="1"/>
    </row>
    <row r="3" spans="1:13" ht="15">
      <c r="A3" s="1" t="s">
        <v>146</v>
      </c>
    </row>
    <row r="4" spans="1:13" s="3" customFormat="1" ht="15">
      <c r="A4" s="2" t="s">
        <v>147</v>
      </c>
      <c r="B4" s="3" t="s">
        <v>29</v>
      </c>
      <c r="C4" s="3" t="s">
        <v>30</v>
      </c>
      <c r="D4" s="3" t="s">
        <v>28</v>
      </c>
      <c r="E4" s="3" t="s">
        <v>24</v>
      </c>
      <c r="F4" s="3" t="s">
        <v>31</v>
      </c>
      <c r="G4" s="4"/>
      <c r="I4" s="53"/>
      <c r="J4" s="53"/>
      <c r="K4" s="53"/>
      <c r="L4" s="53"/>
      <c r="M4" s="53"/>
    </row>
    <row r="5" spans="1:13" ht="15">
      <c r="A5" s="113" t="s">
        <v>148</v>
      </c>
      <c r="B5" s="114">
        <v>0</v>
      </c>
      <c r="C5" s="114">
        <v>0</v>
      </c>
      <c r="D5" s="114">
        <v>1.00346</v>
      </c>
      <c r="E5" s="114">
        <v>0</v>
      </c>
      <c r="F5" s="114">
        <v>0</v>
      </c>
      <c r="G5" s="5"/>
      <c r="I5" s="53"/>
      <c r="J5" s="53"/>
      <c r="K5" s="53"/>
      <c r="L5" s="53"/>
      <c r="M5" s="53"/>
    </row>
    <row r="6" spans="1:13" ht="15">
      <c r="A6" s="113" t="s">
        <v>149</v>
      </c>
      <c r="B6" s="114">
        <v>0.99308719999999995</v>
      </c>
      <c r="C6" s="114">
        <v>1.0009459999999999</v>
      </c>
      <c r="D6" s="114">
        <v>-0.71858929999999999</v>
      </c>
      <c r="E6" s="114">
        <v>1.1359239999999999</v>
      </c>
      <c r="F6" s="114">
        <v>1.018411</v>
      </c>
      <c r="G6" s="5"/>
      <c r="I6" s="53"/>
      <c r="J6" s="53"/>
      <c r="K6" s="53"/>
      <c r="L6" s="53"/>
      <c r="M6" s="53"/>
    </row>
    <row r="7" spans="1:13" ht="15">
      <c r="A7" s="113" t="s">
        <v>32</v>
      </c>
      <c r="B7" s="114">
        <v>8.31372</v>
      </c>
      <c r="C7" s="114">
        <v>5.2474100000000004</v>
      </c>
      <c r="D7" s="114">
        <v>5.7032350000000003</v>
      </c>
      <c r="E7" s="114">
        <v>2.5659749999999999</v>
      </c>
      <c r="F7" s="114">
        <v>3.783477</v>
      </c>
      <c r="G7" s="5"/>
      <c r="I7" s="53"/>
      <c r="J7" s="53"/>
      <c r="K7" s="53"/>
      <c r="L7" s="53"/>
      <c r="M7" s="53"/>
    </row>
    <row r="9" spans="1:13" ht="15">
      <c r="A9" s="1" t="s">
        <v>150</v>
      </c>
    </row>
    <row r="10" spans="1:13" ht="6" customHeight="1">
      <c r="A10" s="1"/>
    </row>
    <row r="11" spans="1:13" ht="15">
      <c r="A11" s="6" t="s">
        <v>113</v>
      </c>
      <c r="C11" s="28"/>
      <c r="D11" s="28"/>
      <c r="E11" s="28"/>
      <c r="F11" s="28"/>
      <c r="G11" s="28"/>
      <c r="H11" s="28"/>
    </row>
    <row r="12" spans="1:13" ht="15">
      <c r="A12" s="324" t="s">
        <v>151</v>
      </c>
      <c r="B12" s="324" t="s">
        <v>152</v>
      </c>
      <c r="C12" s="3" t="s">
        <v>153</v>
      </c>
      <c r="D12" s="325" t="s">
        <v>183</v>
      </c>
      <c r="E12" s="325"/>
      <c r="F12" s="325"/>
      <c r="G12" s="325"/>
      <c r="H12" s="325"/>
    </row>
    <row r="13" spans="1:13">
      <c r="A13" s="324"/>
      <c r="B13" s="324"/>
      <c r="C13" s="7" t="s">
        <v>154</v>
      </c>
      <c r="D13" s="8" t="s">
        <v>155</v>
      </c>
      <c r="E13" s="8" t="s">
        <v>156</v>
      </c>
      <c r="F13" s="8" t="s">
        <v>157</v>
      </c>
      <c r="G13" s="8" t="s">
        <v>158</v>
      </c>
      <c r="H13" s="8" t="s">
        <v>159</v>
      </c>
    </row>
    <row r="14" spans="1:13" ht="15">
      <c r="A14" s="113" t="s">
        <v>160</v>
      </c>
      <c r="B14" s="110" t="s">
        <v>79</v>
      </c>
      <c r="C14" s="9">
        <v>641.57704462310517</v>
      </c>
      <c r="D14" s="10">
        <v>669.4561606609243</v>
      </c>
      <c r="E14" s="11">
        <v>698.18257388604661</v>
      </c>
      <c r="F14" s="11">
        <v>726.65020072534094</v>
      </c>
      <c r="G14" s="11">
        <v>755.77763520774829</v>
      </c>
      <c r="H14" s="11">
        <v>785.39361699743336</v>
      </c>
    </row>
    <row r="15" spans="1:13" ht="15">
      <c r="A15" s="115" t="s">
        <v>372</v>
      </c>
      <c r="B15" s="110" t="s">
        <v>11</v>
      </c>
      <c r="C15" s="9">
        <v>3866707.8586980999</v>
      </c>
      <c r="D15" s="9">
        <f>+DEMANDA!D7</f>
        <v>4034731.9455641108</v>
      </c>
      <c r="E15" s="9">
        <f>+DEMANDA!E7</f>
        <v>4207862.5909023369</v>
      </c>
      <c r="F15" s="9">
        <f>+DEMANDA!F7</f>
        <v>4379433.5617475435</v>
      </c>
      <c r="G15" s="9">
        <f>+DEMANDA!G7</f>
        <v>4554981.1140808742</v>
      </c>
      <c r="H15" s="9">
        <f>+DEMANDA!H7</f>
        <v>4733473.0824094908</v>
      </c>
    </row>
    <row r="16" spans="1:13" ht="15">
      <c r="A16" s="113" t="s">
        <v>4</v>
      </c>
      <c r="B16" s="110" t="s">
        <v>161</v>
      </c>
      <c r="C16" s="116">
        <v>392284.16666666674</v>
      </c>
      <c r="D16" s="11">
        <v>409772.21545805054</v>
      </c>
      <c r="E16" s="11">
        <v>428986.76252141001</v>
      </c>
      <c r="F16" s="11">
        <v>448774.72114593117</v>
      </c>
      <c r="G16" s="11">
        <v>468838.69452188024</v>
      </c>
      <c r="H16" s="11">
        <v>489190.46424818749</v>
      </c>
    </row>
    <row r="18" spans="1:10" ht="15">
      <c r="A18" s="1" t="s">
        <v>162</v>
      </c>
    </row>
    <row r="19" spans="1:10" ht="6" customHeight="1">
      <c r="A19" s="1"/>
    </row>
    <row r="20" spans="1:10" ht="15">
      <c r="A20" s="6" t="s">
        <v>113</v>
      </c>
      <c r="C20" s="28"/>
      <c r="D20" s="28"/>
      <c r="E20" s="28"/>
      <c r="F20" s="28"/>
      <c r="G20" s="28"/>
      <c r="H20" s="28"/>
    </row>
    <row r="21" spans="1:10" ht="15">
      <c r="A21" s="12" t="s">
        <v>163</v>
      </c>
      <c r="C21" s="28"/>
      <c r="D21" s="28"/>
      <c r="E21" s="28"/>
      <c r="F21" s="28"/>
      <c r="G21" s="28"/>
      <c r="H21" s="28"/>
    </row>
    <row r="22" spans="1:10" ht="15">
      <c r="A22" s="28" t="s">
        <v>164</v>
      </c>
      <c r="B22" s="7" t="s">
        <v>154</v>
      </c>
      <c r="C22" s="8" t="s">
        <v>155</v>
      </c>
      <c r="D22" s="8" t="s">
        <v>156</v>
      </c>
      <c r="E22" s="8" t="s">
        <v>157</v>
      </c>
      <c r="F22" s="8" t="s">
        <v>158</v>
      </c>
      <c r="G22" s="8" t="s">
        <v>159</v>
      </c>
      <c r="I22" s="53"/>
      <c r="J22" s="53"/>
    </row>
    <row r="23" spans="1:10">
      <c r="A23" s="117" t="s">
        <v>29</v>
      </c>
      <c r="B23" s="118">
        <f t="shared" ref="B23:G23" si="0">EXP($B$7+$B$6*LN(C16)+$B$5*LN(C14))</f>
        <v>1463983075.838757</v>
      </c>
      <c r="C23" s="118">
        <f t="shared" si="0"/>
        <v>1528786517.6775973</v>
      </c>
      <c r="D23" s="118">
        <f t="shared" si="0"/>
        <v>1599965628.9700162</v>
      </c>
      <c r="E23" s="118">
        <f t="shared" si="0"/>
        <v>1673245878.7527425</v>
      </c>
      <c r="F23" s="118">
        <f t="shared" si="0"/>
        <v>1747525481.7548451</v>
      </c>
      <c r="G23" s="118">
        <f t="shared" si="0"/>
        <v>1822848098.1384554</v>
      </c>
      <c r="I23" s="53"/>
      <c r="J23" s="53"/>
    </row>
    <row r="24" spans="1:10">
      <c r="A24" s="117" t="s">
        <v>30</v>
      </c>
      <c r="B24" s="118">
        <f t="shared" ref="B24:G24" si="1">EXP($C$7+$C$6*LN(C16)+$C$5*LN(C14))</f>
        <v>75476809.404464036</v>
      </c>
      <c r="C24" s="118">
        <f t="shared" si="1"/>
        <v>78844822.588508219</v>
      </c>
      <c r="D24" s="118">
        <f t="shared" si="1"/>
        <v>82545497.685525343</v>
      </c>
      <c r="E24" s="118">
        <f t="shared" si="1"/>
        <v>86356774.336913601</v>
      </c>
      <c r="F24" s="118">
        <f t="shared" si="1"/>
        <v>90221375.387120515</v>
      </c>
      <c r="G24" s="118">
        <f t="shared" si="1"/>
        <v>94141569.884872213</v>
      </c>
      <c r="I24" s="53"/>
      <c r="J24" s="53"/>
    </row>
    <row r="25" spans="1:10">
      <c r="A25" s="117" t="s">
        <v>28</v>
      </c>
      <c r="B25" s="118">
        <f t="shared" ref="B25:G25" si="2">EXP($D$7+$D$6*LN(C14/C16)+$D$5*LN(C14))</f>
        <v>19773706.953508474</v>
      </c>
      <c r="C25" s="118">
        <f t="shared" si="2"/>
        <v>20651990.953426626</v>
      </c>
      <c r="D25" s="118">
        <f t="shared" si="2"/>
        <v>21600352.758326549</v>
      </c>
      <c r="E25" s="118">
        <f t="shared" si="2"/>
        <v>22567236.476803571</v>
      </c>
      <c r="F25" s="118">
        <f t="shared" si="2"/>
        <v>23549971.356839359</v>
      </c>
      <c r="G25" s="118">
        <f t="shared" si="2"/>
        <v>24547487.944481425</v>
      </c>
      <c r="I25" s="53"/>
      <c r="J25" s="53"/>
    </row>
    <row r="26" spans="1:10">
      <c r="A26" s="117" t="s">
        <v>24</v>
      </c>
      <c r="B26" s="118">
        <f t="shared" ref="B26:G26" si="3">EXP($E$7+$E$6*LN(C16)+$E$5*LN(C14))</f>
        <v>29396400.463869408</v>
      </c>
      <c r="C26" s="118">
        <f t="shared" si="3"/>
        <v>30889474.414189123</v>
      </c>
      <c r="D26" s="118">
        <f t="shared" si="3"/>
        <v>32539957.231335685</v>
      </c>
      <c r="E26" s="118">
        <f t="shared" si="3"/>
        <v>34250228.658539854</v>
      </c>
      <c r="F26" s="118">
        <f t="shared" si="3"/>
        <v>35994854.495891005</v>
      </c>
      <c r="G26" s="118">
        <f t="shared" si="3"/>
        <v>37774904.174073838</v>
      </c>
      <c r="I26" s="53"/>
      <c r="J26" s="53"/>
    </row>
    <row r="27" spans="1:10" s="121" customFormat="1">
      <c r="A27" s="119" t="s">
        <v>31</v>
      </c>
      <c r="B27" s="120">
        <f t="shared" ref="B27:G27" si="4">EXP($F$7+$F$6*LN(C16)+$F$5*LN(C14))</f>
        <v>21863905.772323046</v>
      </c>
      <c r="C27" s="120">
        <f t="shared" si="4"/>
        <v>22856946.481434926</v>
      </c>
      <c r="D27" s="120">
        <f t="shared" si="4"/>
        <v>23948923.631809182</v>
      </c>
      <c r="E27" s="120">
        <f t="shared" si="4"/>
        <v>25074429.686456393</v>
      </c>
      <c r="F27" s="120">
        <f t="shared" si="4"/>
        <v>26216568.388002779</v>
      </c>
      <c r="G27" s="120">
        <f t="shared" si="4"/>
        <v>27376009.658932324</v>
      </c>
      <c r="I27" s="53"/>
      <c r="J27" s="53"/>
    </row>
    <row r="28" spans="1:10">
      <c r="A28" s="117"/>
    </row>
    <row r="29" spans="1:10" ht="15">
      <c r="A29" s="12" t="s">
        <v>165</v>
      </c>
    </row>
    <row r="30" spans="1:10">
      <c r="A30" s="122" t="s">
        <v>166</v>
      </c>
    </row>
    <row r="31" spans="1:10" s="124" customFormat="1" ht="15">
      <c r="A31" s="123" t="s">
        <v>167</v>
      </c>
      <c r="B31" s="15">
        <v>0.31370669545808277</v>
      </c>
      <c r="C31" s="16"/>
    </row>
    <row r="32" spans="1:10" s="124" customFormat="1" ht="15">
      <c r="A32" s="17" t="s">
        <v>168</v>
      </c>
      <c r="B32" s="18"/>
      <c r="C32" s="16"/>
      <c r="D32" s="18"/>
      <c r="E32" s="18"/>
      <c r="F32" s="18"/>
      <c r="G32" s="72"/>
      <c r="H32" s="72"/>
    </row>
    <row r="33" spans="1:8" s="124" customFormat="1" ht="15">
      <c r="A33" s="125" t="s">
        <v>29</v>
      </c>
      <c r="B33" s="19">
        <v>0.6024884744001221</v>
      </c>
      <c r="C33" s="16"/>
      <c r="D33" s="20"/>
      <c r="E33" s="20"/>
      <c r="F33" s="20"/>
      <c r="G33" s="72"/>
      <c r="H33" s="72"/>
    </row>
    <row r="34" spans="1:8" s="124" customFormat="1" ht="15">
      <c r="A34" s="125" t="s">
        <v>30</v>
      </c>
      <c r="B34" s="19">
        <v>0.40324448476605762</v>
      </c>
      <c r="C34" s="15"/>
      <c r="D34" s="15"/>
      <c r="E34" s="15"/>
      <c r="F34" s="15"/>
      <c r="G34" s="72"/>
      <c r="H34" s="72"/>
    </row>
    <row r="35" spans="1:8" s="124" customFormat="1" ht="15">
      <c r="A35" s="125" t="s">
        <v>28</v>
      </c>
      <c r="B35" s="19">
        <v>0.51600000000000001</v>
      </c>
      <c r="C35" s="16"/>
      <c r="D35" s="19"/>
      <c r="E35" s="19"/>
      <c r="F35" s="19"/>
      <c r="G35" s="72"/>
      <c r="H35" s="72"/>
    </row>
    <row r="36" spans="1:8" s="124" customFormat="1" ht="15">
      <c r="A36" s="125" t="s">
        <v>24</v>
      </c>
      <c r="B36" s="19">
        <v>0.35499999999999998</v>
      </c>
      <c r="C36" s="16"/>
      <c r="D36" s="19"/>
      <c r="E36" s="19"/>
      <c r="F36" s="19"/>
      <c r="G36" s="72"/>
      <c r="H36" s="72"/>
    </row>
    <row r="37" spans="1:8" s="124" customFormat="1" ht="15">
      <c r="A37" s="125" t="s">
        <v>31</v>
      </c>
      <c r="B37" s="19">
        <v>0.629</v>
      </c>
      <c r="C37" s="20"/>
      <c r="D37" s="20"/>
      <c r="E37" s="20"/>
      <c r="F37" s="19"/>
      <c r="G37" s="72"/>
      <c r="H37" s="72"/>
    </row>
    <row r="38" spans="1:8" s="124" customFormat="1" ht="15">
      <c r="A38" s="21"/>
      <c r="C38" s="19"/>
      <c r="D38" s="19"/>
      <c r="E38" s="19"/>
      <c r="F38" s="72"/>
      <c r="G38" s="72"/>
      <c r="H38" s="72"/>
    </row>
    <row r="39" spans="1:8" s="124" customFormat="1" ht="15">
      <c r="A39" s="122" t="s">
        <v>169</v>
      </c>
      <c r="C39" s="19"/>
      <c r="D39" s="19"/>
      <c r="E39" s="19"/>
      <c r="F39" s="72"/>
      <c r="G39" s="72"/>
      <c r="H39" s="72"/>
    </row>
    <row r="40" spans="1:8" s="124" customFormat="1" ht="15">
      <c r="A40" s="122"/>
      <c r="B40" s="28">
        <v>2013</v>
      </c>
      <c r="C40" s="28">
        <f>B40+1</f>
        <v>2014</v>
      </c>
      <c r="D40" s="28">
        <f>C40+1</f>
        <v>2015</v>
      </c>
      <c r="E40" s="28">
        <f>D40+1</f>
        <v>2016</v>
      </c>
      <c r="F40" s="28">
        <f>E40+1</f>
        <v>2017</v>
      </c>
      <c r="G40" s="28">
        <f>F40+1</f>
        <v>2018</v>
      </c>
      <c r="H40" s="72"/>
    </row>
    <row r="41" spans="1:8" s="124" customFormat="1" ht="15">
      <c r="A41" s="126" t="s">
        <v>170</v>
      </c>
      <c r="B41" s="22">
        <v>0.65100000000000002</v>
      </c>
      <c r="C41" s="22">
        <v>0.66400000000000003</v>
      </c>
      <c r="D41" s="22">
        <v>0.67400000000000004</v>
      </c>
      <c r="E41" s="22">
        <v>0.68100000000000005</v>
      </c>
      <c r="F41" s="22">
        <v>0.68600000000000005</v>
      </c>
      <c r="G41" s="22">
        <v>0.68899999999999995</v>
      </c>
      <c r="H41" s="16"/>
    </row>
    <row r="42" spans="1:8" s="124" customFormat="1" ht="15" customHeight="1">
      <c r="A42" s="127" t="s">
        <v>171</v>
      </c>
      <c r="C42" s="19"/>
      <c r="D42" s="19"/>
      <c r="E42" s="19"/>
      <c r="F42" s="72"/>
      <c r="G42" s="72"/>
      <c r="H42" s="72"/>
    </row>
    <row r="43" spans="1:8" s="124" customFormat="1" ht="15">
      <c r="A43" s="125" t="s">
        <v>29</v>
      </c>
      <c r="B43" s="23">
        <v>0.1</v>
      </c>
      <c r="C43" s="16"/>
      <c r="D43" s="72"/>
      <c r="E43" s="128"/>
      <c r="F43" s="72"/>
      <c r="G43" s="72"/>
      <c r="H43" s="72"/>
    </row>
    <row r="44" spans="1:8" s="124" customFormat="1" ht="15">
      <c r="A44" s="125" t="s">
        <v>30</v>
      </c>
      <c r="B44" s="23">
        <v>0.1</v>
      </c>
      <c r="C44" s="72"/>
      <c r="D44" s="72"/>
      <c r="E44" s="128"/>
      <c r="F44" s="72"/>
      <c r="G44" s="72"/>
      <c r="H44" s="72"/>
    </row>
    <row r="45" spans="1:8" s="124" customFormat="1" ht="15">
      <c r="A45" s="125" t="s">
        <v>28</v>
      </c>
      <c r="B45" s="23">
        <v>0.1</v>
      </c>
      <c r="C45" s="72"/>
      <c r="D45" s="72"/>
      <c r="E45" s="128"/>
      <c r="F45" s="72"/>
      <c r="G45" s="72"/>
      <c r="H45" s="72"/>
    </row>
    <row r="46" spans="1:8" s="124" customFormat="1" ht="15">
      <c r="A46" s="125" t="s">
        <v>24</v>
      </c>
      <c r="B46" s="23">
        <v>0.15</v>
      </c>
      <c r="C46" s="72"/>
      <c r="D46" s="72"/>
      <c r="E46" s="128"/>
      <c r="F46" s="72"/>
      <c r="G46" s="72"/>
      <c r="H46" s="72"/>
    </row>
    <row r="47" spans="1:8" s="124" customFormat="1" ht="15">
      <c r="A47" s="125" t="s">
        <v>31</v>
      </c>
      <c r="B47" s="23">
        <v>0.25</v>
      </c>
      <c r="C47" s="72"/>
      <c r="D47" s="72"/>
      <c r="E47" s="128"/>
      <c r="F47" s="72"/>
      <c r="G47" s="72"/>
      <c r="H47" s="72"/>
    </row>
    <row r="48" spans="1:8" s="124" customFormat="1" ht="15">
      <c r="A48" s="72"/>
      <c r="B48" s="15"/>
      <c r="C48" s="72"/>
      <c r="D48" s="72"/>
      <c r="E48" s="128"/>
      <c r="F48" s="72"/>
      <c r="G48" s="72"/>
      <c r="H48" s="72"/>
    </row>
    <row r="49" spans="1:17" s="124" customFormat="1" ht="15">
      <c r="A49" s="12" t="s">
        <v>172</v>
      </c>
      <c r="B49" s="110"/>
      <c r="C49" s="28"/>
      <c r="D49" s="28"/>
      <c r="E49" s="28"/>
      <c r="F49" s="28"/>
      <c r="G49" s="28"/>
      <c r="I49" s="53"/>
      <c r="J49" s="53"/>
      <c r="K49" s="53"/>
      <c r="L49" s="53"/>
      <c r="M49" s="53"/>
      <c r="N49" s="53"/>
      <c r="O49" s="53"/>
      <c r="P49" s="53"/>
      <c r="Q49" s="53"/>
    </row>
    <row r="50" spans="1:17" s="124" customFormat="1" ht="15">
      <c r="A50" s="28" t="s">
        <v>164</v>
      </c>
      <c r="B50" s="7" t="s">
        <v>154</v>
      </c>
      <c r="C50" s="8" t="s">
        <v>155</v>
      </c>
      <c r="D50" s="8" t="s">
        <v>156</v>
      </c>
      <c r="E50" s="8" t="s">
        <v>157</v>
      </c>
      <c r="F50" s="8" t="s">
        <v>158</v>
      </c>
      <c r="G50" s="8" t="s">
        <v>159</v>
      </c>
      <c r="I50" s="53"/>
      <c r="J50" s="53"/>
      <c r="K50" s="53"/>
      <c r="L50" s="53"/>
      <c r="M50" s="53"/>
      <c r="N50" s="53"/>
      <c r="O50" s="53"/>
      <c r="P50" s="53"/>
      <c r="Q50" s="53"/>
    </row>
    <row r="51" spans="1:17" s="124" customFormat="1">
      <c r="A51" s="117" t="s">
        <v>29</v>
      </c>
      <c r="B51" s="118">
        <f t="shared" ref="B51:G55" si="5">B23*($B33*$B$31+B$41*(1-$B33)*$B43+(1-$B33)*(1-$B43))</f>
        <v>838339721.56332147</v>
      </c>
      <c r="C51" s="118">
        <f t="shared" si="5"/>
        <v>876238984.95057344</v>
      </c>
      <c r="D51" s="118">
        <f t="shared" si="5"/>
        <v>917671995.39776349</v>
      </c>
      <c r="E51" s="118">
        <f t="shared" si="5"/>
        <v>960168013.1070832</v>
      </c>
      <c r="F51" s="118">
        <f t="shared" si="5"/>
        <v>1003139622.6624429</v>
      </c>
      <c r="G51" s="118">
        <f t="shared" si="5"/>
        <v>1046594771.3851223</v>
      </c>
      <c r="I51" s="53"/>
      <c r="J51" s="53"/>
      <c r="K51" s="53"/>
      <c r="L51" s="53"/>
      <c r="M51" s="53"/>
      <c r="N51" s="53"/>
      <c r="O51" s="53"/>
      <c r="P51" s="53"/>
      <c r="Q51" s="53"/>
    </row>
    <row r="52" spans="1:17" s="124" customFormat="1">
      <c r="A52" s="117" t="s">
        <v>30</v>
      </c>
      <c r="B52" s="118">
        <f t="shared" si="5"/>
        <v>53017118.058553942</v>
      </c>
      <c r="C52" s="118">
        <f t="shared" si="5"/>
        <v>55444075.415798463</v>
      </c>
      <c r="D52" s="118">
        <f t="shared" si="5"/>
        <v>58095668.219803669</v>
      </c>
      <c r="E52" s="118">
        <f t="shared" si="5"/>
        <v>60814125.228896834</v>
      </c>
      <c r="F52" s="118">
        <f t="shared" si="5"/>
        <v>63562572.734923869</v>
      </c>
      <c r="G52" s="118">
        <f t="shared" si="5"/>
        <v>66341273.728767715</v>
      </c>
      <c r="I52" s="53"/>
      <c r="J52" s="53"/>
      <c r="K52" s="53"/>
      <c r="L52" s="53"/>
      <c r="M52" s="53"/>
      <c r="N52" s="53"/>
      <c r="O52" s="53"/>
      <c r="P52" s="53"/>
      <c r="Q52" s="53"/>
    </row>
    <row r="53" spans="1:17" s="124" customFormat="1">
      <c r="A53" s="117" t="s">
        <v>28</v>
      </c>
      <c r="B53" s="118">
        <f t="shared" si="5"/>
        <v>12437287.058038512</v>
      </c>
      <c r="C53" s="118">
        <f t="shared" si="5"/>
        <v>13002705.287478399</v>
      </c>
      <c r="D53" s="118">
        <f t="shared" si="5"/>
        <v>13610258.175892519</v>
      </c>
      <c r="E53" s="118">
        <f t="shared" si="5"/>
        <v>14227131.831737395</v>
      </c>
      <c r="F53" s="118">
        <f t="shared" si="5"/>
        <v>14852379.47734062</v>
      </c>
      <c r="G53" s="118">
        <f t="shared" si="5"/>
        <v>15485052.601221461</v>
      </c>
      <c r="I53" s="53"/>
      <c r="J53" s="53"/>
      <c r="K53" s="53"/>
      <c r="L53" s="53"/>
      <c r="M53" s="53"/>
      <c r="N53" s="53"/>
      <c r="O53" s="53"/>
      <c r="P53" s="53"/>
      <c r="Q53" s="53"/>
    </row>
    <row r="54" spans="1:17" s="124" customFormat="1">
      <c r="A54" s="117" t="s">
        <v>24</v>
      </c>
      <c r="B54" s="118">
        <f t="shared" si="5"/>
        <v>21241842.705231309</v>
      </c>
      <c r="C54" s="118">
        <f t="shared" si="5"/>
        <v>22359589.367629379</v>
      </c>
      <c r="D54" s="118">
        <f t="shared" si="5"/>
        <v>23585786.764109902</v>
      </c>
      <c r="E54" s="118">
        <f t="shared" si="5"/>
        <v>24848630.863272291</v>
      </c>
      <c r="F54" s="118">
        <f t="shared" si="5"/>
        <v>26131774.002068948</v>
      </c>
      <c r="G54" s="118">
        <f t="shared" si="5"/>
        <v>27435029.984549403</v>
      </c>
      <c r="I54" s="53"/>
      <c r="J54" s="53"/>
      <c r="K54" s="53"/>
      <c r="L54" s="53"/>
      <c r="M54" s="53"/>
      <c r="N54" s="53"/>
      <c r="O54" s="53"/>
      <c r="P54" s="53"/>
      <c r="Q54" s="53"/>
    </row>
    <row r="55" spans="1:17" s="124" customFormat="1">
      <c r="A55" s="119" t="s">
        <v>31</v>
      </c>
      <c r="B55" s="120">
        <f t="shared" si="5"/>
        <v>11717998.810703242</v>
      </c>
      <c r="C55" s="120">
        <f t="shared" si="5"/>
        <v>12277780.491156485</v>
      </c>
      <c r="D55" s="120">
        <f t="shared" si="5"/>
        <v>12886556.846472787</v>
      </c>
      <c r="E55" s="120">
        <f t="shared" si="5"/>
        <v>13508454.358240882</v>
      </c>
      <c r="F55" s="120">
        <f t="shared" si="5"/>
        <v>14135921.541674029</v>
      </c>
      <c r="G55" s="120">
        <f t="shared" si="5"/>
        <v>14768707.344031939</v>
      </c>
      <c r="I55" s="53"/>
      <c r="J55" s="53"/>
      <c r="K55" s="53"/>
      <c r="L55" s="53"/>
      <c r="M55" s="53"/>
      <c r="N55" s="53"/>
      <c r="O55" s="53"/>
      <c r="P55" s="53"/>
      <c r="Q55" s="53"/>
    </row>
    <row r="56" spans="1:17" s="124" customFormat="1">
      <c r="A56" s="119"/>
      <c r="B56" s="120"/>
      <c r="C56" s="120"/>
      <c r="D56" s="120"/>
      <c r="E56" s="120"/>
      <c r="F56" s="120"/>
      <c r="G56" s="120"/>
      <c r="I56" s="53"/>
      <c r="J56" s="53"/>
      <c r="K56" s="53"/>
      <c r="L56" s="53"/>
      <c r="M56" s="53"/>
      <c r="N56" s="53"/>
      <c r="O56" s="53"/>
      <c r="P56" s="53"/>
      <c r="Q56" s="53"/>
    </row>
    <row r="57" spans="1:17" s="124" customFormat="1" ht="15">
      <c r="A57" s="13"/>
      <c r="B57" s="14"/>
      <c r="C57" s="14"/>
      <c r="D57" s="14"/>
      <c r="E57" s="14"/>
      <c r="F57" s="14"/>
      <c r="G57" s="14"/>
      <c r="I57" s="53"/>
      <c r="J57" s="53"/>
      <c r="K57" s="53"/>
      <c r="L57" s="53"/>
      <c r="M57" s="53"/>
      <c r="N57" s="53"/>
      <c r="O57" s="53"/>
      <c r="P57" s="53"/>
      <c r="Q57" s="53"/>
    </row>
    <row r="58" spans="1:17" s="124" customFormat="1">
      <c r="I58" s="53"/>
      <c r="J58" s="53"/>
      <c r="K58" s="53"/>
      <c r="L58" s="53"/>
      <c r="M58" s="53"/>
      <c r="N58" s="53"/>
      <c r="O58" s="53"/>
      <c r="P58" s="53"/>
      <c r="Q58" s="53"/>
    </row>
    <row r="59" spans="1:17" s="124" customFormat="1" ht="15">
      <c r="A59" s="24" t="s">
        <v>173</v>
      </c>
      <c r="B59" s="25">
        <f t="shared" ref="B59:G59" si="6">SUM(B51:B52)</f>
        <v>891356839.62187541</v>
      </c>
      <c r="C59" s="25">
        <f t="shared" si="6"/>
        <v>931683060.36637187</v>
      </c>
      <c r="D59" s="25">
        <f t="shared" si="6"/>
        <v>975767663.61756718</v>
      </c>
      <c r="E59" s="25">
        <f t="shared" si="6"/>
        <v>1020982138.3359801</v>
      </c>
      <c r="F59" s="25">
        <f t="shared" si="6"/>
        <v>1066702195.3973668</v>
      </c>
      <c r="G59" s="25">
        <f t="shared" si="6"/>
        <v>1112936045.1138899</v>
      </c>
      <c r="I59" s="53"/>
      <c r="J59" s="53"/>
      <c r="K59" s="53"/>
      <c r="L59" s="53"/>
      <c r="M59" s="53"/>
      <c r="N59" s="53"/>
      <c r="O59" s="53"/>
      <c r="P59" s="53"/>
      <c r="Q59" s="53"/>
    </row>
    <row r="60" spans="1:17" s="124" customFormat="1" ht="15">
      <c r="A60" s="24" t="s">
        <v>174</v>
      </c>
      <c r="B60" s="25">
        <f t="shared" ref="B60:G60" si="7">SUM(B53:B55)</f>
        <v>45397128.57397306</v>
      </c>
      <c r="C60" s="25">
        <f t="shared" si="7"/>
        <v>47640075.14626427</v>
      </c>
      <c r="D60" s="25">
        <f t="shared" si="7"/>
        <v>50082601.786475204</v>
      </c>
      <c r="E60" s="25">
        <f t="shared" si="7"/>
        <v>52584217.053250566</v>
      </c>
      <c r="F60" s="25">
        <f t="shared" si="7"/>
        <v>55120075.021083593</v>
      </c>
      <c r="G60" s="25">
        <f t="shared" si="7"/>
        <v>57688789.929802798</v>
      </c>
      <c r="I60" s="53"/>
      <c r="J60" s="53"/>
      <c r="K60" s="53"/>
      <c r="L60" s="53"/>
      <c r="M60" s="53"/>
      <c r="N60" s="53"/>
      <c r="O60" s="53"/>
      <c r="P60" s="53"/>
      <c r="Q60" s="53"/>
    </row>
    <row r="61" spans="1:17" s="124" customFormat="1" ht="15">
      <c r="A61" s="26" t="s">
        <v>175</v>
      </c>
      <c r="B61" s="25">
        <f t="shared" ref="B61:G61" si="8">B59+B60</f>
        <v>936753968.19584846</v>
      </c>
      <c r="C61" s="25">
        <f t="shared" si="8"/>
        <v>979323135.51263618</v>
      </c>
      <c r="D61" s="25">
        <f t="shared" si="8"/>
        <v>1025850265.4040424</v>
      </c>
      <c r="E61" s="25">
        <f t="shared" si="8"/>
        <v>1073566355.3892306</v>
      </c>
      <c r="F61" s="25">
        <f t="shared" si="8"/>
        <v>1121822270.4184504</v>
      </c>
      <c r="G61" s="25">
        <f t="shared" si="8"/>
        <v>1170624835.0436928</v>
      </c>
      <c r="I61" s="53"/>
      <c r="J61" s="53"/>
      <c r="K61" s="53"/>
      <c r="L61" s="53"/>
      <c r="M61" s="53"/>
      <c r="N61" s="53"/>
      <c r="O61" s="53"/>
      <c r="P61" s="53"/>
      <c r="Q61" s="53"/>
    </row>
    <row r="62" spans="1:17" s="124" customFormat="1">
      <c r="I62" s="53"/>
      <c r="J62" s="53"/>
      <c r="K62" s="53"/>
      <c r="L62" s="53"/>
      <c r="M62" s="53"/>
      <c r="N62" s="53"/>
      <c r="O62" s="53"/>
      <c r="P62" s="53"/>
      <c r="Q62" s="53"/>
    </row>
    <row r="63" spans="1:17" s="124" customFormat="1" ht="15">
      <c r="A63" s="27" t="s">
        <v>21</v>
      </c>
      <c r="B63" s="7" t="s">
        <v>154</v>
      </c>
      <c r="C63" s="8" t="s">
        <v>155</v>
      </c>
      <c r="D63" s="8" t="s">
        <v>156</v>
      </c>
      <c r="E63" s="8" t="s">
        <v>157</v>
      </c>
      <c r="F63" s="8" t="s">
        <v>158</v>
      </c>
      <c r="G63" s="8" t="s">
        <v>159</v>
      </c>
      <c r="I63" s="53"/>
      <c r="J63" s="53"/>
      <c r="K63" s="53"/>
      <c r="L63" s="53"/>
      <c r="M63" s="53"/>
      <c r="N63" s="53"/>
      <c r="O63" s="53"/>
      <c r="P63" s="53"/>
      <c r="Q63" s="53"/>
    </row>
    <row r="64" spans="1:17" s="124" customFormat="1">
      <c r="A64" s="119" t="s">
        <v>47</v>
      </c>
      <c r="C64" s="129">
        <f>C51-B51</f>
        <v>37899263.387251973</v>
      </c>
      <c r="D64" s="129">
        <f t="shared" ref="C64:G65" si="9">D51-C51</f>
        <v>41433010.447190046</v>
      </c>
      <c r="E64" s="129">
        <f t="shared" si="9"/>
        <v>42496017.709319711</v>
      </c>
      <c r="F64" s="129">
        <f t="shared" si="9"/>
        <v>42971609.555359721</v>
      </c>
      <c r="G64" s="129">
        <f t="shared" si="9"/>
        <v>43455148.722679377</v>
      </c>
      <c r="I64" s="53"/>
      <c r="J64" s="53"/>
      <c r="K64" s="53"/>
      <c r="L64" s="53"/>
      <c r="M64" s="53"/>
      <c r="N64" s="53"/>
      <c r="O64" s="53"/>
      <c r="P64" s="53"/>
      <c r="Q64" s="53"/>
    </row>
    <row r="65" spans="1:17" s="124" customFormat="1">
      <c r="A65" s="119" t="s">
        <v>48</v>
      </c>
      <c r="C65" s="129">
        <f t="shared" si="9"/>
        <v>2426957.3572445214</v>
      </c>
      <c r="D65" s="129">
        <f t="shared" si="9"/>
        <v>2651592.8040052056</v>
      </c>
      <c r="E65" s="129">
        <f t="shared" si="9"/>
        <v>2718457.0090931654</v>
      </c>
      <c r="F65" s="129">
        <f t="shared" si="9"/>
        <v>2748447.5060270354</v>
      </c>
      <c r="G65" s="129">
        <f t="shared" si="9"/>
        <v>2778700.993843846</v>
      </c>
      <c r="I65" s="53"/>
      <c r="J65" s="53"/>
      <c r="K65" s="53"/>
      <c r="L65" s="53"/>
      <c r="M65" s="53"/>
      <c r="N65" s="53"/>
      <c r="O65" s="53"/>
      <c r="P65" s="53"/>
      <c r="Q65" s="53"/>
    </row>
    <row r="66" spans="1:17" s="124" customFormat="1">
      <c r="I66" s="53"/>
      <c r="J66" s="53"/>
      <c r="K66" s="53"/>
      <c r="L66" s="53"/>
      <c r="M66" s="53"/>
      <c r="N66" s="53"/>
      <c r="O66" s="53"/>
      <c r="P66" s="53"/>
      <c r="Q66" s="53"/>
    </row>
    <row r="67" spans="1:17" s="124" customFormat="1" ht="15">
      <c r="A67" s="24" t="s">
        <v>176</v>
      </c>
      <c r="C67" s="25">
        <f>SUM(C64:C65)</f>
        <v>40326220.744496495</v>
      </c>
      <c r="D67" s="25">
        <f>SUM(D64:D65)</f>
        <v>44084603.251195252</v>
      </c>
      <c r="E67" s="25">
        <f>SUM(E64:E65)</f>
        <v>45214474.718412876</v>
      </c>
      <c r="F67" s="25">
        <f>SUM(F64:F65)</f>
        <v>45720057.061386757</v>
      </c>
      <c r="G67" s="25">
        <f>SUM(G64:G65)</f>
        <v>46233849.716523223</v>
      </c>
      <c r="I67" s="53"/>
      <c r="J67" s="53"/>
      <c r="K67" s="53"/>
      <c r="L67" s="53"/>
      <c r="M67" s="53"/>
      <c r="N67" s="53"/>
      <c r="O67" s="53"/>
      <c r="P67" s="53"/>
      <c r="Q67" s="53"/>
    </row>
    <row r="68" spans="1:17" s="124" customFormat="1">
      <c r="I68" s="53"/>
      <c r="J68" s="53"/>
      <c r="K68" s="53"/>
      <c r="L68" s="53"/>
      <c r="M68" s="53"/>
      <c r="N68" s="53"/>
      <c r="O68" s="53"/>
      <c r="P68" s="53"/>
      <c r="Q68" s="53"/>
    </row>
    <row r="69" spans="1:17" s="124" customFormat="1"/>
    <row r="70" spans="1:17" s="124" customFormat="1" ht="15">
      <c r="A70" s="1" t="s">
        <v>177</v>
      </c>
    </row>
    <row r="71" spans="1:17" s="124" customFormat="1" ht="15">
      <c r="A71" s="2" t="s">
        <v>147</v>
      </c>
      <c r="B71" s="3" t="s">
        <v>29</v>
      </c>
    </row>
    <row r="72" spans="1:17" s="124" customFormat="1">
      <c r="A72" s="113" t="s">
        <v>178</v>
      </c>
      <c r="B72" s="114">
        <v>0.99141420000000002</v>
      </c>
    </row>
    <row r="73" spans="1:17" s="124" customFormat="1">
      <c r="A73" s="113" t="s">
        <v>32</v>
      </c>
      <c r="B73" s="114">
        <v>-2.3975780000000002</v>
      </c>
    </row>
    <row r="74" spans="1:17" s="124" customFormat="1"/>
    <row r="75" spans="1:17" s="124" customFormat="1"/>
    <row r="76" spans="1:17" s="124" customFormat="1" ht="15">
      <c r="A76" s="1" t="s">
        <v>179</v>
      </c>
    </row>
    <row r="77" spans="1:17" s="124" customFormat="1" ht="15">
      <c r="A77" s="1"/>
      <c r="B77" s="110"/>
      <c r="C77" s="110"/>
      <c r="D77" s="110"/>
      <c r="E77" s="110"/>
      <c r="F77" s="110"/>
      <c r="G77" s="110"/>
    </row>
    <row r="78" spans="1:17" s="124" customFormat="1" ht="15">
      <c r="A78" s="6"/>
      <c r="B78" s="110"/>
      <c r="C78" s="28"/>
      <c r="D78" s="28"/>
      <c r="E78" s="28"/>
      <c r="F78" s="28"/>
      <c r="G78" s="28"/>
    </row>
    <row r="79" spans="1:17" s="124" customFormat="1" ht="15">
      <c r="A79" s="12" t="s">
        <v>180</v>
      </c>
      <c r="B79" s="110"/>
      <c r="C79" s="28"/>
      <c r="D79" s="28"/>
      <c r="E79" s="28"/>
      <c r="F79" s="28"/>
      <c r="G79" s="28"/>
    </row>
    <row r="80" spans="1:17" s="124" customFormat="1" ht="15">
      <c r="A80" s="28" t="s">
        <v>164</v>
      </c>
      <c r="B80" s="7" t="s">
        <v>154</v>
      </c>
      <c r="C80" s="8" t="s">
        <v>155</v>
      </c>
      <c r="D80" s="8" t="s">
        <v>156</v>
      </c>
      <c r="E80" s="8" t="s">
        <v>157</v>
      </c>
      <c r="F80" s="8" t="s">
        <v>158</v>
      </c>
      <c r="G80" s="8" t="s">
        <v>159</v>
      </c>
    </row>
    <row r="81" spans="1:7" s="124" customFormat="1">
      <c r="A81" s="117" t="s">
        <v>181</v>
      </c>
      <c r="B81" s="118">
        <f t="shared" ref="B81:G81" si="10">EXP($B$73+$B$72*LN(C15))</f>
        <v>308694.48474597262</v>
      </c>
      <c r="C81" s="118">
        <f t="shared" si="10"/>
        <v>321990.89247682045</v>
      </c>
      <c r="D81" s="118">
        <f t="shared" si="10"/>
        <v>335686.430742272</v>
      </c>
      <c r="E81" s="118">
        <f t="shared" si="10"/>
        <v>349253.81662559649</v>
      </c>
      <c r="F81" s="118">
        <f t="shared" si="10"/>
        <v>363130.93778590293</v>
      </c>
      <c r="G81" s="118">
        <f t="shared" si="10"/>
        <v>377236.10907423554</v>
      </c>
    </row>
    <row r="82" spans="1:7" s="124" customFormat="1">
      <c r="A82" s="117" t="s">
        <v>182</v>
      </c>
      <c r="B82" s="130">
        <f t="shared" ref="B82:G82" si="11">B81/C15</f>
        <v>7.983393005798696E-2</v>
      </c>
      <c r="C82" s="130">
        <f t="shared" si="11"/>
        <v>7.9804779306547391E-2</v>
      </c>
      <c r="D82" s="130">
        <f t="shared" si="11"/>
        <v>7.977599636167948E-2</v>
      </c>
      <c r="E82" s="130">
        <f t="shared" si="11"/>
        <v>7.9748627693813509E-2</v>
      </c>
      <c r="F82" s="130">
        <f t="shared" si="11"/>
        <v>7.9721721932798223E-2</v>
      </c>
      <c r="G82" s="130">
        <f t="shared" si="11"/>
        <v>7.9695416559168467E-2</v>
      </c>
    </row>
    <row r="83" spans="1:7" s="124" customFormat="1"/>
    <row r="84" spans="1:7" s="124" customFormat="1"/>
    <row r="85" spans="1:7" s="124" customFormat="1"/>
    <row r="86" spans="1:7" s="124" customFormat="1"/>
    <row r="87" spans="1:7" s="124" customFormat="1"/>
    <row r="88" spans="1:7" s="124" customFormat="1"/>
    <row r="89" spans="1:7" s="124" customFormat="1"/>
    <row r="90" spans="1:7" s="124" customFormat="1"/>
    <row r="91" spans="1:7" s="124" customFormat="1"/>
    <row r="92" spans="1:7" s="124" customFormat="1"/>
    <row r="93" spans="1:7" s="124" customFormat="1"/>
  </sheetData>
  <sheetProtection password="CCC5" sheet="1" objects="1" scenarios="1"/>
  <mergeCells count="3">
    <mergeCell ref="A12:A13"/>
    <mergeCell ref="B12:B13"/>
    <mergeCell ref="D12:H12"/>
  </mergeCells>
  <pageMargins left="0.55118110236220474" right="0.55118110236220474" top="0.62992125984251968" bottom="0.6692913385826772" header="0" footer="0"/>
  <pageSetup scale="85" fitToWidth="2" fitToHeight="2" orientation="landscape" r:id="rId1"/>
  <headerFooter alignWithMargins="0">
    <oddFooter>&amp;C&amp;A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B2:Q125"/>
  <sheetViews>
    <sheetView zoomScaleNormal="100" workbookViewId="0">
      <selection activeCell="G28" sqref="G28"/>
    </sheetView>
  </sheetViews>
  <sheetFormatPr baseColWidth="10" defaultRowHeight="12.75"/>
  <cols>
    <col min="1" max="1" width="3.7109375" style="53" customWidth="1"/>
    <col min="2" max="2" width="23" style="53" bestFit="1" customWidth="1"/>
    <col min="3" max="3" width="6" style="53" customWidth="1"/>
    <col min="4" max="8" width="18.5703125" style="53" bestFit="1" customWidth="1"/>
    <col min="9" max="9" width="17.7109375" style="53" customWidth="1"/>
    <col min="10" max="10" width="10.85546875" style="53" customWidth="1"/>
    <col min="11" max="11" width="87.85546875" style="53" customWidth="1"/>
    <col min="12" max="12" width="11.42578125" style="53"/>
    <col min="13" max="13" width="14.85546875" style="53" customWidth="1"/>
    <col min="14" max="14" width="17.140625" style="53" customWidth="1"/>
    <col min="15" max="15" width="18.140625" style="53" customWidth="1"/>
    <col min="16" max="16" width="11.42578125" style="53"/>
    <col min="17" max="17" width="15.140625" style="53" bestFit="1" customWidth="1"/>
    <col min="18" max="16384" width="11.42578125" style="53"/>
  </cols>
  <sheetData>
    <row r="2" spans="2:16" ht="18.75">
      <c r="B2" s="131" t="s">
        <v>113</v>
      </c>
      <c r="D2" s="56"/>
    </row>
    <row r="4" spans="2:16" ht="15.75">
      <c r="B4" s="57" t="s">
        <v>21</v>
      </c>
    </row>
    <row r="5" spans="2:16">
      <c r="B5" s="53" t="s">
        <v>84</v>
      </c>
    </row>
    <row r="6" spans="2:16" ht="16.5" thickBot="1">
      <c r="C6" s="57"/>
    </row>
    <row r="7" spans="2:16">
      <c r="B7" s="79"/>
      <c r="C7" s="79"/>
      <c r="D7" s="134" t="s">
        <v>141</v>
      </c>
      <c r="E7" s="134" t="s">
        <v>142</v>
      </c>
      <c r="F7" s="134" t="s">
        <v>143</v>
      </c>
      <c r="G7" s="134" t="s">
        <v>144</v>
      </c>
      <c r="H7" s="199" t="s">
        <v>70</v>
      </c>
      <c r="K7" s="326" t="s">
        <v>374</v>
      </c>
      <c r="L7" s="327"/>
      <c r="M7" s="327"/>
      <c r="N7" s="327"/>
      <c r="O7" s="327"/>
      <c r="P7" s="328"/>
    </row>
    <row r="8" spans="2:16">
      <c r="B8" s="200"/>
      <c r="C8" s="201"/>
      <c r="D8" s="60" t="s">
        <v>136</v>
      </c>
      <c r="E8" s="60" t="s">
        <v>136</v>
      </c>
      <c r="F8" s="60" t="s">
        <v>136</v>
      </c>
      <c r="G8" s="60" t="s">
        <v>136</v>
      </c>
      <c r="H8" s="60" t="s">
        <v>136</v>
      </c>
      <c r="K8" s="347" t="s">
        <v>110</v>
      </c>
      <c r="L8" s="348" t="s">
        <v>186</v>
      </c>
      <c r="M8" s="348">
        <v>2015</v>
      </c>
      <c r="N8" s="348">
        <v>2016</v>
      </c>
      <c r="O8" s="348">
        <v>2017</v>
      </c>
      <c r="P8" s="346" t="s">
        <v>187</v>
      </c>
    </row>
    <row r="9" spans="2:16">
      <c r="B9" s="202"/>
      <c r="C9" s="180"/>
      <c r="D9" s="62"/>
      <c r="E9" s="62"/>
      <c r="F9" s="62"/>
      <c r="G9" s="62"/>
      <c r="H9" s="200"/>
      <c r="K9" s="335"/>
      <c r="L9" s="337"/>
      <c r="M9" s="337"/>
      <c r="N9" s="337"/>
      <c r="O9" s="337"/>
      <c r="P9" s="333"/>
    </row>
    <row r="10" spans="2:16">
      <c r="B10" s="202" t="s">
        <v>49</v>
      </c>
      <c r="C10" s="180" t="s">
        <v>47</v>
      </c>
      <c r="D10" s="203">
        <f>(REGRESIONES!D64)/1000+D22+D23+D24</f>
        <v>77296.840209690054</v>
      </c>
      <c r="E10" s="203">
        <f>(REGRESIONES!E64)/1000+E22+E23+E24</f>
        <v>82776.139929319717</v>
      </c>
      <c r="F10" s="203">
        <f>(REGRESIONES!F64)/1000+F22+F23+F24</f>
        <v>71337.79120285972</v>
      </c>
      <c r="G10" s="203">
        <f>(REGRESIONES!G64)/1000+G22+G23+G24</f>
        <v>61625.454652679378</v>
      </c>
      <c r="H10" s="203">
        <f>SUM(D10:G10)</f>
        <v>293036.22599454888</v>
      </c>
      <c r="K10" s="32" t="s">
        <v>119</v>
      </c>
      <c r="L10" s="44">
        <v>2000</v>
      </c>
      <c r="M10" s="44">
        <v>3000</v>
      </c>
      <c r="N10" s="44">
        <v>0</v>
      </c>
      <c r="O10" s="44">
        <v>0</v>
      </c>
      <c r="P10" s="45">
        <v>0</v>
      </c>
    </row>
    <row r="11" spans="2:16" ht="13.5" customHeight="1">
      <c r="B11" s="202" t="s">
        <v>43</v>
      </c>
      <c r="C11" s="180" t="s">
        <v>48</v>
      </c>
      <c r="D11" s="203">
        <f>(REGRESIONES!D65)/1000</f>
        <v>2651.5928040052058</v>
      </c>
      <c r="E11" s="203">
        <f>(REGRESIONES!E65)/1000</f>
        <v>2718.4570090931652</v>
      </c>
      <c r="F11" s="203">
        <f>(REGRESIONES!F65)/1000</f>
        <v>2748.4475060270356</v>
      </c>
      <c r="G11" s="203">
        <f>(REGRESIONES!G65)/1000</f>
        <v>2778.7009938438459</v>
      </c>
      <c r="H11" s="203">
        <f>SUM(D11:G11)</f>
        <v>10897.198312969253</v>
      </c>
      <c r="K11" s="32" t="s">
        <v>200</v>
      </c>
      <c r="L11" s="44">
        <v>0</v>
      </c>
      <c r="M11" s="44">
        <v>9800</v>
      </c>
      <c r="N11" s="44">
        <v>0</v>
      </c>
      <c r="O11" s="44">
        <v>0</v>
      </c>
      <c r="P11" s="45">
        <v>0</v>
      </c>
    </row>
    <row r="12" spans="2:16">
      <c r="B12" s="202" t="s">
        <v>85</v>
      </c>
      <c r="C12" s="202" t="s">
        <v>62</v>
      </c>
      <c r="D12" s="203">
        <f>D32</f>
        <v>6249.9860000000008</v>
      </c>
      <c r="E12" s="203">
        <f>E32</f>
        <v>3728.2334999999998</v>
      </c>
      <c r="F12" s="203">
        <f>F32</f>
        <v>4274.8074999999999</v>
      </c>
      <c r="G12" s="203">
        <f>G32</f>
        <v>5340</v>
      </c>
      <c r="H12" s="203">
        <f>SUM(D12:G12)</f>
        <v>19593.027000000002</v>
      </c>
      <c r="K12" s="288" t="s">
        <v>120</v>
      </c>
      <c r="L12" s="46">
        <v>0</v>
      </c>
      <c r="M12" s="46">
        <v>0</v>
      </c>
      <c r="N12" s="46">
        <v>0</v>
      </c>
      <c r="O12" s="46">
        <v>1000</v>
      </c>
      <c r="P12" s="47">
        <v>3500</v>
      </c>
    </row>
    <row r="13" spans="2:16">
      <c r="B13" s="142"/>
      <c r="C13" s="180"/>
      <c r="D13" s="143"/>
      <c r="E13" s="143"/>
      <c r="F13" s="143"/>
      <c r="G13" s="143"/>
      <c r="H13" s="204"/>
      <c r="K13" s="288" t="s">
        <v>121</v>
      </c>
      <c r="L13" s="46">
        <v>0</v>
      </c>
      <c r="M13" s="46">
        <v>0</v>
      </c>
      <c r="N13" s="46">
        <v>7500</v>
      </c>
      <c r="O13" s="46">
        <v>0</v>
      </c>
      <c r="P13" s="47">
        <v>0</v>
      </c>
    </row>
    <row r="14" spans="2:16">
      <c r="B14" s="205" t="s">
        <v>22</v>
      </c>
      <c r="C14" s="73"/>
      <c r="D14" s="206">
        <f>+D10+D11+D12</f>
        <v>86198.419013695267</v>
      </c>
      <c r="E14" s="207">
        <f>+E10+E11+E12</f>
        <v>89222.830438412886</v>
      </c>
      <c r="F14" s="207">
        <f>+F10+F11+F12</f>
        <v>78361.04620888675</v>
      </c>
      <c r="G14" s="206">
        <f>+G10+G11+G12</f>
        <v>69744.155646523228</v>
      </c>
      <c r="H14" s="208">
        <f>SUM(D14:G14)</f>
        <v>323526.45130751817</v>
      </c>
      <c r="K14" s="288" t="s">
        <v>201</v>
      </c>
      <c r="L14" s="46">
        <v>0</v>
      </c>
      <c r="M14" s="46">
        <v>1500</v>
      </c>
      <c r="N14" s="46">
        <v>500</v>
      </c>
      <c r="O14" s="46">
        <v>5200</v>
      </c>
      <c r="P14" s="47">
        <v>0</v>
      </c>
    </row>
    <row r="15" spans="2:16">
      <c r="B15" s="52"/>
      <c r="C15" s="52"/>
      <c r="E15" s="72"/>
      <c r="F15" s="72"/>
      <c r="G15" s="72"/>
      <c r="H15" s="72"/>
      <c r="K15" s="288" t="s">
        <v>202</v>
      </c>
      <c r="L15" s="46">
        <v>0</v>
      </c>
      <c r="M15" s="46">
        <v>0</v>
      </c>
      <c r="N15" s="46">
        <v>2000</v>
      </c>
      <c r="O15" s="46">
        <v>3000</v>
      </c>
      <c r="P15" s="47">
        <v>0</v>
      </c>
    </row>
    <row r="16" spans="2:16" ht="18.75">
      <c r="B16" s="56"/>
      <c r="D16" s="209"/>
      <c r="E16" s="209"/>
      <c r="F16" s="209"/>
      <c r="G16" s="209"/>
      <c r="H16" s="209"/>
      <c r="K16" s="288" t="s">
        <v>203</v>
      </c>
      <c r="L16" s="46">
        <v>500</v>
      </c>
      <c r="M16" s="46">
        <v>4000</v>
      </c>
      <c r="N16" s="46">
        <v>2000</v>
      </c>
      <c r="O16" s="46">
        <v>0</v>
      </c>
      <c r="P16" s="47">
        <v>0</v>
      </c>
    </row>
    <row r="17" spans="2:17" ht="17.25" customHeight="1" thickBot="1">
      <c r="D17" s="210"/>
      <c r="E17" s="210"/>
      <c r="F17" s="210"/>
      <c r="G17" s="210"/>
      <c r="H17" s="210"/>
      <c r="I17" s="210"/>
      <c r="K17" s="288" t="s">
        <v>204</v>
      </c>
      <c r="L17" s="46">
        <v>0</v>
      </c>
      <c r="M17" s="46"/>
      <c r="N17" s="46"/>
      <c r="O17" s="46">
        <v>0</v>
      </c>
      <c r="P17" s="47">
        <v>1000</v>
      </c>
    </row>
    <row r="18" spans="2:17">
      <c r="B18" s="326" t="s">
        <v>377</v>
      </c>
      <c r="C18" s="327"/>
      <c r="D18" s="327"/>
      <c r="E18" s="327"/>
      <c r="F18" s="327"/>
      <c r="G18" s="327"/>
      <c r="H18" s="328"/>
      <c r="I18" s="210"/>
      <c r="K18" s="288" t="s">
        <v>205</v>
      </c>
      <c r="L18" s="46">
        <v>0</v>
      </c>
      <c r="M18" s="46">
        <v>1000</v>
      </c>
      <c r="N18" s="46">
        <v>7500</v>
      </c>
      <c r="O18" s="46">
        <v>0</v>
      </c>
      <c r="P18" s="47">
        <v>0</v>
      </c>
    </row>
    <row r="19" spans="2:17">
      <c r="B19" s="211"/>
      <c r="C19" s="69"/>
      <c r="D19" s="134" t="s">
        <v>141</v>
      </c>
      <c r="E19" s="134" t="s">
        <v>142</v>
      </c>
      <c r="F19" s="134" t="s">
        <v>143</v>
      </c>
      <c r="G19" s="134" t="s">
        <v>144</v>
      </c>
      <c r="H19" s="212" t="s">
        <v>70</v>
      </c>
      <c r="I19" s="213"/>
      <c r="K19" s="288" t="s">
        <v>206</v>
      </c>
      <c r="L19" s="46">
        <v>600</v>
      </c>
      <c r="M19" s="46">
        <v>6000</v>
      </c>
      <c r="N19" s="46">
        <v>0</v>
      </c>
      <c r="O19" s="46">
        <v>0</v>
      </c>
      <c r="P19" s="47">
        <v>0</v>
      </c>
    </row>
    <row r="20" spans="2:17">
      <c r="B20" s="211"/>
      <c r="C20" s="69"/>
      <c r="D20" s="60" t="s">
        <v>136</v>
      </c>
      <c r="E20" s="60" t="s">
        <v>136</v>
      </c>
      <c r="F20" s="60" t="s">
        <v>136</v>
      </c>
      <c r="G20" s="60" t="s">
        <v>136</v>
      </c>
      <c r="H20" s="60" t="s">
        <v>136</v>
      </c>
      <c r="I20" s="213"/>
      <c r="K20" s="288" t="s">
        <v>207</v>
      </c>
      <c r="L20" s="46">
        <v>0</v>
      </c>
      <c r="M20" s="46">
        <v>1000</v>
      </c>
      <c r="N20" s="46">
        <v>2500</v>
      </c>
      <c r="O20" s="46">
        <v>0</v>
      </c>
      <c r="P20" s="47">
        <v>0</v>
      </c>
    </row>
    <row r="21" spans="2:17">
      <c r="B21" s="211"/>
      <c r="C21" s="69"/>
      <c r="D21" s="69"/>
      <c r="E21" s="69"/>
      <c r="F21" s="69"/>
      <c r="G21" s="69"/>
      <c r="H21" s="214"/>
      <c r="I21" s="72"/>
      <c r="K21" s="288" t="s">
        <v>208</v>
      </c>
      <c r="L21" s="46">
        <v>2500</v>
      </c>
      <c r="M21" s="46">
        <v>0</v>
      </c>
      <c r="N21" s="46">
        <v>0</v>
      </c>
      <c r="O21" s="46">
        <v>0</v>
      </c>
      <c r="P21" s="47">
        <v>0</v>
      </c>
    </row>
    <row r="22" spans="2:17">
      <c r="B22" s="276" t="s">
        <v>373</v>
      </c>
      <c r="C22" s="277" t="s">
        <v>47</v>
      </c>
      <c r="D22" s="278">
        <f>L24+M24/2</f>
        <v>20370</v>
      </c>
      <c r="E22" s="278">
        <f>(M24+N24)/2</f>
        <v>25770</v>
      </c>
      <c r="F22" s="278">
        <f>(N24+O24)/2</f>
        <v>17600</v>
      </c>
      <c r="G22" s="278">
        <f>O24/2+P24</f>
        <v>15100</v>
      </c>
      <c r="H22" s="279">
        <f>SUM(D22:G22)</f>
        <v>78840</v>
      </c>
      <c r="I22" s="76"/>
      <c r="K22" s="288" t="s">
        <v>209</v>
      </c>
      <c r="L22" s="46">
        <v>0</v>
      </c>
      <c r="M22" s="46">
        <v>0</v>
      </c>
      <c r="N22" s="46">
        <v>0</v>
      </c>
      <c r="O22" s="46">
        <v>4000</v>
      </c>
      <c r="P22" s="47">
        <v>4000</v>
      </c>
    </row>
    <row r="23" spans="2:17">
      <c r="B23" s="280" t="s">
        <v>211</v>
      </c>
      <c r="C23" s="281" t="s">
        <v>47</v>
      </c>
      <c r="D23" s="282">
        <f>+L40+M40/2</f>
        <v>14758.323947500001</v>
      </c>
      <c r="E23" s="282">
        <f>+(M40+N40)/2</f>
        <v>13538.074395</v>
      </c>
      <c r="F23" s="282">
        <f>+(N40+O40)/2</f>
        <v>9848.3729325000004</v>
      </c>
      <c r="G23" s="282">
        <f>+O40/2+P40</f>
        <v>2209.2854850000003</v>
      </c>
      <c r="H23" s="283">
        <f>SUM(D23:G23)</f>
        <v>40354.056759999999</v>
      </c>
      <c r="I23" s="213"/>
      <c r="J23" s="215"/>
      <c r="K23" s="288" t="s">
        <v>210</v>
      </c>
      <c r="L23" s="46">
        <v>0</v>
      </c>
      <c r="M23" s="46">
        <v>3240</v>
      </c>
      <c r="N23" s="46">
        <v>0</v>
      </c>
      <c r="O23" s="46">
        <v>0</v>
      </c>
      <c r="P23" s="47">
        <v>0</v>
      </c>
    </row>
    <row r="24" spans="2:17" ht="13.5" thickBot="1">
      <c r="B24" s="284" t="s">
        <v>212</v>
      </c>
      <c r="C24" s="285" t="s">
        <v>47</v>
      </c>
      <c r="D24" s="286">
        <f>(SUM(Q66:Q73)+SUM(Q74:Q92)/2)/1000</f>
        <v>735.50581499999998</v>
      </c>
      <c r="E24" s="286">
        <f>+(SUM(Q74:Q92)/2+SUM(Q93:Q108)/2)/1000</f>
        <v>972.04782499999999</v>
      </c>
      <c r="F24" s="286">
        <f>+(SUM(Q93:Q108)/2+SUM(Q109:Q118)/2)/1000</f>
        <v>917.80871500000012</v>
      </c>
      <c r="G24" s="286">
        <f>+(SUM(Q109:Q118)/2+SUM(Q119:Q122))/1000</f>
        <v>861.02044500000011</v>
      </c>
      <c r="H24" s="287">
        <f>SUM(D24:G24)</f>
        <v>3486.3828000000003</v>
      </c>
      <c r="I24" s="216"/>
      <c r="K24" s="54" t="s">
        <v>26</v>
      </c>
      <c r="L24" s="48">
        <f>SUM(L10:L23)</f>
        <v>5600</v>
      </c>
      <c r="M24" s="48">
        <f>SUM(M10:M23)</f>
        <v>29540</v>
      </c>
      <c r="N24" s="48">
        <f>SUM(N10:N23)</f>
        <v>22000</v>
      </c>
      <c r="O24" s="48">
        <f>SUM(O10:O23)</f>
        <v>13200</v>
      </c>
      <c r="P24" s="49">
        <f>SUM(P10:P23)</f>
        <v>8500</v>
      </c>
    </row>
    <row r="25" spans="2:17" ht="13.5" thickBot="1">
      <c r="B25" s="338" t="s">
        <v>111</v>
      </c>
      <c r="C25" s="339"/>
      <c r="D25" s="339"/>
      <c r="E25" s="339"/>
      <c r="F25" s="339"/>
      <c r="G25" s="339"/>
      <c r="H25" s="340"/>
      <c r="I25" s="72"/>
      <c r="K25" s="50"/>
      <c r="L25" s="51"/>
      <c r="M25" s="51"/>
      <c r="N25" s="51"/>
      <c r="O25" s="51"/>
      <c r="P25" s="51"/>
    </row>
    <row r="26" spans="2:17" ht="13.5" thickBot="1">
      <c r="D26" s="210"/>
      <c r="E26" s="210"/>
      <c r="F26" s="210"/>
      <c r="G26" s="210"/>
      <c r="K26" s="329" t="s">
        <v>375</v>
      </c>
      <c r="L26" s="330"/>
      <c r="M26" s="330"/>
      <c r="N26" s="330"/>
      <c r="O26" s="330"/>
      <c r="P26" s="331"/>
    </row>
    <row r="27" spans="2:17" ht="15.75">
      <c r="B27" s="341"/>
      <c r="C27" s="342"/>
      <c r="D27" s="342"/>
      <c r="E27" s="342"/>
      <c r="F27" s="342"/>
      <c r="G27" s="342"/>
      <c r="H27" s="342"/>
      <c r="I27" s="52"/>
      <c r="K27" s="334" t="s">
        <v>110</v>
      </c>
      <c r="L27" s="336" t="s">
        <v>186</v>
      </c>
      <c r="M27" s="336">
        <v>2015</v>
      </c>
      <c r="N27" s="336">
        <v>2016</v>
      </c>
      <c r="O27" s="336">
        <v>2017</v>
      </c>
      <c r="P27" s="332" t="s">
        <v>187</v>
      </c>
      <c r="Q27" s="217"/>
    </row>
    <row r="28" spans="2:17" ht="15.75" thickBot="1">
      <c r="B28" s="218"/>
      <c r="C28" s="219"/>
      <c r="D28" s="219"/>
      <c r="E28" s="219"/>
      <c r="F28" s="219"/>
      <c r="G28" s="219"/>
      <c r="H28" s="219"/>
      <c r="I28" s="52"/>
      <c r="J28" s="220"/>
      <c r="K28" s="335"/>
      <c r="L28" s="337"/>
      <c r="M28" s="337"/>
      <c r="N28" s="337"/>
      <c r="O28" s="337"/>
      <c r="P28" s="333"/>
    </row>
    <row r="29" spans="2:17" ht="15">
      <c r="B29" s="221"/>
      <c r="C29" s="343" t="s">
        <v>112</v>
      </c>
      <c r="D29" s="344"/>
      <c r="E29" s="344"/>
      <c r="F29" s="344"/>
      <c r="G29" s="344"/>
      <c r="H29" s="345"/>
      <c r="I29" s="52"/>
      <c r="K29" s="32" t="s">
        <v>188</v>
      </c>
      <c r="L29" s="44">
        <v>5500</v>
      </c>
      <c r="M29" s="44">
        <v>5077.8768949999994</v>
      </c>
      <c r="N29" s="44">
        <v>5077.8768949999994</v>
      </c>
      <c r="O29" s="44">
        <v>0</v>
      </c>
      <c r="P29" s="45">
        <v>0</v>
      </c>
    </row>
    <row r="30" spans="2:17" ht="15" customHeight="1">
      <c r="B30" s="222"/>
      <c r="C30" s="223"/>
      <c r="D30" s="134" t="s">
        <v>141</v>
      </c>
      <c r="E30" s="134" t="s">
        <v>142</v>
      </c>
      <c r="F30" s="134" t="s">
        <v>143</v>
      </c>
      <c r="G30" s="134" t="s">
        <v>144</v>
      </c>
      <c r="H30" s="212" t="s">
        <v>70</v>
      </c>
      <c r="J30" s="52"/>
      <c r="K30" s="32" t="s">
        <v>189</v>
      </c>
      <c r="L30" s="44">
        <v>879.43700000000001</v>
      </c>
      <c r="M30" s="44">
        <v>879.43700000000001</v>
      </c>
      <c r="N30" s="44">
        <v>0</v>
      </c>
      <c r="O30" s="44">
        <v>0</v>
      </c>
      <c r="P30" s="45">
        <v>0</v>
      </c>
    </row>
    <row r="31" spans="2:17" ht="15">
      <c r="B31" s="222"/>
      <c r="C31" s="223"/>
      <c r="D31" s="60" t="s">
        <v>136</v>
      </c>
      <c r="E31" s="60" t="s">
        <v>136</v>
      </c>
      <c r="F31" s="60" t="s">
        <v>136</v>
      </c>
      <c r="G31" s="60" t="s">
        <v>136</v>
      </c>
      <c r="H31" s="212" t="s">
        <v>136</v>
      </c>
      <c r="J31" s="52"/>
      <c r="K31" s="32" t="s">
        <v>190</v>
      </c>
      <c r="L31" s="44">
        <v>0</v>
      </c>
      <c r="M31" s="44">
        <v>1600</v>
      </c>
      <c r="N31" s="44">
        <v>0</v>
      </c>
      <c r="O31" s="44">
        <v>0</v>
      </c>
      <c r="P31" s="45">
        <v>0</v>
      </c>
    </row>
    <row r="32" spans="2:17" ht="13.5" thickBot="1">
      <c r="B32" s="224" t="s">
        <v>113</v>
      </c>
      <c r="C32" s="225"/>
      <c r="D32" s="226">
        <f>+L61+M61/2</f>
        <v>6249.9860000000008</v>
      </c>
      <c r="E32" s="226">
        <f>+(M61+N61)/2</f>
        <v>3728.2334999999998</v>
      </c>
      <c r="F32" s="226">
        <f>+(N61+O61)/2</f>
        <v>4274.8074999999999</v>
      </c>
      <c r="G32" s="226">
        <f>+O61/2+P61</f>
        <v>5340</v>
      </c>
      <c r="H32" s="227">
        <f>SUM(D32:G32)</f>
        <v>19593.027000000002</v>
      </c>
      <c r="I32" s="216"/>
      <c r="K32" s="32" t="s">
        <v>191</v>
      </c>
      <c r="L32" s="44">
        <v>0</v>
      </c>
      <c r="M32" s="44">
        <v>0</v>
      </c>
      <c r="N32" s="44">
        <v>2993.8659700000003</v>
      </c>
      <c r="O32" s="44">
        <v>2993.8659700000003</v>
      </c>
      <c r="P32" s="45">
        <v>0</v>
      </c>
    </row>
    <row r="33" spans="4:17">
      <c r="D33" s="112"/>
      <c r="E33" s="112"/>
      <c r="K33" s="32" t="s">
        <v>192</v>
      </c>
      <c r="L33" s="44">
        <v>0</v>
      </c>
      <c r="M33" s="44">
        <v>0</v>
      </c>
      <c r="N33" s="44">
        <v>2134.0081500000001</v>
      </c>
      <c r="O33" s="44">
        <v>0</v>
      </c>
      <c r="P33" s="45">
        <v>0</v>
      </c>
    </row>
    <row r="34" spans="4:17">
      <c r="D34" s="112"/>
      <c r="E34" s="112"/>
      <c r="K34" s="32" t="s">
        <v>193</v>
      </c>
      <c r="L34" s="44">
        <v>0</v>
      </c>
      <c r="M34" s="44">
        <v>0</v>
      </c>
      <c r="N34" s="44">
        <v>1904.6038799999999</v>
      </c>
      <c r="O34" s="44">
        <v>0</v>
      </c>
      <c r="P34" s="45">
        <v>0</v>
      </c>
    </row>
    <row r="35" spans="4:17">
      <c r="D35" s="112"/>
      <c r="E35" s="112"/>
      <c r="K35" s="32" t="s">
        <v>194</v>
      </c>
      <c r="L35" s="44">
        <v>2520.8850000000002</v>
      </c>
      <c r="M35" s="44" t="s">
        <v>195</v>
      </c>
      <c r="N35" s="44" t="s">
        <v>195</v>
      </c>
      <c r="O35" s="44" t="s">
        <v>195</v>
      </c>
      <c r="P35" s="45" t="s">
        <v>195</v>
      </c>
    </row>
    <row r="36" spans="4:17">
      <c r="K36" s="32" t="s">
        <v>196</v>
      </c>
      <c r="L36" s="44">
        <v>0</v>
      </c>
      <c r="M36" s="44">
        <v>2224.9900000000002</v>
      </c>
      <c r="N36" s="44">
        <v>2036.0900000000001</v>
      </c>
      <c r="O36" s="44">
        <v>529.03499999999997</v>
      </c>
      <c r="P36" s="45">
        <v>190.98500000000001</v>
      </c>
    </row>
    <row r="37" spans="4:17">
      <c r="K37" s="32" t="s">
        <v>197</v>
      </c>
      <c r="L37" s="44">
        <v>0</v>
      </c>
      <c r="M37" s="44">
        <v>513.70000000000005</v>
      </c>
      <c r="N37" s="44">
        <v>513.70000000000005</v>
      </c>
      <c r="O37" s="44">
        <v>513.70000000000005</v>
      </c>
      <c r="P37" s="45">
        <v>0</v>
      </c>
    </row>
    <row r="38" spans="4:17">
      <c r="K38" s="32" t="s">
        <v>198</v>
      </c>
      <c r="L38" s="44" t="s">
        <v>195</v>
      </c>
      <c r="M38" s="44">
        <v>1120</v>
      </c>
      <c r="N38" s="44">
        <v>1000</v>
      </c>
      <c r="O38" s="44" t="s">
        <v>195</v>
      </c>
      <c r="P38" s="45" t="s">
        <v>195</v>
      </c>
    </row>
    <row r="39" spans="4:17">
      <c r="K39" s="32" t="s">
        <v>199</v>
      </c>
      <c r="L39" s="44">
        <v>150</v>
      </c>
      <c r="M39" s="44" t="s">
        <v>195</v>
      </c>
      <c r="N39" s="44" t="s">
        <v>195</v>
      </c>
      <c r="O39" s="44" t="s">
        <v>195</v>
      </c>
      <c r="P39" s="45" t="s">
        <v>195</v>
      </c>
    </row>
    <row r="40" spans="4:17" ht="13.5" thickBot="1">
      <c r="D40" s="112"/>
      <c r="E40" s="112"/>
      <c r="K40" s="54" t="s">
        <v>26</v>
      </c>
      <c r="L40" s="48">
        <f>SUM(L29:L39)</f>
        <v>9050.3220000000001</v>
      </c>
      <c r="M40" s="48">
        <f>SUM(M29:M39)</f>
        <v>11416.003895</v>
      </c>
      <c r="N40" s="48">
        <f>SUM(N29:N39)</f>
        <v>15660.144895000001</v>
      </c>
      <c r="O40" s="48">
        <f>SUM(O29:O39)</f>
        <v>4036.6009700000004</v>
      </c>
      <c r="P40" s="49">
        <f>SUM(P29:P39)</f>
        <v>190.98500000000001</v>
      </c>
    </row>
    <row r="41" spans="4:17" ht="13.5" thickBot="1"/>
    <row r="42" spans="4:17" ht="13.5" thickBot="1">
      <c r="K42" s="329" t="s">
        <v>229</v>
      </c>
      <c r="L42" s="330"/>
      <c r="M42" s="330"/>
      <c r="N42" s="330"/>
      <c r="O42" s="330"/>
      <c r="P42" s="331"/>
    </row>
    <row r="43" spans="4:17">
      <c r="K43" s="334" t="s">
        <v>110</v>
      </c>
      <c r="L43" s="336" t="s">
        <v>186</v>
      </c>
      <c r="M43" s="336">
        <v>2015</v>
      </c>
      <c r="N43" s="336">
        <v>2016</v>
      </c>
      <c r="O43" s="336">
        <v>2017</v>
      </c>
      <c r="P43" s="332" t="s">
        <v>187</v>
      </c>
      <c r="Q43" s="217"/>
    </row>
    <row r="44" spans="4:17">
      <c r="K44" s="335"/>
      <c r="L44" s="337"/>
      <c r="M44" s="337"/>
      <c r="N44" s="337"/>
      <c r="O44" s="337"/>
      <c r="P44" s="333"/>
    </row>
    <row r="45" spans="4:17">
      <c r="K45" s="32" t="s">
        <v>213</v>
      </c>
      <c r="L45" s="44">
        <v>1600</v>
      </c>
      <c r="M45" s="44">
        <v>2477.2370000000001</v>
      </c>
      <c r="N45" s="44">
        <v>3117.6149999999998</v>
      </c>
      <c r="O45" s="44">
        <v>3392</v>
      </c>
      <c r="P45" s="45">
        <v>1700</v>
      </c>
    </row>
    <row r="46" spans="4:17">
      <c r="K46" s="32" t="s">
        <v>214</v>
      </c>
      <c r="L46" s="44">
        <v>1292.0050000000001</v>
      </c>
      <c r="M46" s="44"/>
      <c r="N46" s="44"/>
      <c r="O46" s="44"/>
      <c r="P46" s="45"/>
    </row>
    <row r="47" spans="4:17">
      <c r="K47" s="32" t="s">
        <v>215</v>
      </c>
      <c r="L47" s="44">
        <v>1083.318</v>
      </c>
      <c r="M47" s="44"/>
      <c r="N47" s="44"/>
      <c r="O47" s="44"/>
      <c r="P47" s="45"/>
    </row>
    <row r="48" spans="4:17">
      <c r="K48" s="32" t="s">
        <v>216</v>
      </c>
      <c r="L48" s="44">
        <v>253.8</v>
      </c>
      <c r="M48" s="44"/>
      <c r="N48" s="44"/>
      <c r="O48" s="44"/>
      <c r="P48" s="45"/>
    </row>
    <row r="49" spans="11:17">
      <c r="K49" s="32" t="s">
        <v>217</v>
      </c>
      <c r="L49" s="44">
        <v>172.8</v>
      </c>
      <c r="M49" s="44"/>
      <c r="N49" s="44"/>
      <c r="O49" s="44"/>
      <c r="P49" s="45"/>
    </row>
    <row r="50" spans="11:17">
      <c r="K50" s="32" t="s">
        <v>218</v>
      </c>
      <c r="L50" s="44">
        <v>36</v>
      </c>
      <c r="M50" s="44"/>
      <c r="N50" s="44"/>
      <c r="O50" s="44"/>
      <c r="P50" s="45"/>
    </row>
    <row r="51" spans="11:17">
      <c r="K51" s="32" t="s">
        <v>219</v>
      </c>
      <c r="L51" s="44">
        <v>14.637</v>
      </c>
      <c r="M51" s="44"/>
      <c r="N51" s="44"/>
      <c r="O51" s="44"/>
      <c r="P51" s="45"/>
    </row>
    <row r="52" spans="11:17">
      <c r="K52" s="32" t="s">
        <v>220</v>
      </c>
      <c r="L52" s="44"/>
      <c r="M52" s="44">
        <v>313.2</v>
      </c>
      <c r="N52" s="44"/>
      <c r="O52" s="44"/>
      <c r="P52" s="45"/>
    </row>
    <row r="53" spans="11:17">
      <c r="K53" s="32" t="s">
        <v>221</v>
      </c>
      <c r="L53" s="44"/>
      <c r="M53" s="44">
        <v>36</v>
      </c>
      <c r="N53" s="44"/>
      <c r="O53" s="44"/>
      <c r="P53" s="45"/>
    </row>
    <row r="54" spans="11:17">
      <c r="K54" s="32" t="s">
        <v>222</v>
      </c>
      <c r="L54" s="44"/>
      <c r="M54" s="44">
        <v>12.414999999999999</v>
      </c>
      <c r="N54" s="44"/>
      <c r="O54" s="44"/>
      <c r="P54" s="45"/>
    </row>
    <row r="55" spans="11:17">
      <c r="K55" s="32" t="s">
        <v>223</v>
      </c>
      <c r="L55" s="44"/>
      <c r="M55" s="44">
        <v>756</v>
      </c>
      <c r="N55" s="44"/>
      <c r="O55" s="44"/>
      <c r="P55" s="45"/>
    </row>
    <row r="56" spans="11:17">
      <c r="K56" s="32" t="s">
        <v>224</v>
      </c>
      <c r="L56" s="44"/>
      <c r="M56" s="44"/>
      <c r="N56" s="44">
        <v>456</v>
      </c>
      <c r="O56" s="44"/>
      <c r="P56" s="45"/>
    </row>
    <row r="57" spans="11:17">
      <c r="K57" s="32" t="s">
        <v>225</v>
      </c>
      <c r="L57" s="44"/>
      <c r="M57" s="44"/>
      <c r="N57" s="44">
        <v>288</v>
      </c>
      <c r="O57" s="44"/>
      <c r="P57" s="45"/>
    </row>
    <row r="58" spans="11:17">
      <c r="K58" s="32" t="s">
        <v>226</v>
      </c>
      <c r="L58" s="44"/>
      <c r="M58" s="44"/>
      <c r="N58" s="44"/>
      <c r="O58" s="44">
        <v>648</v>
      </c>
      <c r="P58" s="45"/>
    </row>
    <row r="59" spans="11:17">
      <c r="K59" s="32" t="s">
        <v>227</v>
      </c>
      <c r="L59" s="44"/>
      <c r="M59" s="44"/>
      <c r="N59" s="44"/>
      <c r="O59" s="44">
        <v>648</v>
      </c>
      <c r="P59" s="45"/>
    </row>
    <row r="60" spans="11:17">
      <c r="K60" s="32" t="s">
        <v>228</v>
      </c>
      <c r="L60" s="44"/>
      <c r="M60" s="44"/>
      <c r="N60" s="44"/>
      <c r="O60" s="44"/>
      <c r="P60" s="45">
        <v>1296</v>
      </c>
    </row>
    <row r="61" spans="11:17" ht="13.5" thickBot="1">
      <c r="K61" s="54" t="s">
        <v>26</v>
      </c>
      <c r="L61" s="48">
        <f>SUM(L45:L60)</f>
        <v>4452.5600000000004</v>
      </c>
      <c r="M61" s="48">
        <f t="shared" ref="M61:P61" si="0">SUM(M45:M60)</f>
        <v>3594.8519999999999</v>
      </c>
      <c r="N61" s="48">
        <f t="shared" si="0"/>
        <v>3861.6149999999998</v>
      </c>
      <c r="O61" s="48">
        <f t="shared" si="0"/>
        <v>4688</v>
      </c>
      <c r="P61" s="49">
        <f t="shared" si="0"/>
        <v>2996</v>
      </c>
    </row>
    <row r="63" spans="11:17" ht="13.5" thickBot="1"/>
    <row r="64" spans="11:17">
      <c r="K64" s="299" t="s">
        <v>365</v>
      </c>
      <c r="L64" s="300"/>
      <c r="M64" s="300"/>
      <c r="N64" s="300"/>
      <c r="O64" s="300"/>
      <c r="P64" s="300"/>
      <c r="Q64" s="301"/>
    </row>
    <row r="65" spans="11:17">
      <c r="K65" s="29" t="s">
        <v>231</v>
      </c>
      <c r="L65" s="30" t="s">
        <v>232</v>
      </c>
      <c r="M65" s="30" t="s">
        <v>233</v>
      </c>
      <c r="N65" s="30" t="s">
        <v>234</v>
      </c>
      <c r="O65" s="30" t="s">
        <v>235</v>
      </c>
      <c r="P65" s="30" t="s">
        <v>230</v>
      </c>
      <c r="Q65" s="31" t="s">
        <v>236</v>
      </c>
    </row>
    <row r="66" spans="11:17">
      <c r="K66" s="289" t="s">
        <v>238</v>
      </c>
      <c r="L66" s="33" t="s">
        <v>239</v>
      </c>
      <c r="M66" s="34" t="s">
        <v>240</v>
      </c>
      <c r="N66" s="34" t="s">
        <v>241</v>
      </c>
      <c r="O66" s="35">
        <v>10</v>
      </c>
      <c r="P66" s="293" t="s">
        <v>237</v>
      </c>
      <c r="Q66" s="36">
        <v>14787.01</v>
      </c>
    </row>
    <row r="67" spans="11:17">
      <c r="K67" s="289" t="s">
        <v>238</v>
      </c>
      <c r="L67" s="33" t="s">
        <v>239</v>
      </c>
      <c r="M67" s="34" t="s">
        <v>239</v>
      </c>
      <c r="N67" s="34" t="s">
        <v>242</v>
      </c>
      <c r="O67" s="35">
        <v>10</v>
      </c>
      <c r="P67" s="293" t="s">
        <v>237</v>
      </c>
      <c r="Q67" s="36">
        <v>39243.17</v>
      </c>
    </row>
    <row r="68" spans="11:17">
      <c r="K68" s="289" t="s">
        <v>243</v>
      </c>
      <c r="L68" s="33" t="s">
        <v>244</v>
      </c>
      <c r="M68" s="34" t="s">
        <v>245</v>
      </c>
      <c r="N68" s="34" t="s">
        <v>246</v>
      </c>
      <c r="O68" s="35">
        <v>10</v>
      </c>
      <c r="P68" s="293" t="s">
        <v>237</v>
      </c>
      <c r="Q68" s="36">
        <v>38823.99</v>
      </c>
    </row>
    <row r="69" spans="11:17">
      <c r="K69" s="289" t="s">
        <v>243</v>
      </c>
      <c r="L69" s="33" t="s">
        <v>244</v>
      </c>
      <c r="M69" s="33" t="s">
        <v>247</v>
      </c>
      <c r="N69" s="33" t="s">
        <v>248</v>
      </c>
      <c r="O69" s="35">
        <v>8</v>
      </c>
      <c r="P69" s="293" t="s">
        <v>237</v>
      </c>
      <c r="Q69" s="36">
        <v>32993.14</v>
      </c>
    </row>
    <row r="70" spans="11:17" ht="25.5">
      <c r="K70" s="289" t="s">
        <v>249</v>
      </c>
      <c r="L70" s="33" t="s">
        <v>249</v>
      </c>
      <c r="M70" s="34" t="s">
        <v>250</v>
      </c>
      <c r="N70" s="34" t="s">
        <v>251</v>
      </c>
      <c r="O70" s="35">
        <v>10</v>
      </c>
      <c r="P70" s="293" t="s">
        <v>237</v>
      </c>
      <c r="Q70" s="36">
        <v>27289.35</v>
      </c>
    </row>
    <row r="71" spans="11:17">
      <c r="K71" s="289" t="s">
        <v>252</v>
      </c>
      <c r="L71" s="33" t="s">
        <v>253</v>
      </c>
      <c r="M71" s="33" t="s">
        <v>254</v>
      </c>
      <c r="N71" s="34" t="s">
        <v>255</v>
      </c>
      <c r="O71" s="35">
        <v>24</v>
      </c>
      <c r="P71" s="293" t="s">
        <v>237</v>
      </c>
      <c r="Q71" s="36">
        <v>43181.9</v>
      </c>
    </row>
    <row r="72" spans="11:17" ht="25.5">
      <c r="K72" s="289" t="s">
        <v>256</v>
      </c>
      <c r="L72" s="33" t="s">
        <v>257</v>
      </c>
      <c r="M72" s="34" t="s">
        <v>257</v>
      </c>
      <c r="N72" s="34" t="s">
        <v>258</v>
      </c>
      <c r="O72" s="35">
        <v>18</v>
      </c>
      <c r="P72" s="293" t="s">
        <v>237</v>
      </c>
      <c r="Q72" s="36">
        <v>37975.910000000003</v>
      </c>
    </row>
    <row r="73" spans="11:17">
      <c r="K73" s="290" t="s">
        <v>256</v>
      </c>
      <c r="L73" s="34" t="s">
        <v>259</v>
      </c>
      <c r="M73" s="34" t="s">
        <v>259</v>
      </c>
      <c r="N73" s="34" t="s">
        <v>246</v>
      </c>
      <c r="O73" s="35">
        <v>20</v>
      </c>
      <c r="P73" s="293" t="s">
        <v>237</v>
      </c>
      <c r="Q73" s="36">
        <v>29921.86</v>
      </c>
    </row>
    <row r="74" spans="11:17" ht="25.5">
      <c r="K74" s="289" t="s">
        <v>238</v>
      </c>
      <c r="L74" s="33" t="s">
        <v>261</v>
      </c>
      <c r="M74" s="33" t="s">
        <v>262</v>
      </c>
      <c r="N74" s="33" t="s">
        <v>263</v>
      </c>
      <c r="O74" s="35">
        <v>14</v>
      </c>
      <c r="P74" s="293" t="s">
        <v>260</v>
      </c>
      <c r="Q74" s="36">
        <v>49830.54</v>
      </c>
    </row>
    <row r="75" spans="11:17">
      <c r="K75" s="289" t="s">
        <v>238</v>
      </c>
      <c r="L75" s="33" t="s">
        <v>239</v>
      </c>
      <c r="M75" s="33" t="s">
        <v>239</v>
      </c>
      <c r="N75" s="33" t="s">
        <v>264</v>
      </c>
      <c r="O75" s="35">
        <v>15</v>
      </c>
      <c r="P75" s="293" t="s">
        <v>260</v>
      </c>
      <c r="Q75" s="36">
        <v>66061.320000000007</v>
      </c>
    </row>
    <row r="76" spans="11:17">
      <c r="K76" s="289" t="s">
        <v>243</v>
      </c>
      <c r="L76" s="33" t="s">
        <v>265</v>
      </c>
      <c r="M76" s="33" t="s">
        <v>266</v>
      </c>
      <c r="N76" s="33" t="s">
        <v>267</v>
      </c>
      <c r="O76" s="35">
        <v>10</v>
      </c>
      <c r="P76" s="293" t="s">
        <v>260</v>
      </c>
      <c r="Q76" s="36">
        <v>40472.43</v>
      </c>
    </row>
    <row r="77" spans="11:17">
      <c r="K77" s="289" t="s">
        <v>243</v>
      </c>
      <c r="L77" s="33" t="s">
        <v>268</v>
      </c>
      <c r="M77" s="33" t="s">
        <v>268</v>
      </c>
      <c r="N77" s="33" t="s">
        <v>269</v>
      </c>
      <c r="O77" s="35">
        <v>13</v>
      </c>
      <c r="P77" s="293" t="s">
        <v>260</v>
      </c>
      <c r="Q77" s="36">
        <v>56534.54</v>
      </c>
    </row>
    <row r="78" spans="11:17">
      <c r="K78" s="289" t="s">
        <v>243</v>
      </c>
      <c r="L78" s="33" t="s">
        <v>270</v>
      </c>
      <c r="M78" s="33" t="s">
        <v>271</v>
      </c>
      <c r="N78" s="33" t="s">
        <v>272</v>
      </c>
      <c r="O78" s="35">
        <v>10</v>
      </c>
      <c r="P78" s="293" t="s">
        <v>260</v>
      </c>
      <c r="Q78" s="36">
        <v>42048.61</v>
      </c>
    </row>
    <row r="79" spans="11:17">
      <c r="K79" s="289" t="s">
        <v>249</v>
      </c>
      <c r="L79" s="33" t="s">
        <v>273</v>
      </c>
      <c r="M79" s="33" t="s">
        <v>274</v>
      </c>
      <c r="N79" s="33" t="s">
        <v>275</v>
      </c>
      <c r="O79" s="35">
        <v>19</v>
      </c>
      <c r="P79" s="293" t="s">
        <v>260</v>
      </c>
      <c r="Q79" s="36">
        <v>45680.42</v>
      </c>
    </row>
    <row r="80" spans="11:17">
      <c r="K80" s="289" t="s">
        <v>256</v>
      </c>
      <c r="L80" s="33" t="s">
        <v>276</v>
      </c>
      <c r="M80" s="33" t="s">
        <v>277</v>
      </c>
      <c r="N80" s="33" t="s">
        <v>278</v>
      </c>
      <c r="O80" s="35">
        <v>19</v>
      </c>
      <c r="P80" s="293" t="s">
        <v>260</v>
      </c>
      <c r="Q80" s="36">
        <v>68531.009999999995</v>
      </c>
    </row>
    <row r="81" spans="11:17">
      <c r="K81" s="290" t="s">
        <v>256</v>
      </c>
      <c r="L81" s="33" t="s">
        <v>276</v>
      </c>
      <c r="M81" s="34" t="s">
        <v>279</v>
      </c>
      <c r="N81" s="34" t="s">
        <v>280</v>
      </c>
      <c r="O81" s="35">
        <v>20</v>
      </c>
      <c r="P81" s="293" t="s">
        <v>260</v>
      </c>
      <c r="Q81" s="36">
        <v>57364.5</v>
      </c>
    </row>
    <row r="82" spans="11:17">
      <c r="K82" s="291" t="s">
        <v>281</v>
      </c>
      <c r="L82" s="37"/>
      <c r="M82" s="37"/>
      <c r="N82" s="37"/>
      <c r="O82" s="38"/>
      <c r="P82" s="294" t="s">
        <v>260</v>
      </c>
      <c r="Q82" s="36">
        <v>125000</v>
      </c>
    </row>
    <row r="83" spans="11:17">
      <c r="K83" s="289" t="s">
        <v>238</v>
      </c>
      <c r="L83" s="37" t="s">
        <v>283</v>
      </c>
      <c r="M83" s="37" t="s">
        <v>284</v>
      </c>
      <c r="N83" s="37" t="s">
        <v>285</v>
      </c>
      <c r="O83" s="38">
        <v>18</v>
      </c>
      <c r="P83" s="294" t="s">
        <v>282</v>
      </c>
      <c r="Q83" s="36">
        <v>51147.1</v>
      </c>
    </row>
    <row r="84" spans="11:17">
      <c r="K84" s="289" t="s">
        <v>243</v>
      </c>
      <c r="L84" s="37" t="s">
        <v>268</v>
      </c>
      <c r="M84" s="37" t="s">
        <v>286</v>
      </c>
      <c r="N84" s="37" t="s">
        <v>287</v>
      </c>
      <c r="O84" s="38">
        <v>11</v>
      </c>
      <c r="P84" s="294" t="s">
        <v>282</v>
      </c>
      <c r="Q84" s="36">
        <v>17276.419999999998</v>
      </c>
    </row>
    <row r="85" spans="11:17">
      <c r="K85" s="289" t="s">
        <v>243</v>
      </c>
      <c r="L85" s="37" t="s">
        <v>268</v>
      </c>
      <c r="M85" s="37" t="s">
        <v>288</v>
      </c>
      <c r="N85" s="37" t="s">
        <v>289</v>
      </c>
      <c r="O85" s="38">
        <v>12</v>
      </c>
      <c r="P85" s="294" t="s">
        <v>282</v>
      </c>
      <c r="Q85" s="36">
        <v>24461</v>
      </c>
    </row>
    <row r="86" spans="11:17">
      <c r="K86" s="289" t="s">
        <v>243</v>
      </c>
      <c r="L86" s="37" t="s">
        <v>268</v>
      </c>
      <c r="M86" s="37" t="s">
        <v>288</v>
      </c>
      <c r="N86" s="37" t="s">
        <v>290</v>
      </c>
      <c r="O86" s="38">
        <v>12</v>
      </c>
      <c r="P86" s="294" t="s">
        <v>282</v>
      </c>
      <c r="Q86" s="36">
        <v>28511.42</v>
      </c>
    </row>
    <row r="87" spans="11:17">
      <c r="K87" s="289" t="s">
        <v>249</v>
      </c>
      <c r="L87" s="37" t="s">
        <v>291</v>
      </c>
      <c r="M87" s="37" t="s">
        <v>292</v>
      </c>
      <c r="N87" s="37" t="s">
        <v>293</v>
      </c>
      <c r="O87" s="39">
        <v>8</v>
      </c>
      <c r="P87" s="294" t="s">
        <v>282</v>
      </c>
      <c r="Q87" s="36">
        <v>38959.58</v>
      </c>
    </row>
    <row r="88" spans="11:17">
      <c r="K88" s="289" t="s">
        <v>294</v>
      </c>
      <c r="L88" s="33" t="s">
        <v>253</v>
      </c>
      <c r="M88" s="37" t="s">
        <v>295</v>
      </c>
      <c r="N88" s="37" t="s">
        <v>296</v>
      </c>
      <c r="O88" s="39">
        <v>14</v>
      </c>
      <c r="P88" s="294" t="s">
        <v>282</v>
      </c>
      <c r="Q88" s="36">
        <v>27075.599999999999</v>
      </c>
    </row>
    <row r="89" spans="11:17">
      <c r="K89" s="289" t="s">
        <v>294</v>
      </c>
      <c r="L89" s="33" t="s">
        <v>253</v>
      </c>
      <c r="M89" s="37" t="s">
        <v>297</v>
      </c>
      <c r="N89" s="37" t="s">
        <v>298</v>
      </c>
      <c r="O89" s="39">
        <v>7</v>
      </c>
      <c r="P89" s="294" t="s">
        <v>282</v>
      </c>
      <c r="Q89" s="36">
        <v>21816.65</v>
      </c>
    </row>
    <row r="90" spans="11:17">
      <c r="K90" s="289" t="s">
        <v>294</v>
      </c>
      <c r="L90" s="33" t="s">
        <v>253</v>
      </c>
      <c r="M90" s="37" t="s">
        <v>299</v>
      </c>
      <c r="N90" s="37" t="s">
        <v>300</v>
      </c>
      <c r="O90" s="39">
        <v>7</v>
      </c>
      <c r="P90" s="294" t="s">
        <v>282</v>
      </c>
      <c r="Q90" s="36">
        <v>33770.46</v>
      </c>
    </row>
    <row r="91" spans="11:17">
      <c r="K91" s="290" t="s">
        <v>256</v>
      </c>
      <c r="L91" s="37" t="s">
        <v>301</v>
      </c>
      <c r="M91" s="37" t="s">
        <v>302</v>
      </c>
      <c r="N91" s="37" t="s">
        <v>303</v>
      </c>
      <c r="O91" s="39">
        <v>17</v>
      </c>
      <c r="P91" s="294" t="s">
        <v>282</v>
      </c>
      <c r="Q91" s="36">
        <v>23037.37</v>
      </c>
    </row>
    <row r="92" spans="11:17">
      <c r="K92" s="291" t="s">
        <v>281</v>
      </c>
      <c r="L92" s="37"/>
      <c r="M92" s="37"/>
      <c r="N92" s="37"/>
      <c r="O92" s="38"/>
      <c r="P92" s="294" t="s">
        <v>282</v>
      </c>
      <c r="Q92" s="36">
        <v>125000</v>
      </c>
    </row>
    <row r="93" spans="11:17">
      <c r="K93" s="289" t="s">
        <v>238</v>
      </c>
      <c r="L93" s="33" t="s">
        <v>239</v>
      </c>
      <c r="M93" s="37" t="s">
        <v>305</v>
      </c>
      <c r="N93" s="37" t="s">
        <v>306</v>
      </c>
      <c r="O93" s="39">
        <v>19</v>
      </c>
      <c r="P93" s="294" t="s">
        <v>304</v>
      </c>
      <c r="Q93" s="36">
        <v>63513.26</v>
      </c>
    </row>
    <row r="94" spans="11:17">
      <c r="K94" s="289" t="s">
        <v>243</v>
      </c>
      <c r="L94" s="37" t="s">
        <v>268</v>
      </c>
      <c r="M94" s="37" t="s">
        <v>307</v>
      </c>
      <c r="N94" s="37" t="s">
        <v>308</v>
      </c>
      <c r="O94" s="39">
        <v>11</v>
      </c>
      <c r="P94" s="294" t="s">
        <v>304</v>
      </c>
      <c r="Q94" s="36">
        <v>33618.339999999997</v>
      </c>
    </row>
    <row r="95" spans="11:17">
      <c r="K95" s="289" t="s">
        <v>243</v>
      </c>
      <c r="L95" s="37" t="s">
        <v>268</v>
      </c>
      <c r="M95" s="37" t="s">
        <v>309</v>
      </c>
      <c r="N95" s="37" t="s">
        <v>310</v>
      </c>
      <c r="O95" s="39">
        <v>13</v>
      </c>
      <c r="P95" s="294" t="s">
        <v>304</v>
      </c>
      <c r="Q95" s="36">
        <v>50023.02</v>
      </c>
    </row>
    <row r="96" spans="11:17">
      <c r="K96" s="289" t="s">
        <v>249</v>
      </c>
      <c r="L96" s="37" t="s">
        <v>311</v>
      </c>
      <c r="M96" s="37" t="s">
        <v>312</v>
      </c>
      <c r="N96" s="37" t="s">
        <v>313</v>
      </c>
      <c r="O96" s="39">
        <v>8</v>
      </c>
      <c r="P96" s="294" t="s">
        <v>304</v>
      </c>
      <c r="Q96" s="36">
        <v>40910.199999999997</v>
      </c>
    </row>
    <row r="97" spans="11:17">
      <c r="K97" s="289" t="s">
        <v>249</v>
      </c>
      <c r="L97" s="33" t="s">
        <v>273</v>
      </c>
      <c r="M97" s="37" t="s">
        <v>314</v>
      </c>
      <c r="N97" s="37" t="s">
        <v>315</v>
      </c>
      <c r="O97" s="39">
        <v>9</v>
      </c>
      <c r="P97" s="294" t="s">
        <v>304</v>
      </c>
      <c r="Q97" s="36">
        <v>49267.59</v>
      </c>
    </row>
    <row r="98" spans="11:17">
      <c r="K98" s="289" t="s">
        <v>249</v>
      </c>
      <c r="L98" s="37" t="s">
        <v>291</v>
      </c>
      <c r="M98" s="37" t="s">
        <v>316</v>
      </c>
      <c r="N98" s="37" t="s">
        <v>317</v>
      </c>
      <c r="O98" s="39">
        <v>20</v>
      </c>
      <c r="P98" s="294" t="s">
        <v>304</v>
      </c>
      <c r="Q98" s="36">
        <v>82410.84</v>
      </c>
    </row>
    <row r="99" spans="11:17">
      <c r="K99" s="289" t="s">
        <v>294</v>
      </c>
      <c r="L99" s="37" t="s">
        <v>318</v>
      </c>
      <c r="M99" s="37" t="s">
        <v>319</v>
      </c>
      <c r="N99" s="37" t="s">
        <v>320</v>
      </c>
      <c r="O99" s="39">
        <v>9</v>
      </c>
      <c r="P99" s="294" t="s">
        <v>304</v>
      </c>
      <c r="Q99" s="36">
        <v>38735.040000000001</v>
      </c>
    </row>
    <row r="100" spans="11:17">
      <c r="K100" s="290" t="s">
        <v>256</v>
      </c>
      <c r="L100" s="37" t="s">
        <v>321</v>
      </c>
      <c r="M100" s="37" t="s">
        <v>322</v>
      </c>
      <c r="N100" s="37" t="s">
        <v>323</v>
      </c>
      <c r="O100" s="39">
        <v>15</v>
      </c>
      <c r="P100" s="294" t="s">
        <v>304</v>
      </c>
      <c r="Q100" s="36">
        <v>27686.63</v>
      </c>
    </row>
    <row r="101" spans="11:17">
      <c r="K101" s="290" t="s">
        <v>256</v>
      </c>
      <c r="L101" s="37" t="s">
        <v>324</v>
      </c>
      <c r="M101" s="37" t="s">
        <v>325</v>
      </c>
      <c r="N101" s="37" t="s">
        <v>326</v>
      </c>
      <c r="O101" s="39">
        <v>14</v>
      </c>
      <c r="P101" s="294" t="s">
        <v>304</v>
      </c>
      <c r="Q101" s="36">
        <v>44784.46</v>
      </c>
    </row>
    <row r="102" spans="11:17">
      <c r="K102" s="291" t="s">
        <v>281</v>
      </c>
      <c r="L102" s="37"/>
      <c r="M102" s="37"/>
      <c r="N102" s="37"/>
      <c r="O102" s="38"/>
      <c r="P102" s="294" t="s">
        <v>304</v>
      </c>
      <c r="Q102" s="36">
        <v>125000</v>
      </c>
    </row>
    <row r="103" spans="11:17">
      <c r="K103" s="289" t="s">
        <v>238</v>
      </c>
      <c r="L103" s="37" t="s">
        <v>328</v>
      </c>
      <c r="M103" s="37" t="s">
        <v>329</v>
      </c>
      <c r="N103" s="37" t="s">
        <v>330</v>
      </c>
      <c r="O103" s="39">
        <v>17</v>
      </c>
      <c r="P103" s="294" t="s">
        <v>327</v>
      </c>
      <c r="Q103" s="36">
        <v>57330.58</v>
      </c>
    </row>
    <row r="104" spans="11:17">
      <c r="K104" s="289" t="s">
        <v>243</v>
      </c>
      <c r="L104" s="37" t="s">
        <v>265</v>
      </c>
      <c r="M104" s="37" t="s">
        <v>331</v>
      </c>
      <c r="N104" s="37" t="s">
        <v>332</v>
      </c>
      <c r="O104" s="39">
        <v>17</v>
      </c>
      <c r="P104" s="294" t="s">
        <v>327</v>
      </c>
      <c r="Q104" s="36">
        <v>65298.1</v>
      </c>
    </row>
    <row r="105" spans="11:17">
      <c r="K105" s="289" t="s">
        <v>294</v>
      </c>
      <c r="L105" s="37" t="s">
        <v>253</v>
      </c>
      <c r="M105" s="37" t="s">
        <v>333</v>
      </c>
      <c r="N105" s="37" t="s">
        <v>334</v>
      </c>
      <c r="O105" s="39">
        <v>24</v>
      </c>
      <c r="P105" s="294" t="s">
        <v>327</v>
      </c>
      <c r="Q105" s="36">
        <v>67301.22</v>
      </c>
    </row>
    <row r="106" spans="11:17">
      <c r="K106" s="289" t="s">
        <v>294</v>
      </c>
      <c r="L106" s="37" t="s">
        <v>318</v>
      </c>
      <c r="M106" s="37" t="s">
        <v>335</v>
      </c>
      <c r="N106" s="37" t="s">
        <v>336</v>
      </c>
      <c r="O106" s="39">
        <v>16</v>
      </c>
      <c r="P106" s="294" t="s">
        <v>327</v>
      </c>
      <c r="Q106" s="36">
        <v>57483.43</v>
      </c>
    </row>
    <row r="107" spans="11:17">
      <c r="K107" s="290" t="s">
        <v>256</v>
      </c>
      <c r="L107" s="37" t="s">
        <v>337</v>
      </c>
      <c r="M107" s="37" t="s">
        <v>338</v>
      </c>
      <c r="N107" s="37" t="s">
        <v>339</v>
      </c>
      <c r="O107" s="39">
        <v>21</v>
      </c>
      <c r="P107" s="294" t="s">
        <v>327</v>
      </c>
      <c r="Q107" s="36">
        <v>73153.97</v>
      </c>
    </row>
    <row r="108" spans="11:17">
      <c r="K108" s="291" t="s">
        <v>281</v>
      </c>
      <c r="L108" s="37"/>
      <c r="M108" s="37"/>
      <c r="N108" s="37"/>
      <c r="O108" s="38"/>
      <c r="P108" s="294" t="s">
        <v>327</v>
      </c>
      <c r="Q108" s="36">
        <v>125000</v>
      </c>
    </row>
    <row r="109" spans="11:17">
      <c r="K109" s="289" t="s">
        <v>238</v>
      </c>
      <c r="L109" s="37" t="s">
        <v>261</v>
      </c>
      <c r="M109" s="37" t="s">
        <v>262</v>
      </c>
      <c r="N109" s="37" t="s">
        <v>341</v>
      </c>
      <c r="O109" s="39">
        <v>37</v>
      </c>
      <c r="P109" s="294" t="s">
        <v>340</v>
      </c>
      <c r="Q109" s="36">
        <v>92797.33</v>
      </c>
    </row>
    <row r="110" spans="11:17">
      <c r="K110" s="289" t="s">
        <v>243</v>
      </c>
      <c r="L110" s="37" t="s">
        <v>268</v>
      </c>
      <c r="M110" s="37" t="s">
        <v>342</v>
      </c>
      <c r="N110" s="37" t="s">
        <v>343</v>
      </c>
      <c r="O110" s="39">
        <v>26</v>
      </c>
      <c r="P110" s="294" t="s">
        <v>340</v>
      </c>
      <c r="Q110" s="36">
        <v>96418.01</v>
      </c>
    </row>
    <row r="111" spans="11:17">
      <c r="K111" s="289" t="s">
        <v>249</v>
      </c>
      <c r="L111" s="37" t="s">
        <v>273</v>
      </c>
      <c r="M111" s="37" t="s">
        <v>344</v>
      </c>
      <c r="N111" s="37" t="s">
        <v>345</v>
      </c>
      <c r="O111" s="39">
        <v>11</v>
      </c>
      <c r="P111" s="294" t="s">
        <v>340</v>
      </c>
      <c r="Q111" s="36">
        <v>61326.83</v>
      </c>
    </row>
    <row r="112" spans="11:17">
      <c r="K112" s="290" t="s">
        <v>256</v>
      </c>
      <c r="L112" s="37" t="s">
        <v>346</v>
      </c>
      <c r="M112" s="37" t="s">
        <v>292</v>
      </c>
      <c r="N112" s="37" t="s">
        <v>347</v>
      </c>
      <c r="O112" s="39">
        <v>133</v>
      </c>
      <c r="P112" s="294" t="s">
        <v>340</v>
      </c>
      <c r="Q112" s="36">
        <v>152518.32999999999</v>
      </c>
    </row>
    <row r="113" spans="11:17">
      <c r="K113" s="291" t="s">
        <v>281</v>
      </c>
      <c r="L113" s="37"/>
      <c r="M113" s="37"/>
      <c r="N113" s="37"/>
      <c r="O113" s="38"/>
      <c r="P113" s="294" t="s">
        <v>340</v>
      </c>
      <c r="Q113" s="36">
        <v>125000</v>
      </c>
    </row>
    <row r="114" spans="11:17">
      <c r="K114" s="289" t="s">
        <v>238</v>
      </c>
      <c r="L114" s="37" t="s">
        <v>283</v>
      </c>
      <c r="M114" s="37" t="s">
        <v>349</v>
      </c>
      <c r="N114" s="37" t="s">
        <v>350</v>
      </c>
      <c r="O114" s="39">
        <v>10</v>
      </c>
      <c r="P114" s="294" t="s">
        <v>348</v>
      </c>
      <c r="Q114" s="36">
        <v>69330.899999999994</v>
      </c>
    </row>
    <row r="115" spans="11:17">
      <c r="K115" s="289" t="s">
        <v>243</v>
      </c>
      <c r="L115" s="37" t="s">
        <v>265</v>
      </c>
      <c r="M115" s="37" t="s">
        <v>351</v>
      </c>
      <c r="N115" s="37" t="s">
        <v>352</v>
      </c>
      <c r="O115" s="39">
        <v>13</v>
      </c>
      <c r="P115" s="294" t="s">
        <v>348</v>
      </c>
      <c r="Q115" s="36">
        <v>65787.14</v>
      </c>
    </row>
    <row r="116" spans="11:17">
      <c r="K116" s="289" t="s">
        <v>294</v>
      </c>
      <c r="L116" s="37" t="s">
        <v>253</v>
      </c>
      <c r="M116" s="37" t="s">
        <v>297</v>
      </c>
      <c r="N116" s="37" t="s">
        <v>353</v>
      </c>
      <c r="O116" s="39">
        <v>7</v>
      </c>
      <c r="P116" s="294" t="s">
        <v>348</v>
      </c>
      <c r="Q116" s="36">
        <v>13186.17</v>
      </c>
    </row>
    <row r="117" spans="11:17">
      <c r="K117" s="290" t="s">
        <v>256</v>
      </c>
      <c r="L117" s="37" t="s">
        <v>259</v>
      </c>
      <c r="M117" s="37" t="s">
        <v>354</v>
      </c>
      <c r="N117" s="37" t="s">
        <v>355</v>
      </c>
      <c r="O117" s="39">
        <v>16</v>
      </c>
      <c r="P117" s="294" t="s">
        <v>348</v>
      </c>
      <c r="Q117" s="36">
        <v>32736.04</v>
      </c>
    </row>
    <row r="118" spans="11:17">
      <c r="K118" s="291" t="s">
        <v>281</v>
      </c>
      <c r="L118" s="37"/>
      <c r="M118" s="37"/>
      <c r="N118" s="37"/>
      <c r="O118" s="38"/>
      <c r="P118" s="294" t="s">
        <v>348</v>
      </c>
      <c r="Q118" s="36">
        <v>125000</v>
      </c>
    </row>
    <row r="119" spans="11:17">
      <c r="K119" s="289" t="s">
        <v>238</v>
      </c>
      <c r="L119" s="37" t="s">
        <v>239</v>
      </c>
      <c r="M119" s="37" t="s">
        <v>357</v>
      </c>
      <c r="N119" s="37" t="s">
        <v>358</v>
      </c>
      <c r="O119" s="39">
        <v>32</v>
      </c>
      <c r="P119" s="294" t="s">
        <v>356</v>
      </c>
      <c r="Q119" s="36">
        <v>97420.45</v>
      </c>
    </row>
    <row r="120" spans="11:17">
      <c r="K120" s="289" t="s">
        <v>238</v>
      </c>
      <c r="L120" s="37" t="s">
        <v>261</v>
      </c>
      <c r="M120" s="37" t="s">
        <v>262</v>
      </c>
      <c r="N120" s="37" t="s">
        <v>359</v>
      </c>
      <c r="O120" s="39">
        <v>36</v>
      </c>
      <c r="P120" s="294" t="s">
        <v>356</v>
      </c>
      <c r="Q120" s="36">
        <v>113631.8</v>
      </c>
    </row>
    <row r="121" spans="11:17">
      <c r="K121" s="289" t="s">
        <v>294</v>
      </c>
      <c r="L121" s="37" t="s">
        <v>253</v>
      </c>
      <c r="M121" s="37" t="s">
        <v>297</v>
      </c>
      <c r="N121" s="37" t="s">
        <v>360</v>
      </c>
      <c r="O121" s="39">
        <v>18</v>
      </c>
      <c r="P121" s="294" t="s">
        <v>356</v>
      </c>
      <c r="Q121" s="36">
        <v>87569.69</v>
      </c>
    </row>
    <row r="122" spans="11:17">
      <c r="K122" s="289" t="s">
        <v>256</v>
      </c>
      <c r="L122" s="37" t="s">
        <v>361</v>
      </c>
      <c r="M122" s="37" t="s">
        <v>362</v>
      </c>
      <c r="N122" s="37" t="s">
        <v>362</v>
      </c>
      <c r="O122" s="39">
        <v>50</v>
      </c>
      <c r="P122" s="294" t="s">
        <v>356</v>
      </c>
      <c r="Q122" s="36">
        <v>145348.13</v>
      </c>
    </row>
    <row r="123" spans="11:17" ht="13.5" thickBot="1">
      <c r="K123" s="292"/>
      <c r="L123" s="40"/>
      <c r="M123" s="40"/>
      <c r="N123" s="40"/>
      <c r="O123" s="41">
        <f>SUM(O66:O122)</f>
        <v>938</v>
      </c>
      <c r="P123" s="295" t="s">
        <v>363</v>
      </c>
      <c r="Q123" s="42">
        <f>SUM(Q66:Q122)</f>
        <v>3486382.8000000003</v>
      </c>
    </row>
    <row r="124" spans="11:17">
      <c r="K124" s="43"/>
      <c r="L124" s="43"/>
      <c r="M124" s="43"/>
      <c r="N124" s="43"/>
      <c r="O124" s="43"/>
      <c r="P124" s="43"/>
      <c r="Q124" s="43"/>
    </row>
    <row r="125" spans="11:17">
      <c r="K125" s="43" t="s">
        <v>364</v>
      </c>
      <c r="L125" s="43"/>
      <c r="M125" s="43"/>
      <c r="N125" s="43"/>
      <c r="O125" s="43"/>
      <c r="P125" s="43"/>
      <c r="Q125" s="43"/>
    </row>
  </sheetData>
  <sheetProtection password="CCC5" sheet="1" objects="1" scenarios="1"/>
  <mergeCells count="25">
    <mergeCell ref="B25:H25"/>
    <mergeCell ref="B27:H27"/>
    <mergeCell ref="C29:H29"/>
    <mergeCell ref="P8:P9"/>
    <mergeCell ref="K27:K28"/>
    <mergeCell ref="L27:L28"/>
    <mergeCell ref="M27:M28"/>
    <mergeCell ref="N27:N28"/>
    <mergeCell ref="O27:O28"/>
    <mergeCell ref="K8:K9"/>
    <mergeCell ref="B18:H18"/>
    <mergeCell ref="L8:L9"/>
    <mergeCell ref="M8:M9"/>
    <mergeCell ref="N8:N9"/>
    <mergeCell ref="O8:O9"/>
    <mergeCell ref="K7:P7"/>
    <mergeCell ref="K42:P42"/>
    <mergeCell ref="K26:P26"/>
    <mergeCell ref="P27:P28"/>
    <mergeCell ref="K43:K44"/>
    <mergeCell ref="L43:L44"/>
    <mergeCell ref="M43:M44"/>
    <mergeCell ref="N43:N44"/>
    <mergeCell ref="O43:O44"/>
    <mergeCell ref="P43:P44"/>
  </mergeCells>
  <phoneticPr fontId="0" type="noConversion"/>
  <conditionalFormatting sqref="K10:P22 K29:P30">
    <cfRule type="expression" dxfId="2" priority="13" stopIfTrue="1">
      <formula>($AV14=1)</formula>
    </cfRule>
  </conditionalFormatting>
  <conditionalFormatting sqref="K23:P23">
    <cfRule type="expression" dxfId="1" priority="21" stopIfTrue="1">
      <formula>($AV20=1)</formula>
    </cfRule>
  </conditionalFormatting>
  <conditionalFormatting sqref="K45:P60 K31:P39">
    <cfRule type="expression" dxfId="0" priority="2" stopIfTrue="1">
      <formula>($AV34=1)</formula>
    </cfRule>
  </conditionalFormatting>
  <pageMargins left="0.55118110236220474" right="0.51181102362204722" top="0.62992125984251968" bottom="0.47244094488188981" header="0" footer="0"/>
  <pageSetup scale="70" orientation="landscape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2:L21"/>
  <sheetViews>
    <sheetView topLeftCell="A2" zoomScaleNormal="100" workbookViewId="0">
      <selection activeCell="G29" sqref="G28:G29"/>
    </sheetView>
  </sheetViews>
  <sheetFormatPr baseColWidth="10" defaultRowHeight="12.75"/>
  <cols>
    <col min="1" max="1" width="0.140625" style="53" customWidth="1"/>
    <col min="2" max="2" width="40" style="53" customWidth="1"/>
    <col min="3" max="3" width="11.140625" style="53" customWidth="1"/>
    <col min="4" max="4" width="15.140625" style="53" bestFit="1" customWidth="1"/>
    <col min="5" max="5" width="13.85546875" style="53" customWidth="1"/>
    <col min="6" max="6" width="13.85546875" style="53" bestFit="1" customWidth="1"/>
    <col min="7" max="10" width="12.5703125" style="53" bestFit="1" customWidth="1"/>
    <col min="11" max="16384" width="11.42578125" style="53"/>
  </cols>
  <sheetData>
    <row r="2" spans="2:10" ht="18.75">
      <c r="B2" s="131" t="s">
        <v>113</v>
      </c>
    </row>
    <row r="4" spans="2:10" ht="15.75">
      <c r="B4" s="57" t="s">
        <v>20</v>
      </c>
    </row>
    <row r="5" spans="2:10" ht="15.75">
      <c r="B5" s="58" t="s">
        <v>84</v>
      </c>
    </row>
    <row r="7" spans="2:10" ht="26.25" thickBot="1">
      <c r="D7" s="296" t="s">
        <v>366</v>
      </c>
      <c r="E7" s="297" t="s">
        <v>72</v>
      </c>
      <c r="F7" s="296" t="s">
        <v>69</v>
      </c>
      <c r="G7" s="298" t="s">
        <v>141</v>
      </c>
      <c r="H7" s="298" t="s">
        <v>142</v>
      </c>
      <c r="I7" s="298" t="s">
        <v>143</v>
      </c>
      <c r="J7" s="298" t="s">
        <v>144</v>
      </c>
    </row>
    <row r="8" spans="2:10" ht="13.5" thickBot="1">
      <c r="B8" s="178" t="s">
        <v>57</v>
      </c>
      <c r="C8" s="179"/>
      <c r="D8" s="177" t="s">
        <v>130</v>
      </c>
      <c r="E8" s="177" t="s">
        <v>73</v>
      </c>
      <c r="F8" s="177" t="s">
        <v>130</v>
      </c>
      <c r="G8" s="60" t="s">
        <v>130</v>
      </c>
      <c r="H8" s="60" t="s">
        <v>130</v>
      </c>
      <c r="I8" s="60" t="s">
        <v>130</v>
      </c>
      <c r="J8" s="60" t="s">
        <v>130</v>
      </c>
    </row>
    <row r="9" spans="2:10">
      <c r="B9" s="180"/>
      <c r="C9" s="180"/>
      <c r="D9" s="181"/>
      <c r="E9" s="182"/>
      <c r="F9" s="182"/>
      <c r="G9" s="183"/>
      <c r="H9" s="183"/>
      <c r="I9" s="183"/>
      <c r="J9" s="183"/>
    </row>
    <row r="10" spans="2:10">
      <c r="B10" s="180" t="s">
        <v>80</v>
      </c>
      <c r="C10" s="180" t="s">
        <v>51</v>
      </c>
      <c r="D10" s="184">
        <v>543434.10944519925</v>
      </c>
      <c r="E10" s="185">
        <v>0.98364277595211302</v>
      </c>
      <c r="F10" s="186">
        <f>D10*E10</f>
        <v>534545.03596174018</v>
      </c>
      <c r="G10" s="187">
        <f>+F10+INVERSIONES!D10</f>
        <v>611841.87617143022</v>
      </c>
      <c r="H10" s="187">
        <f>+G10+INVERSIONES!E10</f>
        <v>694618.01610074996</v>
      </c>
      <c r="I10" s="187">
        <f>+H10+INVERSIONES!F10</f>
        <v>765955.80730360968</v>
      </c>
      <c r="J10" s="187">
        <f>+I10+INVERSIONES!G10</f>
        <v>827581.26195628906</v>
      </c>
    </row>
    <row r="11" spans="2:10">
      <c r="B11" s="180" t="s">
        <v>81</v>
      </c>
      <c r="C11" s="180" t="s">
        <v>52</v>
      </c>
      <c r="D11" s="184">
        <v>56008.419093370605</v>
      </c>
      <c r="E11" s="185">
        <f>E10</f>
        <v>0.98364277595211302</v>
      </c>
      <c r="F11" s="186">
        <f>D11*E11</f>
        <v>55092.276833692391</v>
      </c>
      <c r="G11" s="187">
        <f>+F11+INVERSIONES!D11</f>
        <v>57743.8696376976</v>
      </c>
      <c r="H11" s="187">
        <f>+G11+INVERSIONES!E11</f>
        <v>60462.326646790767</v>
      </c>
      <c r="I11" s="187">
        <f>+H11+INVERSIONES!F11</f>
        <v>63210.774152817801</v>
      </c>
      <c r="J11" s="187">
        <f>+I11+INVERSIONES!G11</f>
        <v>65989.475146661644</v>
      </c>
    </row>
    <row r="12" spans="2:10">
      <c r="B12" s="180" t="s">
        <v>82</v>
      </c>
      <c r="C12" s="180" t="s">
        <v>58</v>
      </c>
      <c r="D12" s="184">
        <v>25799.407328437657</v>
      </c>
      <c r="E12" s="185">
        <f>E10</f>
        <v>0.98364277595211302</v>
      </c>
      <c r="F12" s="186">
        <f>D12*E12</f>
        <v>25377.400642463705</v>
      </c>
      <c r="G12" s="187">
        <f>+F12+INVERSIONES!D12</f>
        <v>31627.386642463705</v>
      </c>
      <c r="H12" s="187">
        <f>+G12+INVERSIONES!E12</f>
        <v>35355.620142463704</v>
      </c>
      <c r="I12" s="187">
        <f>+H12+INVERSIONES!F12</f>
        <v>39630.427642463706</v>
      </c>
      <c r="J12" s="187">
        <f>+I12+INVERSIONES!G12</f>
        <v>44970.427642463706</v>
      </c>
    </row>
    <row r="13" spans="2:10">
      <c r="B13" s="180"/>
      <c r="C13" s="180"/>
      <c r="D13" s="188">
        <f>SUM(D10:D12)</f>
        <v>625241.93586700747</v>
      </c>
      <c r="E13" s="185"/>
      <c r="F13" s="305">
        <f>SUM(F10:F12)</f>
        <v>615014.71343789622</v>
      </c>
      <c r="G13" s="189"/>
      <c r="H13" s="189"/>
      <c r="I13" s="189"/>
      <c r="J13" s="190"/>
    </row>
    <row r="14" spans="2:10">
      <c r="B14" s="191"/>
      <c r="C14" s="191"/>
      <c r="D14" s="184"/>
      <c r="E14" s="192"/>
      <c r="F14" s="193"/>
      <c r="G14" s="187"/>
      <c r="H14" s="187"/>
      <c r="I14" s="187"/>
      <c r="J14" s="187"/>
    </row>
    <row r="15" spans="2:10">
      <c r="B15" s="180" t="s">
        <v>53</v>
      </c>
      <c r="C15" s="180" t="s">
        <v>56</v>
      </c>
      <c r="D15" s="184">
        <v>213331.9854572544</v>
      </c>
      <c r="E15" s="185">
        <f>E10</f>
        <v>0.98364277595211302</v>
      </c>
      <c r="F15" s="186">
        <f>D15*E15</f>
        <v>209842.46637454952</v>
      </c>
      <c r="G15" s="187">
        <f>F15+G10-F10-G10*'PERDIDAS y OTROS'!E$12</f>
        <v>268784.05029909668</v>
      </c>
      <c r="H15" s="187">
        <f>G15+H10-G10-H10*'PERDIDAS y OTROS'!F$12</f>
        <v>330721.64974539395</v>
      </c>
      <c r="I15" s="187">
        <f>H15+I10-H10-I10*'PERDIDAS y OTROS'!G$12</f>
        <v>379080.76672914531</v>
      </c>
      <c r="J15" s="187">
        <f>I15+J10-I10-J10*'PERDIDAS y OTROS'!H$12</f>
        <v>415878.78352313593</v>
      </c>
    </row>
    <row r="16" spans="2:10">
      <c r="B16" s="180" t="s">
        <v>54</v>
      </c>
      <c r="C16" s="180" t="s">
        <v>55</v>
      </c>
      <c r="D16" s="184">
        <v>21356.077248837064</v>
      </c>
      <c r="E16" s="185">
        <f>E10</f>
        <v>0.98364277595211302</v>
      </c>
      <c r="F16" s="186">
        <f>D16*E16</f>
        <v>21006.751108493856</v>
      </c>
      <c r="G16" s="187">
        <f>F16+G11-F11-G11*'PERDIDAS y OTROS'!E$13</f>
        <v>21046.833033550298</v>
      </c>
      <c r="H16" s="187">
        <f>G16+H11-G11-H11*'PERDIDAS y OTROS'!F$13</f>
        <v>21030.834856398622</v>
      </c>
      <c r="I16" s="187">
        <f>H16+I11-H11-I11*'PERDIDAS y OTROS'!G$13</f>
        <v>20920.526525614034</v>
      </c>
      <c r="J16" s="187">
        <f>I16+J11-I11-J11*'PERDIDAS y OTROS'!H$13</f>
        <v>20714.802794843989</v>
      </c>
    </row>
    <row r="17" spans="2:12">
      <c r="B17" s="180" t="s">
        <v>83</v>
      </c>
      <c r="C17" s="180" t="s">
        <v>59</v>
      </c>
      <c r="D17" s="184">
        <v>11176.936180697825</v>
      </c>
      <c r="E17" s="185">
        <f>E10</f>
        <v>0.98364277595211302</v>
      </c>
      <c r="F17" s="186">
        <f>D17*E17</f>
        <v>10994.112531421217</v>
      </c>
      <c r="G17" s="187">
        <f>F17+G12-F12-G12*'PERDIDAS y OTROS'!E$14</f>
        <v>16190.906556227173</v>
      </c>
      <c r="H17" s="187">
        <f>G17+H12-G12-H12*'PERDIDAS y OTROS'!F$14</f>
        <v>18741.79790548313</v>
      </c>
      <c r="I17" s="187">
        <f>H17+I12-H12-I12*'PERDIDAS y OTROS'!G$14</f>
        <v>21696.912164989091</v>
      </c>
      <c r="J17" s="187">
        <f>I17+J12-I12-J12*'PERDIDAS y OTROS'!H$14</f>
        <v>25539.396924495046</v>
      </c>
    </row>
    <row r="18" spans="2:12">
      <c r="B18" s="194"/>
      <c r="C18" s="194"/>
      <c r="D18" s="188">
        <f>SUM(D15:D17)</f>
        <v>245864.99888678928</v>
      </c>
      <c r="E18" s="185"/>
      <c r="F18" s="305">
        <f>SUM(F15:F17)</f>
        <v>241843.33001446459</v>
      </c>
      <c r="G18" s="195"/>
      <c r="H18" s="195"/>
      <c r="I18" s="195"/>
      <c r="J18" s="195"/>
    </row>
    <row r="19" spans="2:12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2:12">
      <c r="B20" s="52"/>
      <c r="C20" s="52"/>
      <c r="D20" s="196"/>
      <c r="E20" s="197"/>
      <c r="F20" s="197"/>
      <c r="G20" s="197"/>
      <c r="H20" s="197"/>
      <c r="I20" s="196"/>
      <c r="J20" s="196"/>
      <c r="K20" s="196"/>
      <c r="L20" s="196"/>
    </row>
    <row r="21" spans="2:12">
      <c r="E21" s="198"/>
    </row>
  </sheetData>
  <sheetProtection password="CCC5" sheet="1" objects="1" scenarios="1"/>
  <phoneticPr fontId="0" type="noConversion"/>
  <pageMargins left="0.74803149606299213" right="0.74803149606299213" top="0.62992125984251968" bottom="0.6692913385826772" header="0" footer="0"/>
  <pageSetup scale="85" orientation="landscape" horizontalDpi="300" verticalDpi="300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2:H39"/>
  <sheetViews>
    <sheetView zoomScaleNormal="100" workbookViewId="0">
      <selection activeCell="E43" sqref="E43"/>
    </sheetView>
  </sheetViews>
  <sheetFormatPr baseColWidth="10" defaultRowHeight="12.75"/>
  <cols>
    <col min="1" max="1" width="1.28515625" style="53" customWidth="1"/>
    <col min="2" max="2" width="46.42578125" style="53" customWidth="1"/>
    <col min="3" max="3" width="11.7109375" style="53" bestFit="1" customWidth="1"/>
    <col min="4" max="4" width="18.5703125" style="53" bestFit="1" customWidth="1"/>
    <col min="5" max="5" width="16.5703125" style="53" bestFit="1" customWidth="1"/>
    <col min="6" max="7" width="16.85546875" style="53" bestFit="1" customWidth="1"/>
    <col min="8" max="8" width="15" style="53" bestFit="1" customWidth="1"/>
    <col min="9" max="9" width="13.42578125" style="53" bestFit="1" customWidth="1"/>
    <col min="10" max="13" width="10.140625" style="53" bestFit="1" customWidth="1"/>
    <col min="14" max="16384" width="11.42578125" style="53"/>
  </cols>
  <sheetData>
    <row r="2" spans="2:8" ht="18.75">
      <c r="B2" s="131" t="s">
        <v>113</v>
      </c>
    </row>
    <row r="4" spans="2:8">
      <c r="B4" s="132" t="s">
        <v>63</v>
      </c>
    </row>
    <row r="6" spans="2:8">
      <c r="B6" s="133"/>
      <c r="C6" s="133"/>
      <c r="D6" s="134"/>
      <c r="E6" s="134" t="s">
        <v>141</v>
      </c>
      <c r="F6" s="134" t="s">
        <v>142</v>
      </c>
      <c r="G6" s="134" t="s">
        <v>143</v>
      </c>
      <c r="H6" s="134" t="s">
        <v>144</v>
      </c>
    </row>
    <row r="7" spans="2:8">
      <c r="B7" s="135"/>
      <c r="C7" s="135"/>
      <c r="D7" s="136"/>
      <c r="E7" s="137"/>
      <c r="F7" s="137"/>
      <c r="G7" s="137"/>
      <c r="H7" s="137"/>
    </row>
    <row r="8" spans="2:8">
      <c r="B8" s="138" t="s">
        <v>40</v>
      </c>
      <c r="C8" s="138" t="s">
        <v>39</v>
      </c>
      <c r="D8" s="139" t="s">
        <v>139</v>
      </c>
      <c r="E8" s="140">
        <v>144.70318953523957</v>
      </c>
      <c r="F8" s="140">
        <v>141.59648902854468</v>
      </c>
      <c r="G8" s="140">
        <v>143.28629395263053</v>
      </c>
      <c r="H8" s="140">
        <v>144.69440054560263</v>
      </c>
    </row>
    <row r="9" spans="2:8">
      <c r="B9" s="139" t="s">
        <v>184</v>
      </c>
      <c r="C9" s="139" t="s">
        <v>1</v>
      </c>
      <c r="D9" s="139" t="s">
        <v>0</v>
      </c>
      <c r="E9" s="141">
        <f>+REGRESIONES!D82</f>
        <v>7.977599636167948E-2</v>
      </c>
      <c r="F9" s="141">
        <f>+REGRESIONES!E82</f>
        <v>7.9748627693813509E-2</v>
      </c>
      <c r="G9" s="141">
        <f>+REGRESIONES!F82</f>
        <v>7.9721721932798223E-2</v>
      </c>
      <c r="H9" s="141">
        <f>+REGRESIONES!G82</f>
        <v>7.9695416559168467E-2</v>
      </c>
    </row>
    <row r="10" spans="2:8">
      <c r="B10" s="139" t="s">
        <v>185</v>
      </c>
      <c r="C10" s="139" t="s">
        <v>1</v>
      </c>
      <c r="D10" s="139" t="s">
        <v>0</v>
      </c>
      <c r="E10" s="141">
        <v>1.4999999999999999E-2</v>
      </c>
      <c r="F10" s="141">
        <v>1.4999999999999999E-2</v>
      </c>
      <c r="G10" s="141">
        <v>1.4999999999999999E-2</v>
      </c>
      <c r="H10" s="141">
        <v>1.4999999999999999E-2</v>
      </c>
    </row>
    <row r="11" spans="2:8">
      <c r="B11" s="139" t="s">
        <v>376</v>
      </c>
      <c r="C11" s="139" t="s">
        <v>1</v>
      </c>
      <c r="D11" s="139" t="s">
        <v>0</v>
      </c>
      <c r="E11" s="141">
        <v>4.6898319334490717E-3</v>
      </c>
      <c r="F11" s="141">
        <v>4.6898319334490717E-3</v>
      </c>
      <c r="G11" s="141">
        <v>4.6898319334490717E-3</v>
      </c>
      <c r="H11" s="141">
        <v>4.6898319334490717E-3</v>
      </c>
    </row>
    <row r="12" spans="2:8">
      <c r="B12" s="139" t="s">
        <v>107</v>
      </c>
      <c r="C12" s="139" t="s">
        <v>38</v>
      </c>
      <c r="D12" s="139" t="s">
        <v>0</v>
      </c>
      <c r="E12" s="141">
        <v>0.03</v>
      </c>
      <c r="F12" s="141">
        <f>E12</f>
        <v>0.03</v>
      </c>
      <c r="G12" s="141">
        <f>E12</f>
        <v>0.03</v>
      </c>
      <c r="H12" s="141">
        <f>E12</f>
        <v>0.03</v>
      </c>
    </row>
    <row r="13" spans="2:8">
      <c r="B13" s="139" t="s">
        <v>108</v>
      </c>
      <c r="C13" s="139" t="s">
        <v>38</v>
      </c>
      <c r="D13" s="139" t="s">
        <v>0</v>
      </c>
      <c r="E13" s="141">
        <v>4.5225768472639163E-2</v>
      </c>
      <c r="F13" s="141">
        <f>E13</f>
        <v>4.5225768472639163E-2</v>
      </c>
      <c r="G13" s="141">
        <f>E13</f>
        <v>4.5225768472639163E-2</v>
      </c>
      <c r="H13" s="141">
        <f>E13</f>
        <v>4.5225768472639163E-2</v>
      </c>
    </row>
    <row r="14" spans="2:8">
      <c r="B14" s="139" t="s">
        <v>109</v>
      </c>
      <c r="C14" s="139" t="s">
        <v>38</v>
      </c>
      <c r="D14" s="139" t="s">
        <v>0</v>
      </c>
      <c r="E14" s="141">
        <v>3.3300000000000003E-2</v>
      </c>
      <c r="F14" s="141">
        <f>E14</f>
        <v>3.3300000000000003E-2</v>
      </c>
      <c r="G14" s="141">
        <f>E14</f>
        <v>3.3300000000000003E-2</v>
      </c>
      <c r="H14" s="141">
        <f>E14</f>
        <v>3.3300000000000003E-2</v>
      </c>
    </row>
    <row r="15" spans="2:8">
      <c r="B15" s="139" t="s">
        <v>60</v>
      </c>
      <c r="C15" s="139" t="s">
        <v>61</v>
      </c>
      <c r="D15" s="139" t="s">
        <v>136</v>
      </c>
      <c r="E15" s="140">
        <f>ALUMPU!D12</f>
        <v>786.68627771827539</v>
      </c>
      <c r="F15" s="140">
        <f>ALUMPU!E12</f>
        <v>839.39569832845564</v>
      </c>
      <c r="G15" s="140">
        <f>ALUMPU!F12</f>
        <v>908.63529226608887</v>
      </c>
      <c r="H15" s="140">
        <f>ALUMPU!G12</f>
        <v>979.51396802302406</v>
      </c>
    </row>
    <row r="16" spans="2:8">
      <c r="B16" s="142"/>
      <c r="C16" s="142"/>
      <c r="D16" s="142"/>
      <c r="E16" s="143"/>
      <c r="F16" s="143"/>
      <c r="G16" s="143"/>
      <c r="H16" s="143"/>
    </row>
    <row r="18" spans="2:8">
      <c r="B18" s="132"/>
      <c r="E18" s="275"/>
      <c r="F18" s="275"/>
      <c r="G18" s="275"/>
      <c r="H18" s="275"/>
    </row>
    <row r="24" spans="2:8" hidden="1">
      <c r="C24" s="144"/>
      <c r="D24" s="145"/>
      <c r="E24" s="146"/>
      <c r="F24" s="146"/>
      <c r="G24" s="146"/>
    </row>
    <row r="25" spans="2:8" hidden="1">
      <c r="B25" s="147"/>
      <c r="C25" s="148"/>
      <c r="D25" s="149"/>
      <c r="E25" s="149"/>
      <c r="F25" s="149"/>
      <c r="G25" s="149"/>
    </row>
    <row r="26" spans="2:8" ht="15" hidden="1">
      <c r="B26" s="147"/>
      <c r="C26" s="148"/>
      <c r="D26" s="150"/>
      <c r="E26" s="151"/>
      <c r="F26" s="151"/>
      <c r="G26" s="151"/>
    </row>
    <row r="27" spans="2:8" hidden="1">
      <c r="B27" s="147"/>
      <c r="C27" s="148"/>
      <c r="D27" s="152"/>
      <c r="E27" s="152"/>
      <c r="F27" s="152"/>
      <c r="G27" s="152"/>
    </row>
    <row r="28" spans="2:8" hidden="1">
      <c r="E28" s="153"/>
    </row>
    <row r="29" spans="2:8" hidden="1">
      <c r="E29" s="153"/>
    </row>
    <row r="30" spans="2:8" hidden="1"/>
    <row r="31" spans="2:8" hidden="1"/>
    <row r="32" spans="2:8" ht="13.5" hidden="1" thickBot="1"/>
    <row r="33" spans="2:7" ht="33.75" hidden="1" customHeight="1">
      <c r="B33" s="154"/>
      <c r="C33" s="111"/>
      <c r="D33" s="111"/>
      <c r="E33" s="111"/>
      <c r="F33" s="111"/>
      <c r="G33" s="155"/>
    </row>
    <row r="34" spans="2:7" hidden="1">
      <c r="B34" s="156"/>
      <c r="C34" s="157"/>
      <c r="D34" s="157"/>
      <c r="E34" s="157"/>
      <c r="F34" s="157"/>
      <c r="G34" s="158"/>
    </row>
    <row r="35" spans="2:7" hidden="1">
      <c r="B35" s="156"/>
      <c r="C35" s="157"/>
      <c r="D35" s="157"/>
      <c r="E35" s="157"/>
      <c r="F35" s="157"/>
      <c r="G35" s="158"/>
    </row>
    <row r="36" spans="2:7" ht="13.5" hidden="1" thickBot="1">
      <c r="B36" s="159"/>
      <c r="C36" s="160"/>
      <c r="D36" s="160"/>
      <c r="E36" s="160"/>
      <c r="F36" s="160"/>
      <c r="G36" s="161"/>
    </row>
    <row r="38" spans="2:7">
      <c r="B38" s="162"/>
      <c r="C38" s="162"/>
    </row>
    <row r="39" spans="2:7">
      <c r="B39" s="162"/>
    </row>
  </sheetData>
  <sheetProtection password="CCC5" sheet="1" objects="1" scenarios="1"/>
  <phoneticPr fontId="0" type="noConversion"/>
  <pageMargins left="0.74803149606299213" right="0.74803149606299213" top="0.62992125984251968" bottom="0.6692913385826772" header="0" footer="0"/>
  <pageSetup scale="86" orientation="landscape" horizontalDpi="300" verticalDpi="30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IMP-RESUMEN</vt:lpstr>
      <vt:lpstr>IMPD</vt:lpstr>
      <vt:lpstr>IMPCO</vt:lpstr>
      <vt:lpstr>ALUMPU</vt:lpstr>
      <vt:lpstr>DEMANDA</vt:lpstr>
      <vt:lpstr>REGRESIONES</vt:lpstr>
      <vt:lpstr>INVERSIONES</vt:lpstr>
      <vt:lpstr>ACTIVOS</vt:lpstr>
      <vt:lpstr>PERDIDAS y OTROS</vt:lpstr>
      <vt:lpstr>RETORNO</vt:lpstr>
    </vt:vector>
  </TitlesOfParts>
  <Company>Mercados Energeticos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ASEP</cp:lastModifiedBy>
  <cp:lastPrinted>2014-05-03T21:37:14Z</cp:lastPrinted>
  <dcterms:created xsi:type="dcterms:W3CDTF">2001-07-13T14:01:29Z</dcterms:created>
  <dcterms:modified xsi:type="dcterms:W3CDTF">2014-05-06T04:25:55Z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228361105</vt:i4>
  </property>
  <property fmtid="{D5CDD505-2E9C-101B-9397-08002B2CF9AE}" pid="3" name="_EmailSubject">
    <vt:lpwstr>IMP</vt:lpwstr>
  </property>
  <property fmtid="{D5CDD505-2E9C-101B-9397-08002B2CF9AE}" pid="4" name="_AuthorEmailDisplayName">
    <vt:lpwstr>Jenny de Da Lorenzo</vt:lpwstr>
  </property>
  <property fmtid="{D5CDD505-2E9C-101B-9397-08002B2CF9AE}" pid="5" name="_ReviewingToolsShownOnce">
    <vt:lpwstr/>
  </property>
</Properties>
</file>