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1580" windowHeight="6540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25725"/>
</workbook>
</file>

<file path=xl/calcChain.xml><?xml version="1.0" encoding="utf-8"?>
<calcChain xmlns="http://schemas.openxmlformats.org/spreadsheetml/2006/main">
  <c r="D21" i="2"/>
  <c r="E21"/>
  <c r="F21"/>
  <c r="G21"/>
  <c r="C14" i="7" l="1"/>
  <c r="E12" i="3" l="1"/>
  <c r="F12"/>
  <c r="G12"/>
  <c r="D12"/>
  <c r="E12" i="2"/>
  <c r="F12"/>
  <c r="G12"/>
  <c r="E13"/>
  <c r="F13"/>
  <c r="G13"/>
  <c r="D13"/>
  <c r="D12"/>
  <c r="E11" i="10" l="1"/>
  <c r="F11"/>
  <c r="G11"/>
  <c r="E10"/>
  <c r="F10"/>
  <c r="G10"/>
  <c r="D11"/>
  <c r="D10"/>
  <c r="G24" l="1"/>
  <c r="F24"/>
  <c r="E24"/>
  <c r="D24"/>
  <c r="Q64"/>
  <c r="P37"/>
  <c r="O37"/>
  <c r="N37"/>
  <c r="F32" s="1"/>
  <c r="M37"/>
  <c r="L37"/>
  <c r="D32" s="1"/>
  <c r="P24"/>
  <c r="O24"/>
  <c r="G23" s="1"/>
  <c r="N24"/>
  <c r="M24"/>
  <c r="L24"/>
  <c r="M12"/>
  <c r="E22" s="1"/>
  <c r="N12"/>
  <c r="F22" s="1"/>
  <c r="O12"/>
  <c r="P12"/>
  <c r="L12"/>
  <c r="D22" s="1"/>
  <c r="F23" l="1"/>
  <c r="E32"/>
  <c r="E23"/>
  <c r="H24"/>
  <c r="G22"/>
  <c r="D23"/>
  <c r="H23" s="1"/>
  <c r="G32"/>
  <c r="H22"/>
  <c r="F9" i="11" l="1"/>
  <c r="G9"/>
  <c r="H9"/>
  <c r="E9"/>
  <c r="D15" i="14"/>
  <c r="C15"/>
  <c r="D13"/>
  <c r="C13"/>
  <c r="C11"/>
  <c r="D10"/>
  <c r="D7"/>
  <c r="C16" l="1"/>
  <c r="C17" s="1"/>
  <c r="C20" s="1"/>
  <c r="D11"/>
  <c r="D16" s="1"/>
  <c r="D17" s="1"/>
  <c r="D20" s="1"/>
  <c r="G14" s="1"/>
  <c r="D19" l="1"/>
  <c r="C19"/>
  <c r="G86" i="17"/>
  <c r="F86"/>
  <c r="C86"/>
  <c r="B86"/>
  <c r="G85"/>
  <c r="F85"/>
  <c r="E85"/>
  <c r="E86" s="1"/>
  <c r="D85"/>
  <c r="D86" s="1"/>
  <c r="C85"/>
  <c r="B85"/>
  <c r="E59"/>
  <c r="D59"/>
  <c r="G58"/>
  <c r="F58"/>
  <c r="C58"/>
  <c r="B58"/>
  <c r="E57"/>
  <c r="E64" s="1"/>
  <c r="D57"/>
  <c r="D64" s="1"/>
  <c r="G56"/>
  <c r="G69" s="1"/>
  <c r="F56"/>
  <c r="C56"/>
  <c r="C69" s="1"/>
  <c r="B56"/>
  <c r="E55"/>
  <c r="D55"/>
  <c r="C44"/>
  <c r="D44" s="1"/>
  <c r="E44" s="1"/>
  <c r="F44" s="1"/>
  <c r="G44" s="1"/>
  <c r="G29"/>
  <c r="G59" s="1"/>
  <c r="F29"/>
  <c r="F59" s="1"/>
  <c r="E29"/>
  <c r="D29"/>
  <c r="C29"/>
  <c r="C59" s="1"/>
  <c r="B29"/>
  <c r="B59" s="1"/>
  <c r="G28"/>
  <c r="F28"/>
  <c r="E28"/>
  <c r="E58" s="1"/>
  <c r="D28"/>
  <c r="D58" s="1"/>
  <c r="C28"/>
  <c r="B28"/>
  <c r="G27"/>
  <c r="G57" s="1"/>
  <c r="G64" s="1"/>
  <c r="F27"/>
  <c r="F57" s="1"/>
  <c r="F64" s="1"/>
  <c r="E27"/>
  <c r="D27"/>
  <c r="C27"/>
  <c r="C57" s="1"/>
  <c r="C64" s="1"/>
  <c r="B27"/>
  <c r="B57" s="1"/>
  <c r="B64" s="1"/>
  <c r="G26"/>
  <c r="F26"/>
  <c r="E26"/>
  <c r="E56" s="1"/>
  <c r="E69" s="1"/>
  <c r="D26"/>
  <c r="D56" s="1"/>
  <c r="D69" s="1"/>
  <c r="C26"/>
  <c r="B26"/>
  <c r="G25"/>
  <c r="G55" s="1"/>
  <c r="F25"/>
  <c r="F55" s="1"/>
  <c r="E25"/>
  <c r="D25"/>
  <c r="C25"/>
  <c r="C55" s="1"/>
  <c r="B25"/>
  <c r="B55" s="1"/>
  <c r="B63" s="1"/>
  <c r="B65" s="1"/>
  <c r="C18" i="7"/>
  <c r="D18"/>
  <c r="E18"/>
  <c r="F18"/>
  <c r="D18" i="8"/>
  <c r="E12" i="10"/>
  <c r="F12"/>
  <c r="G12"/>
  <c r="D12"/>
  <c r="F17" i="2"/>
  <c r="F19" s="1"/>
  <c r="E13" i="7" s="1"/>
  <c r="D13" i="8"/>
  <c r="F10"/>
  <c r="H12" i="11"/>
  <c r="G12"/>
  <c r="F12"/>
  <c r="H11"/>
  <c r="G11"/>
  <c r="F11"/>
  <c r="H10"/>
  <c r="G10"/>
  <c r="F10"/>
  <c r="D10" i="12"/>
  <c r="E10"/>
  <c r="F10"/>
  <c r="G10"/>
  <c r="H10"/>
  <c r="E17" i="8"/>
  <c r="F17" s="1"/>
  <c r="E12"/>
  <c r="F12" s="1"/>
  <c r="G12" s="1"/>
  <c r="E15"/>
  <c r="F15" s="1"/>
  <c r="E16"/>
  <c r="F16" s="1"/>
  <c r="E11"/>
  <c r="F11" s="1"/>
  <c r="D12" i="4"/>
  <c r="E13" i="11" s="1"/>
  <c r="E12" i="4"/>
  <c r="F13" i="11" s="1"/>
  <c r="F12" i="4"/>
  <c r="G13" i="11" s="1"/>
  <c r="G12" i="4"/>
  <c r="H13" i="11" s="1"/>
  <c r="H11" i="12"/>
  <c r="G11"/>
  <c r="F11"/>
  <c r="E11"/>
  <c r="D11"/>
  <c r="I9"/>
  <c r="I8"/>
  <c r="I7"/>
  <c r="I6"/>
  <c r="G17" i="2"/>
  <c r="G19" s="1"/>
  <c r="F13" i="7" s="1"/>
  <c r="E17" i="2"/>
  <c r="E19" s="1"/>
  <c r="D13" i="7" s="1"/>
  <c r="D17" i="2"/>
  <c r="D19" s="1"/>
  <c r="C13" i="7" s="1"/>
  <c r="G17" i="8" l="1"/>
  <c r="D10" i="4" s="1"/>
  <c r="H12" i="10"/>
  <c r="E19" i="7"/>
  <c r="D19"/>
  <c r="D30" s="1"/>
  <c r="F19"/>
  <c r="F30" s="1"/>
  <c r="C63" i="17"/>
  <c r="C65" s="1"/>
  <c r="C68"/>
  <c r="C71" s="1"/>
  <c r="G63"/>
  <c r="G65" s="1"/>
  <c r="G68"/>
  <c r="G71" s="1"/>
  <c r="F68"/>
  <c r="F63"/>
  <c r="F65" s="1"/>
  <c r="E63"/>
  <c r="E65" s="1"/>
  <c r="D63"/>
  <c r="D65" s="1"/>
  <c r="F69"/>
  <c r="E68"/>
  <c r="E71" s="1"/>
  <c r="D68"/>
  <c r="D71" s="1"/>
  <c r="C19" i="7"/>
  <c r="C30" s="1"/>
  <c r="E14" i="10"/>
  <c r="H12" i="8"/>
  <c r="D11" i="4"/>
  <c r="F18" i="8"/>
  <c r="G13" i="14"/>
  <c r="F13" i="8"/>
  <c r="G10"/>
  <c r="G15" s="1"/>
  <c r="E26" i="7" l="1"/>
  <c r="E30"/>
  <c r="D14" i="4"/>
  <c r="C12" i="7" s="1"/>
  <c r="F26"/>
  <c r="D26"/>
  <c r="F71" i="17"/>
  <c r="D10" i="2"/>
  <c r="I12" i="8"/>
  <c r="E11" i="4"/>
  <c r="D11" i="2"/>
  <c r="H10" i="8"/>
  <c r="D14" i="10"/>
  <c r="H10"/>
  <c r="G14"/>
  <c r="F14"/>
  <c r="G11" i="8"/>
  <c r="H17"/>
  <c r="G30" i="7" l="1"/>
  <c r="D43"/>
  <c r="I17" i="8"/>
  <c r="E10" i="4"/>
  <c r="E14" s="1"/>
  <c r="D12" i="7" s="1"/>
  <c r="D25" s="1"/>
  <c r="H11" i="8"/>
  <c r="D11" i="3"/>
  <c r="G16" i="8"/>
  <c r="E11" i="2"/>
  <c r="I10" i="8"/>
  <c r="J12"/>
  <c r="G11" i="4" s="1"/>
  <c r="F11"/>
  <c r="H14" i="10"/>
  <c r="D15" i="2"/>
  <c r="H15" i="8"/>
  <c r="H11" i="10"/>
  <c r="C10" i="7" l="1"/>
  <c r="J17" i="8"/>
  <c r="G10" i="4" s="1"/>
  <c r="G14" s="1"/>
  <c r="F12" i="7" s="1"/>
  <c r="F25" s="1"/>
  <c r="F10" i="4"/>
  <c r="F14" s="1"/>
  <c r="E12" i="7" s="1"/>
  <c r="E25" s="1"/>
  <c r="E10" i="2"/>
  <c r="E15" s="1"/>
  <c r="I15" i="8"/>
  <c r="D10" i="3"/>
  <c r="D14" s="1"/>
  <c r="C11" i="7" s="1"/>
  <c r="C24" s="1"/>
  <c r="H16" i="8"/>
  <c r="E11" i="3"/>
  <c r="I11" i="8"/>
  <c r="F11" i="2"/>
  <c r="J10" i="8"/>
  <c r="C16" i="7" l="1"/>
  <c r="C23"/>
  <c r="C26"/>
  <c r="D41" s="1"/>
  <c r="C25"/>
  <c r="D39" s="1"/>
  <c r="G11" i="2"/>
  <c r="F11" i="3"/>
  <c r="J11" i="8"/>
  <c r="G11" i="3" s="1"/>
  <c r="F10" i="2"/>
  <c r="F15" s="1"/>
  <c r="J15" i="8"/>
  <c r="G10" i="2" s="1"/>
  <c r="G15" s="1"/>
  <c r="E10" i="3"/>
  <c r="E14" s="1"/>
  <c r="D11" i="7" s="1"/>
  <c r="D24" s="1"/>
  <c r="I16" i="8"/>
  <c r="D10" i="7"/>
  <c r="J16" i="8" l="1"/>
  <c r="G10" i="3" s="1"/>
  <c r="G14" s="1"/>
  <c r="F11" i="7" s="1"/>
  <c r="F24" s="1"/>
  <c r="F10" i="3"/>
  <c r="F14" s="1"/>
  <c r="E11" i="7" s="1"/>
  <c r="E24" s="1"/>
  <c r="D23"/>
  <c r="D28" s="1"/>
  <c r="D16"/>
  <c r="E10"/>
  <c r="F10"/>
  <c r="C28"/>
  <c r="D38" l="1"/>
  <c r="E16"/>
  <c r="E23"/>
  <c r="F16"/>
  <c r="F23"/>
  <c r="F28" s="1"/>
  <c r="E28" l="1"/>
  <c r="D37"/>
  <c r="D40" l="1"/>
  <c r="D42"/>
  <c r="D45" l="1"/>
  <c r="G45" s="1"/>
  <c r="D44"/>
  <c r="G44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5" author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<sst xmlns="http://schemas.openxmlformats.org/spreadsheetml/2006/main" count="518" uniqueCount="266">
  <si>
    <t>%</t>
  </si>
  <si>
    <t>PD%</t>
  </si>
  <si>
    <t>IMPULSORES DE COSTOS</t>
  </si>
  <si>
    <t>Demanda Máxima</t>
  </si>
  <si>
    <t>MWH</t>
  </si>
  <si>
    <t>Clientes</t>
  </si>
  <si>
    <t>Rentabilidad sobre Activos</t>
  </si>
  <si>
    <t>Depreciación</t>
  </si>
  <si>
    <t>Operación y Mantenimiento</t>
  </si>
  <si>
    <t>Administración</t>
  </si>
  <si>
    <t>Pérdidas</t>
  </si>
  <si>
    <t>COMERCIALIZACIÓN</t>
  </si>
  <si>
    <t>ALUMBRADO PÚBLICO</t>
  </si>
  <si>
    <t>MWh</t>
  </si>
  <si>
    <t>SISTEMA PRINCIPAL</t>
  </si>
  <si>
    <t>IPPD</t>
  </si>
  <si>
    <t>COMERCIALIZACION</t>
  </si>
  <si>
    <t>IPCO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</si>
  <si>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</si>
  <si>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</si>
  <si>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</si>
  <si>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</si>
  <si>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</si>
  <si>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</si>
  <si>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</si>
  <si>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</si>
  <si>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</si>
  <si>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WACC REAL ANTES. IMPUESTOS(%)</t>
  </si>
  <si>
    <t>TOTAL</t>
  </si>
  <si>
    <t>Nº clientes</t>
  </si>
  <si>
    <t>OMD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</si>
  <si>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</si>
  <si>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</si>
  <si>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</si>
  <si>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</si>
  <si>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</si>
  <si>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</si>
  <si>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</si>
  <si>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</si>
  <si>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(PD%) * MWhD * CMM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</si>
  <si>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</si>
  <si>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</si>
  <si>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</si>
  <si>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</si>
  <si>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</si>
  <si>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</si>
  <si>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</si>
  <si>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</si>
  <si>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</si>
  <si>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</si>
  <si>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</si>
  <si>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</si>
  <si>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</si>
  <si>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</si>
  <si>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</si>
  <si>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</si>
  <si>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Valor Neto Base Capital Comercializ.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</si>
  <si>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</si>
  <si>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</si>
  <si>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</si>
  <si>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</si>
  <si>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</si>
  <si>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</si>
  <si>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</si>
  <si>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</si>
  <si>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</si>
  <si>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</si>
  <si>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EDECHI</t>
  </si>
  <si>
    <t>USD</t>
  </si>
  <si>
    <t>CREC.a.a.</t>
  </si>
  <si>
    <t>DEM/CLIENTE</t>
  </si>
  <si>
    <t>ENERGIA-AÑO/CLIENTE</t>
  </si>
  <si>
    <t>BASE</t>
  </si>
  <si>
    <t>TOTALES</t>
  </si>
  <si>
    <t>AJUSTE ACTNOREG</t>
  </si>
  <si>
    <t>Adim</t>
  </si>
  <si>
    <t>B. REFERENCIAL</t>
  </si>
  <si>
    <t>VPN DEL INGRESO TARIFARIO</t>
  </si>
  <si>
    <t>Factor de Descuento</t>
  </si>
  <si>
    <t>Factor de Descuento Aplicado</t>
  </si>
  <si>
    <t>PERDIDAS</t>
  </si>
  <si>
    <t>MW</t>
  </si>
  <si>
    <t>Energía ingresada al sist.</t>
  </si>
  <si>
    <t>Miles de B.</t>
  </si>
  <si>
    <t>B/MWh</t>
  </si>
  <si>
    <t>Valor Bruto Base de Capital de Distribución</t>
  </si>
  <si>
    <t>Valor Bruto Base de Capital de Comercialización</t>
  </si>
  <si>
    <t>Valor Bruto Activos Fijos AP</t>
  </si>
  <si>
    <t>Valor Neto Activos Fijos AP</t>
  </si>
  <si>
    <t>Alumbrado Público</t>
  </si>
  <si>
    <t>Concepto</t>
  </si>
  <si>
    <t>Valor</t>
  </si>
  <si>
    <t>Tasa Libre de Riesgo</t>
  </si>
  <si>
    <t>Beta Equity Panama</t>
  </si>
  <si>
    <t>Prima Riesgo Mercado</t>
  </si>
  <si>
    <t>Riesgo País</t>
  </si>
  <si>
    <t>Costo Capital Propio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</si>
  <si>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</si>
  <si>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</si>
  <si>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</si>
  <si>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</si>
  <si>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</si>
  <si>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</si>
  <si>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Tasa Inflación EUA Largo Plazo</t>
  </si>
  <si>
    <t>WACC Real despues de Impuestos</t>
  </si>
  <si>
    <t>WACC Real antes de Impuestos</t>
  </si>
  <si>
    <t>DIFERENCIAS</t>
  </si>
  <si>
    <t>Cantidad de luminarias al 30/6</t>
  </si>
  <si>
    <t>Costo O&amp;M por luminaria [B/. /año]</t>
  </si>
  <si>
    <t>A. RESOLUCIÓN ASEP</t>
  </si>
  <si>
    <t>ACT.JUN10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</si>
  <si>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</si>
  <si>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</si>
  <si>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</si>
  <si>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</si>
  <si>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</si>
  <si>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Inversiones totales en Alumbrado Público</t>
  </si>
  <si>
    <t>Total</t>
  </si>
  <si>
    <t>Nueva Subestación Cristobal  (115kV) en David</t>
  </si>
  <si>
    <t>Energía Facturada sin AP (MWh)</t>
  </si>
  <si>
    <t>IMP TOTAL</t>
  </si>
  <si>
    <t>Considerando Inversiones para Soterramiento</t>
  </si>
  <si>
    <t>SI</t>
  </si>
  <si>
    <t>NO</t>
  </si>
  <si>
    <t>INGRESO MÁXIMO PERMITIDO = IMP</t>
  </si>
  <si>
    <t>En miles de Balboas</t>
  </si>
  <si>
    <t>VALOR PRESENTE NETO - INGRESO MÁXIMO PERMITIDO</t>
  </si>
  <si>
    <t>SUB-TOTAL</t>
  </si>
  <si>
    <t>Miles de B/.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</si>
  <si>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</si>
  <si>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</si>
  <si>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IMP (AÑO TARIFARIO) =</t>
  </si>
  <si>
    <t>IMP (AÑO TARIFARIO) SIN PÉRDIDAS =</t>
  </si>
  <si>
    <t>Miles de Balboas</t>
  </si>
  <si>
    <t>INGRESO MÁXIMO PERMITIDO POR DISTRIBUCIÓN = IMPD</t>
  </si>
  <si>
    <t>INGRESO MÁXIMO PERMITIDO POR COMERCIALIZACIÓN = IPCO</t>
  </si>
  <si>
    <t>INGRESO MÁXIMO PERMITIDO POR ALUMBRADO PÚBLICO = ALUMPU</t>
  </si>
  <si>
    <t xml:space="preserve">Pérdidas </t>
  </si>
  <si>
    <t>Balboas/MWh</t>
  </si>
  <si>
    <t>ENERGIA FACTURADA sin AP</t>
  </si>
  <si>
    <t>REGRESIONES CON DATOS DE LA FERC, AÑOS 2011-2012 - MODELO OLS MUESTRA COMPLETA</t>
  </si>
  <si>
    <t>1 - CAPEX y OPEX</t>
  </si>
  <si>
    <t xml:space="preserve">Variable </t>
  </si>
  <si>
    <t>Ln(DM)</t>
  </si>
  <si>
    <t>Ln(Cl) - Ln(DM/Cl)</t>
  </si>
  <si>
    <t>DATOS FÍSICOS EMPRESA</t>
  </si>
  <si>
    <t>Variable</t>
  </si>
  <si>
    <t>Unidad</t>
  </si>
  <si>
    <t>Base</t>
  </si>
  <si>
    <t>Proyección ENSA</t>
  </si>
  <si>
    <t>Jul 2012-Jun 2013</t>
  </si>
  <si>
    <t>Jul 2013-Jun 2014</t>
  </si>
  <si>
    <t>Jul 2014-Jun 2015</t>
  </si>
  <si>
    <t>Jul 2015-Jun 2016</t>
  </si>
  <si>
    <t>Jul 2016-Jun 2017</t>
  </si>
  <si>
    <t>Jul 2017-Jun 2018</t>
  </si>
  <si>
    <t>Demanda</t>
  </si>
  <si>
    <t xml:space="preserve">Energía Inyectada </t>
  </si>
  <si>
    <t>Cant.</t>
  </si>
  <si>
    <t>RESULTADOS CAPEX y OPEX</t>
  </si>
  <si>
    <t>En USD 2013 sin ajuste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</si>
  <si>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</si>
  <si>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</si>
  <si>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</si>
  <si>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</si>
  <si>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</si>
  <si>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</si>
  <si>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</si>
  <si>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</si>
  <si>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En USD 2013 con ajuste</t>
  </si>
  <si>
    <t>Activos totales</t>
  </si>
  <si>
    <t>OPEX Totales</t>
  </si>
  <si>
    <t>TOTEX (Costos Totales)</t>
  </si>
  <si>
    <t>Inversión Totales</t>
  </si>
  <si>
    <t>2 - PÉRDIDAS</t>
  </si>
  <si>
    <t>Ln(EF)</t>
  </si>
  <si>
    <t>RESULTADOS PÉRDIDAS</t>
  </si>
  <si>
    <t>ENSA</t>
  </si>
  <si>
    <t>Porcentaje</t>
  </si>
  <si>
    <t>PE_MWH</t>
  </si>
  <si>
    <t>PE_%</t>
  </si>
  <si>
    <t>JUL14 / JUN15</t>
  </si>
  <si>
    <t>JUL15 / JUN16</t>
  </si>
  <si>
    <t>JUL16 / JUN17</t>
  </si>
  <si>
    <t>JUL17 / JUN18</t>
  </si>
  <si>
    <t>JULIO/14-JUNIO/18</t>
  </si>
  <si>
    <t>Actualizados al primer semestre 2014</t>
  </si>
  <si>
    <t>INVERSION EN AT NO CONTEMPLADAS EN LAS ECUACIONES DE EFICIENCIA - Miles de Balboas</t>
  </si>
  <si>
    <t>Jul a Dic 2014</t>
  </si>
  <si>
    <t>Ene a Jun 2018</t>
  </si>
  <si>
    <t>-</t>
  </si>
  <si>
    <t>Línea AT MDN - San Cristóbal</t>
  </si>
  <si>
    <t>OTRAS INVERSIONES NO CONTEMPLADAS EN LAS ECUACIONES DE EFICIENCIA - Miles de Balboas</t>
  </si>
  <si>
    <t>Soterrado Ciudad de David ( Calle4º y Ave. 8 Este)</t>
  </si>
  <si>
    <t>Confiabilidad de plantas potabilizadoras</t>
  </si>
  <si>
    <t>Implantación de Medidores Inteligentes (Smart Metering)</t>
  </si>
  <si>
    <t>Itegración isla Colón al SIN</t>
  </si>
  <si>
    <t>Ampliación SE Cañazas</t>
  </si>
  <si>
    <t>Conversión a 13.2kV y a 34.5 kV</t>
  </si>
  <si>
    <t>INVERSIONES EN ALUMBRADO PÚBLICO - Miles de Balboas</t>
  </si>
  <si>
    <t xml:space="preserve">Crecimiento Vegetativo </t>
  </si>
  <si>
    <t>Interamericana San Pablo Viejo</t>
  </si>
  <si>
    <t xml:space="preserve">Interamericana Bagala </t>
  </si>
  <si>
    <t xml:space="preserve">Interamericana Boqueron Pedregal </t>
  </si>
  <si>
    <t>Interamericana Aserrío hasta elpuente del Río Jacú</t>
  </si>
  <si>
    <t>Carretera David-Boquete</t>
  </si>
  <si>
    <t>Carretera Concepción-Cerro Punta</t>
  </si>
  <si>
    <t>Periodo</t>
  </si>
  <si>
    <t>PROVINCIA</t>
  </si>
  <si>
    <t>DISTRITO</t>
  </si>
  <si>
    <t>CORREGIMIENTO</t>
  </si>
  <si>
    <t>POBLADO</t>
  </si>
  <si>
    <t># VIV</t>
  </si>
  <si>
    <t>Inversión en B/.</t>
  </si>
  <si>
    <t>Jul-Dic14</t>
  </si>
  <si>
    <t>Chiriquí</t>
  </si>
  <si>
    <t>Bugaba</t>
  </si>
  <si>
    <t>El Bongo</t>
  </si>
  <si>
    <t>Alanje</t>
  </si>
  <si>
    <t>Santo Tomás</t>
  </si>
  <si>
    <t>La Cucua</t>
  </si>
  <si>
    <t>Ene-Jun15</t>
  </si>
  <si>
    <t>Bocas del Toro</t>
  </si>
  <si>
    <t>Changuinola</t>
  </si>
  <si>
    <t>Almirante</t>
  </si>
  <si>
    <t>Nuevo Paraíso</t>
  </si>
  <si>
    <t>David</t>
  </si>
  <si>
    <t>San Pablo Nuevo</t>
  </si>
  <si>
    <t>Nuevo Coquito</t>
  </si>
  <si>
    <t>Cochea</t>
  </si>
  <si>
    <t>El Higo de Cochea</t>
  </si>
  <si>
    <t>Contingencias*</t>
  </si>
  <si>
    <t>Jul-Dic15</t>
  </si>
  <si>
    <t>(No están en la lista las poblaciones)</t>
  </si>
  <si>
    <t>Ene-Jun16</t>
  </si>
  <si>
    <t>Guarumal</t>
  </si>
  <si>
    <t>La Martina (Apro)</t>
  </si>
  <si>
    <t>Boquerón</t>
  </si>
  <si>
    <t>Bágala</t>
  </si>
  <si>
    <t>Sector los Villarreal</t>
  </si>
  <si>
    <t>Renacimiento</t>
  </si>
  <si>
    <t>Monte Lirio</t>
  </si>
  <si>
    <t>Santo Domingo (Damas Unidas)</t>
  </si>
  <si>
    <t>Jul-Dic16</t>
  </si>
  <si>
    <t>Milla 3 (4 de abril)</t>
  </si>
  <si>
    <t>San Andrés</t>
  </si>
  <si>
    <t>Alto de Jacu</t>
  </si>
  <si>
    <t>Ene-Jun17</t>
  </si>
  <si>
    <t>Las Tablas</t>
  </si>
  <si>
    <t>Puente Blanco</t>
  </si>
  <si>
    <t>Palmarito Sect. Los Pitti</t>
  </si>
  <si>
    <t>Jul-Dic17</t>
  </si>
  <si>
    <t>Puente Negro</t>
  </si>
  <si>
    <t>Gomez</t>
  </si>
  <si>
    <t>San Miguel Exquisito</t>
  </si>
  <si>
    <t>Ene-Jun18</t>
  </si>
  <si>
    <t>San Antonio Arriba</t>
  </si>
  <si>
    <t>Los Pitti- San Antonio</t>
  </si>
  <si>
    <t>INVERSIONES EN ELECTRIFICACIÓN RURAL - Balboas</t>
  </si>
  <si>
    <t>*Fondo para poblaciones adicionales cuyo requerimiento surja dentro del periodo</t>
  </si>
  <si>
    <t>Distribución (SE AT)</t>
  </si>
  <si>
    <t>Otras Inversiones</t>
  </si>
  <si>
    <t>Electrificación Rural</t>
  </si>
  <si>
    <t>INVERSIONES NO CONTEMPLADAS EN LAS ECUACIONES DE EFICIENCIA</t>
  </si>
  <si>
    <t>Energía Facturada (sin/AP)</t>
  </si>
  <si>
    <t>INVNE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</si>
</sst>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0.0%"/>
    <numFmt numFmtId="168" formatCode="0.000"/>
    <numFmt numFmtId="169" formatCode="0.00000"/>
    <numFmt numFmtId="170" formatCode="0.000%"/>
    <numFmt numFmtId="171" formatCode="0.0000%"/>
    <numFmt numFmtId="172" formatCode="0.0000000%"/>
    <numFmt numFmtId="173" formatCode="#,##0.000"/>
    <numFmt numFmtId="174" formatCode="#,##0.0"/>
    <numFmt numFmtId="175" formatCode="#,##0.00_ ;[Red]\-#,##0.00\ "/>
    <numFmt numFmtId="176" formatCode="#,##0.00000"/>
  </numFmts>
  <fonts count="4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rgb="FFFFD40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6413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328">
    <xf numFmtId="0" fontId="0" fillId="0" borderId="0" xfId="0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4" fillId="7" borderId="0" xfId="0" applyNumberFormat="1" applyFont="1" applyFill="1" applyAlignment="1">
      <alignment horizontal="center" vertical="center"/>
    </xf>
    <xf numFmtId="4" fontId="15" fillId="7" borderId="0" xfId="0" applyNumberFormat="1" applyFont="1" applyFill="1" applyAlignment="1">
      <alignment horizontal="center" vertical="center"/>
    </xf>
    <xf numFmtId="4" fontId="16" fillId="7" borderId="0" xfId="0" applyNumberFormat="1" applyFont="1" applyFill="1" applyAlignment="1">
      <alignment horizontal="center" vertical="center"/>
    </xf>
    <xf numFmtId="3" fontId="14" fillId="7" borderId="0" xfId="0" applyNumberFormat="1" applyFont="1" applyFill="1" applyAlignment="1">
      <alignment horizontal="center" vertical="center"/>
    </xf>
    <xf numFmtId="3" fontId="16" fillId="7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165" fontId="6" fillId="0" borderId="0" xfId="4" applyNumberFormat="1" applyFont="1" applyFill="1" applyBorder="1" applyAlignment="1">
      <alignment horizontal="center" vertical="center"/>
    </xf>
    <xf numFmtId="167" fontId="6" fillId="0" borderId="0" xfId="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0" fillId="0" borderId="0" xfId="4" applyNumberFormat="1" applyFont="1" applyFill="1" applyAlignment="1">
      <alignment horizontal="center" vertical="center"/>
    </xf>
    <xf numFmtId="167" fontId="10" fillId="0" borderId="0" xfId="3" applyNumberFormat="1" applyFont="1" applyFill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/>
    <xf numFmtId="10" fontId="14" fillId="0" borderId="0" xfId="3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164" fontId="14" fillId="0" borderId="0" xfId="4" applyFont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9" fontId="14" fillId="0" borderId="0" xfId="3" applyNumberFormat="1" applyFont="1" applyFill="1" applyBorder="1" applyAlignment="1">
      <alignment horizontal="center"/>
    </xf>
    <xf numFmtId="172" fontId="14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Border="1"/>
    <xf numFmtId="0" fontId="23" fillId="0" borderId="12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2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3" fillId="0" borderId="26" xfId="0" applyFont="1" applyBorder="1"/>
    <xf numFmtId="0" fontId="24" fillId="0" borderId="0" xfId="0" applyFont="1"/>
    <xf numFmtId="0" fontId="23" fillId="0" borderId="27" xfId="0" applyFont="1" applyBorder="1"/>
    <xf numFmtId="0" fontId="23" fillId="0" borderId="13" xfId="0" applyFont="1" applyBorder="1"/>
    <xf numFmtId="10" fontId="26" fillId="0" borderId="12" xfId="3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7" fillId="0" borderId="27" xfId="0" applyFont="1" applyBorder="1"/>
    <xf numFmtId="0" fontId="27" fillId="0" borderId="29" xfId="0" applyFont="1" applyFill="1" applyBorder="1" applyAlignment="1">
      <alignment horizontal="right"/>
    </xf>
    <xf numFmtId="0" fontId="27" fillId="0" borderId="27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3" fillId="0" borderId="0" xfId="0" applyFont="1" applyBorder="1" applyAlignment="1"/>
    <xf numFmtId="0" fontId="24" fillId="2" borderId="4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5" xfId="0" applyFont="1" applyFill="1" applyBorder="1"/>
    <xf numFmtId="0" fontId="24" fillId="0" borderId="5" xfId="0" applyFont="1" applyFill="1" applyBorder="1" applyAlignment="1">
      <alignment horizontal="center"/>
    </xf>
    <xf numFmtId="3" fontId="28" fillId="0" borderId="5" xfId="0" applyNumberFormat="1" applyFont="1" applyFill="1" applyBorder="1" applyAlignment="1">
      <alignment horizontal="right"/>
    </xf>
    <xf numFmtId="17" fontId="24" fillId="0" borderId="8" xfId="0" applyNumberFormat="1" applyFont="1" applyBorder="1" applyAlignment="1">
      <alignment horizontal="left"/>
    </xf>
    <xf numFmtId="0" fontId="24" fillId="0" borderId="8" xfId="0" applyFont="1" applyBorder="1"/>
    <xf numFmtId="2" fontId="29" fillId="0" borderId="8" xfId="0" applyNumberFormat="1" applyFont="1" applyFill="1" applyBorder="1"/>
    <xf numFmtId="10" fontId="29" fillId="0" borderId="8" xfId="3" applyNumberFormat="1" applyFont="1" applyFill="1" applyBorder="1"/>
    <xf numFmtId="0" fontId="23" fillId="0" borderId="10" xfId="0" applyFont="1" applyBorder="1"/>
    <xf numFmtId="0" fontId="23" fillId="0" borderId="10" xfId="0" applyFont="1" applyFill="1" applyBorder="1"/>
    <xf numFmtId="0" fontId="23" fillId="0" borderId="0" xfId="0" applyFont="1" applyFill="1"/>
    <xf numFmtId="0" fontId="30" fillId="0" borderId="0" xfId="0" applyFont="1"/>
    <xf numFmtId="0" fontId="24" fillId="3" borderId="3" xfId="0" applyFont="1" applyFill="1" applyBorder="1" applyAlignment="1">
      <alignment horizontal="center"/>
    </xf>
    <xf numFmtId="0" fontId="24" fillId="0" borderId="13" xfId="0" applyFont="1" applyBorder="1"/>
    <xf numFmtId="0" fontId="23" fillId="0" borderId="22" xfId="0" applyFont="1" applyBorder="1"/>
    <xf numFmtId="0" fontId="24" fillId="2" borderId="3" xfId="0" applyFont="1" applyFill="1" applyBorder="1" applyAlignment="1">
      <alignment horizontal="center"/>
    </xf>
    <xf numFmtId="0" fontId="23" fillId="0" borderId="7" xfId="0" applyFont="1" applyBorder="1"/>
    <xf numFmtId="3" fontId="26" fillId="3" borderId="8" xfId="0" applyNumberFormat="1" applyFont="1" applyFill="1" applyBorder="1"/>
    <xf numFmtId="3" fontId="23" fillId="0" borderId="8" xfId="0" applyNumberFormat="1" applyFont="1" applyFill="1" applyBorder="1"/>
    <xf numFmtId="173" fontId="31" fillId="3" borderId="8" xfId="0" applyNumberFormat="1" applyFont="1" applyFill="1" applyBorder="1"/>
    <xf numFmtId="176" fontId="26" fillId="3" borderId="8" xfId="0" applyNumberFormat="1" applyFont="1" applyFill="1" applyBorder="1"/>
    <xf numFmtId="4" fontId="26" fillId="3" borderId="8" xfId="0" applyNumberFormat="1" applyFont="1" applyFill="1" applyBorder="1"/>
    <xf numFmtId="4" fontId="23" fillId="0" borderId="8" xfId="0" applyNumberFormat="1" applyFont="1" applyFill="1" applyBorder="1"/>
    <xf numFmtId="173" fontId="26" fillId="3" borderId="10" xfId="0" applyNumberFormat="1" applyFont="1" applyFill="1" applyBorder="1"/>
    <xf numFmtId="4" fontId="26" fillId="3" borderId="14" xfId="0" applyNumberFormat="1" applyFont="1" applyFill="1" applyBorder="1"/>
    <xf numFmtId="173" fontId="23" fillId="0" borderId="10" xfId="0" applyNumberFormat="1" applyFont="1" applyFill="1" applyBorder="1"/>
    <xf numFmtId="173" fontId="23" fillId="0" borderId="14" xfId="0" applyNumberFormat="1" applyFont="1" applyFill="1" applyBorder="1"/>
    <xf numFmtId="0" fontId="24" fillId="0" borderId="4" xfId="0" applyFont="1" applyBorder="1"/>
    <xf numFmtId="176" fontId="26" fillId="3" borderId="5" xfId="0" applyNumberFormat="1" applyFont="1" applyFill="1" applyBorder="1"/>
    <xf numFmtId="4" fontId="26" fillId="3" borderId="5" xfId="0" applyNumberFormat="1" applyFont="1" applyFill="1" applyBorder="1"/>
    <xf numFmtId="173" fontId="23" fillId="0" borderId="8" xfId="0" applyNumberFormat="1" applyFont="1" applyFill="1" applyBorder="1"/>
    <xf numFmtId="0" fontId="24" fillId="0" borderId="9" xfId="0" applyFont="1" applyFill="1" applyBorder="1"/>
    <xf numFmtId="3" fontId="26" fillId="3" borderId="10" xfId="0" applyNumberFormat="1" applyFont="1" applyFill="1" applyBorder="1"/>
    <xf numFmtId="3" fontId="26" fillId="0" borderId="10" xfId="0" applyNumberFormat="1" applyFont="1" applyFill="1" applyBorder="1"/>
    <xf numFmtId="0" fontId="23" fillId="0" borderId="0" xfId="0" applyFont="1" applyBorder="1"/>
    <xf numFmtId="167" fontId="23" fillId="0" borderId="0" xfId="3" applyNumberFormat="1" applyFont="1" applyBorder="1"/>
    <xf numFmtId="164" fontId="23" fillId="0" borderId="0" xfId="1" applyFont="1" applyBorder="1"/>
    <xf numFmtId="3" fontId="23" fillId="0" borderId="0" xfId="0" applyNumberFormat="1" applyFont="1"/>
    <xf numFmtId="0" fontId="32" fillId="0" borderId="0" xfId="0" applyFont="1"/>
    <xf numFmtId="168" fontId="23" fillId="0" borderId="0" xfId="0" applyNumberFormat="1" applyFont="1"/>
    <xf numFmtId="0" fontId="23" fillId="0" borderId="2" xfId="0" applyFont="1" applyBorder="1"/>
    <xf numFmtId="0" fontId="24" fillId="2" borderId="6" xfId="0" applyFont="1" applyFill="1" applyBorder="1" applyAlignment="1">
      <alignment horizontal="center"/>
    </xf>
    <xf numFmtId="0" fontId="23" fillId="0" borderId="5" xfId="0" applyFont="1" applyBorder="1"/>
    <xf numFmtId="0" fontId="23" fillId="0" borderId="4" xfId="0" applyFont="1" applyBorder="1"/>
    <xf numFmtId="0" fontId="23" fillId="0" borderId="8" xfId="0" applyFont="1" applyBorder="1"/>
    <xf numFmtId="0" fontId="23" fillId="0" borderId="8" xfId="0" applyFont="1" applyFill="1" applyBorder="1"/>
    <xf numFmtId="2" fontId="23" fillId="0" borderId="8" xfId="1" applyNumberFormat="1" applyFont="1" applyFill="1" applyBorder="1"/>
    <xf numFmtId="2" fontId="23" fillId="0" borderId="8" xfId="0" applyNumberFormat="1" applyFont="1" applyBorder="1"/>
    <xf numFmtId="0" fontId="24" fillId="0" borderId="3" xfId="0" applyFont="1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65" fontId="23" fillId="0" borderId="10" xfId="0" applyNumberFormat="1" applyFont="1" applyBorder="1"/>
    <xf numFmtId="3" fontId="14" fillId="5" borderId="3" xfId="0" applyNumberFormat="1" applyFont="1" applyFill="1" applyBorder="1" applyAlignment="1">
      <alignment horizontal="right"/>
    </xf>
    <xf numFmtId="0" fontId="33" fillId="0" borderId="3" xfId="0" applyFont="1" applyFill="1" applyBorder="1"/>
    <xf numFmtId="0" fontId="33" fillId="0" borderId="35" xfId="0" applyFont="1" applyFill="1" applyBorder="1"/>
    <xf numFmtId="0" fontId="24" fillId="0" borderId="2" xfId="0" applyFont="1" applyBorder="1"/>
    <xf numFmtId="165" fontId="24" fillId="0" borderId="2" xfId="0" applyNumberFormat="1" applyFont="1" applyFill="1" applyBorder="1"/>
    <xf numFmtId="165" fontId="24" fillId="0" borderId="3" xfId="0" applyNumberFormat="1" applyFont="1" applyFill="1" applyBorder="1"/>
    <xf numFmtId="165" fontId="24" fillId="0" borderId="3" xfId="0" applyNumberFormat="1" applyFont="1" applyBorder="1"/>
    <xf numFmtId="3" fontId="34" fillId="0" borderId="34" xfId="0" applyNumberFormat="1" applyFont="1" applyFill="1" applyBorder="1" applyAlignment="1">
      <alignment horizontal="right"/>
    </xf>
    <xf numFmtId="3" fontId="34" fillId="0" borderId="36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35" fillId="0" borderId="0" xfId="0" applyFont="1" applyFill="1" applyBorder="1" applyAlignment="1">
      <alignment horizontal="left" indent="2"/>
    </xf>
    <xf numFmtId="3" fontId="35" fillId="0" borderId="0" xfId="0" applyNumberFormat="1" applyFont="1" applyFill="1" applyBorder="1" applyAlignment="1">
      <alignment horizontal="right"/>
    </xf>
    <xf numFmtId="165" fontId="24" fillId="0" borderId="0" xfId="0" applyNumberFormat="1" applyFont="1"/>
    <xf numFmtId="0" fontId="23" fillId="0" borderId="3" xfId="0" applyFont="1" applyBorder="1"/>
    <xf numFmtId="0" fontId="24" fillId="2" borderId="3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35" xfId="0" applyFont="1" applyBorder="1"/>
    <xf numFmtId="168" fontId="23" fillId="0" borderId="0" xfId="0" applyNumberFormat="1" applyFont="1" applyFill="1" applyBorder="1" applyAlignment="1">
      <alignment horizontal="right"/>
    </xf>
    <xf numFmtId="0" fontId="33" fillId="0" borderId="17" xfId="0" applyFont="1" applyBorder="1" applyAlignment="1"/>
    <xf numFmtId="0" fontId="33" fillId="0" borderId="20" xfId="0" applyFont="1" applyBorder="1" applyAlignment="1"/>
    <xf numFmtId="0" fontId="29" fillId="0" borderId="3" xfId="0" applyFont="1" applyBorder="1" applyAlignment="1">
      <alignment horizontal="center" wrapText="1"/>
    </xf>
    <xf numFmtId="0" fontId="23" fillId="3" borderId="30" xfId="0" applyFont="1" applyFill="1" applyBorder="1"/>
    <xf numFmtId="0" fontId="23" fillId="3" borderId="34" xfId="0" applyFont="1" applyFill="1" applyBorder="1"/>
    <xf numFmtId="164" fontId="23" fillId="3" borderId="39" xfId="1" applyFont="1" applyFill="1" applyBorder="1"/>
    <xf numFmtId="164" fontId="23" fillId="3" borderId="40" xfId="1" applyFont="1" applyFill="1" applyBorder="1"/>
    <xf numFmtId="1" fontId="37" fillId="0" borderId="0" xfId="0" applyNumberFormat="1" applyFont="1" applyBorder="1"/>
    <xf numFmtId="1" fontId="37" fillId="0" borderId="0" xfId="0" applyNumberFormat="1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3" fontId="23" fillId="7" borderId="0" xfId="0" applyNumberFormat="1" applyFont="1" applyFill="1" applyAlignment="1">
      <alignment horizontal="center" vertical="center"/>
    </xf>
    <xf numFmtId="167" fontId="23" fillId="0" borderId="0" xfId="3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65" fontId="23" fillId="0" borderId="0" xfId="4" applyNumberFormat="1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165" fontId="23" fillId="0" borderId="0" xfId="4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3"/>
    </xf>
    <xf numFmtId="0" fontId="23" fillId="0" borderId="0" xfId="0" applyFont="1" applyFill="1" applyBorder="1" applyAlignment="1">
      <alignment horizontal="left" indent="2"/>
    </xf>
    <xf numFmtId="0" fontId="23" fillId="0" borderId="0" xfId="0" applyFont="1" applyFill="1" applyBorder="1" applyAlignment="1">
      <alignment horizontal="left" vertical="justify" indent="2"/>
    </xf>
    <xf numFmtId="172" fontId="23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center" vertical="center"/>
    </xf>
    <xf numFmtId="10" fontId="23" fillId="0" borderId="0" xfId="3" applyNumberFormat="1" applyFont="1" applyFill="1" applyBorder="1" applyAlignment="1">
      <alignment horizontal="center" vertical="center"/>
    </xf>
    <xf numFmtId="0" fontId="23" fillId="0" borderId="11" xfId="0" applyFont="1" applyFill="1" applyBorder="1"/>
    <xf numFmtId="0" fontId="23" fillId="0" borderId="7" xfId="0" applyFont="1" applyFill="1" applyBorder="1"/>
    <xf numFmtId="0" fontId="23" fillId="0" borderId="5" xfId="0" applyFont="1" applyFill="1" applyBorder="1"/>
    <xf numFmtId="10" fontId="24" fillId="0" borderId="8" xfId="3" applyNumberFormat="1" applyFont="1" applyBorder="1"/>
    <xf numFmtId="0" fontId="24" fillId="0" borderId="2" xfId="0" applyFont="1" applyFill="1" applyBorder="1"/>
    <xf numFmtId="0" fontId="24" fillId="0" borderId="7" xfId="0" applyFont="1" applyFill="1" applyBorder="1"/>
    <xf numFmtId="0" fontId="24" fillId="0" borderId="7" xfId="0" applyFont="1" applyBorder="1"/>
    <xf numFmtId="165" fontId="23" fillId="0" borderId="8" xfId="1" applyNumberFormat="1" applyFont="1" applyBorder="1"/>
    <xf numFmtId="0" fontId="24" fillId="0" borderId="3" xfId="0" applyFont="1" applyFill="1" applyBorder="1"/>
    <xf numFmtId="0" fontId="23" fillId="0" borderId="9" xfId="0" applyFont="1" applyBorder="1"/>
    <xf numFmtId="0" fontId="24" fillId="2" borderId="2" xfId="0" applyFont="1" applyFill="1" applyBorder="1"/>
    <xf numFmtId="0" fontId="23" fillId="0" borderId="8" xfId="0" applyFont="1" applyBorder="1" applyAlignment="1">
      <alignment horizontal="center"/>
    </xf>
    <xf numFmtId="2" fontId="28" fillId="3" borderId="7" xfId="1" applyNumberFormat="1" applyFont="1" applyFill="1" applyBorder="1"/>
    <xf numFmtId="2" fontId="23" fillId="0" borderId="0" xfId="0" applyNumberFormat="1" applyFont="1" applyBorder="1"/>
    <xf numFmtId="2" fontId="23" fillId="0" borderId="1" xfId="0" applyNumberFormat="1" applyFont="1" applyBorder="1"/>
    <xf numFmtId="0" fontId="23" fillId="0" borderId="7" xfId="0" quotePrefix="1" applyFont="1" applyBorder="1" applyAlignment="1">
      <alignment horizontal="left"/>
    </xf>
    <xf numFmtId="174" fontId="28" fillId="3" borderId="7" xfId="1" applyNumberFormat="1" applyFont="1" applyFill="1" applyBorder="1"/>
    <xf numFmtId="174" fontId="23" fillId="0" borderId="8" xfId="0" applyNumberFormat="1" applyFont="1" applyBorder="1"/>
    <xf numFmtId="174" fontId="23" fillId="0" borderId="0" xfId="0" applyNumberFormat="1" applyFont="1" applyBorder="1"/>
    <xf numFmtId="174" fontId="23" fillId="0" borderId="1" xfId="0" applyNumberFormat="1" applyFont="1" applyBorder="1"/>
    <xf numFmtId="0" fontId="23" fillId="0" borderId="10" xfId="0" applyFont="1" applyBorder="1" applyAlignment="1">
      <alignment horizontal="center"/>
    </xf>
    <xf numFmtId="3" fontId="28" fillId="3" borderId="7" xfId="1" applyNumberFormat="1" applyFont="1" applyFill="1" applyBorder="1"/>
    <xf numFmtId="3" fontId="23" fillId="0" borderId="10" xfId="0" applyNumberFormat="1" applyFont="1" applyBorder="1"/>
    <xf numFmtId="3" fontId="23" fillId="0" borderId="15" xfId="0" applyNumberFormat="1" applyFont="1" applyBorder="1"/>
    <xf numFmtId="3" fontId="23" fillId="0" borderId="14" xfId="0" applyNumberFormat="1" applyFont="1" applyBorder="1"/>
    <xf numFmtId="10" fontId="24" fillId="0" borderId="10" xfId="3" applyNumberFormat="1" applyFont="1" applyBorder="1"/>
    <xf numFmtId="0" fontId="23" fillId="0" borderId="3" xfId="0" applyFont="1" applyBorder="1" applyAlignment="1">
      <alignment horizontal="center"/>
    </xf>
    <xf numFmtId="2" fontId="23" fillId="0" borderId="3" xfId="0" applyNumberFormat="1" applyFont="1" applyBorder="1"/>
    <xf numFmtId="2" fontId="23" fillId="0" borderId="10" xfId="0" applyNumberFormat="1" applyFont="1" applyBorder="1"/>
    <xf numFmtId="2" fontId="28" fillId="0" borderId="0" xfId="1" applyNumberFormat="1" applyFont="1" applyFill="1" applyBorder="1"/>
    <xf numFmtId="2" fontId="23" fillId="0" borderId="0" xfId="0" applyNumberFormat="1" applyFont="1" applyFill="1" applyBorder="1"/>
    <xf numFmtId="0" fontId="23" fillId="0" borderId="3" xfId="0" applyFont="1" applyFill="1" applyBorder="1"/>
    <xf numFmtId="0" fontId="39" fillId="0" borderId="2" xfId="0" applyFont="1" applyBorder="1"/>
    <xf numFmtId="0" fontId="40" fillId="0" borderId="3" xfId="0" applyFont="1" applyFill="1" applyBorder="1"/>
    <xf numFmtId="4" fontId="40" fillId="0" borderId="3" xfId="0" applyNumberFormat="1" applyFont="1" applyFill="1" applyBorder="1"/>
    <xf numFmtId="0" fontId="23" fillId="0" borderId="0" xfId="0" applyFont="1" applyAlignment="1">
      <alignment horizontal="center"/>
    </xf>
    <xf numFmtId="17" fontId="24" fillId="0" borderId="3" xfId="0" applyNumberFormat="1" applyFont="1" applyBorder="1" applyAlignment="1">
      <alignment horizontal="center"/>
    </xf>
    <xf numFmtId="0" fontId="14" fillId="0" borderId="3" xfId="0" applyFont="1" applyBorder="1"/>
    <xf numFmtId="3" fontId="23" fillId="0" borderId="3" xfId="0" applyNumberFormat="1" applyFont="1" applyFill="1" applyBorder="1"/>
    <xf numFmtId="0" fontId="14" fillId="0" borderId="3" xfId="0" quotePrefix="1" applyFont="1" applyBorder="1" applyAlignment="1">
      <alignment horizontal="left"/>
    </xf>
    <xf numFmtId="2" fontId="14" fillId="0" borderId="3" xfId="0" applyNumberFormat="1" applyFont="1" applyBorder="1" applyAlignment="1">
      <alignment horizontal="center"/>
    </xf>
    <xf numFmtId="0" fontId="24" fillId="0" borderId="0" xfId="0" applyFont="1" applyFill="1"/>
    <xf numFmtId="0" fontId="39" fillId="0" borderId="13" xfId="0" applyFont="1" applyBorder="1"/>
    <xf numFmtId="0" fontId="40" fillId="0" borderId="23" xfId="0" applyFont="1" applyFill="1" applyBorder="1"/>
    <xf numFmtId="4" fontId="40" fillId="0" borderId="23" xfId="0" applyNumberFormat="1" applyFont="1" applyFill="1" applyBorder="1"/>
    <xf numFmtId="4" fontId="40" fillId="0" borderId="22" xfId="0" applyNumberFormat="1" applyFont="1" applyFill="1" applyBorder="1"/>
    <xf numFmtId="2" fontId="23" fillId="0" borderId="0" xfId="0" applyNumberFormat="1" applyFont="1"/>
    <xf numFmtId="4" fontId="23" fillId="0" borderId="0" xfId="0" applyNumberFormat="1" applyFont="1"/>
    <xf numFmtId="0" fontId="23" fillId="0" borderId="13" xfId="0" applyFont="1" applyFill="1" applyBorder="1"/>
    <xf numFmtId="0" fontId="25" fillId="0" borderId="23" xfId="0" applyFont="1" applyFill="1" applyBorder="1"/>
    <xf numFmtId="4" fontId="25" fillId="0" borderId="23" xfId="0" applyNumberFormat="1" applyFont="1" applyFill="1" applyBorder="1"/>
    <xf numFmtId="4" fontId="25" fillId="0" borderId="22" xfId="0" applyNumberFormat="1" applyFont="1" applyFill="1" applyBorder="1"/>
    <xf numFmtId="0" fontId="40" fillId="0" borderId="13" xfId="0" applyFont="1" applyBorder="1"/>
    <xf numFmtId="0" fontId="41" fillId="0" borderId="0" xfId="0" applyFont="1"/>
    <xf numFmtId="0" fontId="42" fillId="0" borderId="0" xfId="0" applyFont="1"/>
    <xf numFmtId="0" fontId="23" fillId="0" borderId="2" xfId="0" applyFont="1" applyFill="1" applyBorder="1"/>
    <xf numFmtId="4" fontId="24" fillId="0" borderId="8" xfId="0" applyNumberFormat="1" applyFont="1" applyFill="1" applyBorder="1"/>
    <xf numFmtId="4" fontId="24" fillId="0" borderId="8" xfId="1" applyNumberFormat="1" applyFont="1" applyFill="1" applyBorder="1"/>
    <xf numFmtId="0" fontId="40" fillId="0" borderId="2" xfId="0" applyFont="1" applyFill="1" applyBorder="1"/>
    <xf numFmtId="0" fontId="23" fillId="0" borderId="16" xfId="0" applyFont="1" applyFill="1" applyBorder="1"/>
    <xf numFmtId="0" fontId="23" fillId="0" borderId="24" xfId="0" applyFont="1" applyFill="1" applyBorder="1"/>
    <xf numFmtId="165" fontId="23" fillId="0" borderId="10" xfId="1" applyNumberFormat="1" applyFont="1" applyBorder="1"/>
    <xf numFmtId="164" fontId="23" fillId="0" borderId="24" xfId="1" applyFont="1" applyBorder="1"/>
    <xf numFmtId="0" fontId="40" fillId="2" borderId="17" xfId="0" applyFont="1" applyFill="1" applyBorder="1"/>
    <xf numFmtId="0" fontId="39" fillId="2" borderId="18" xfId="0" applyFont="1" applyFill="1" applyBorder="1"/>
    <xf numFmtId="10" fontId="22" fillId="0" borderId="38" xfId="0" applyNumberFormat="1" applyFont="1" applyFill="1" applyBorder="1" applyAlignment="1">
      <alignment horizontal="center"/>
    </xf>
    <xf numFmtId="0" fontId="39" fillId="0" borderId="17" xfId="0" applyFont="1" applyFill="1" applyBorder="1"/>
    <xf numFmtId="0" fontId="39" fillId="0" borderId="19" xfId="0" applyFont="1" applyFill="1" applyBorder="1"/>
    <xf numFmtId="10" fontId="43" fillId="0" borderId="21" xfId="0" applyNumberFormat="1" applyFont="1" applyFill="1" applyBorder="1" applyAlignment="1">
      <alignment horizontal="center"/>
    </xf>
    <xf numFmtId="0" fontId="39" fillId="0" borderId="20" xfId="0" applyFont="1" applyFill="1" applyBorder="1"/>
    <xf numFmtId="0" fontId="39" fillId="0" borderId="21" xfId="0" applyFont="1" applyFill="1" applyBorder="1" applyAlignment="1">
      <alignment horizontal="center"/>
    </xf>
    <xf numFmtId="175" fontId="39" fillId="0" borderId="21" xfId="0" applyNumberFormat="1" applyFont="1" applyFill="1" applyBorder="1"/>
    <xf numFmtId="167" fontId="40" fillId="0" borderId="0" xfId="3" applyNumberFormat="1" applyFont="1" applyFill="1" applyBorder="1" applyAlignment="1">
      <alignment horizontal="center"/>
    </xf>
    <xf numFmtId="0" fontId="39" fillId="0" borderId="13" xfId="0" applyFont="1" applyFill="1" applyBorder="1"/>
    <xf numFmtId="0" fontId="39" fillId="0" borderId="12" xfId="0" applyFont="1" applyFill="1" applyBorder="1" applyAlignment="1">
      <alignment horizontal="center"/>
    </xf>
    <xf numFmtId="175" fontId="39" fillId="0" borderId="12" xfId="0" applyNumberFormat="1" applyFont="1" applyFill="1" applyBorder="1"/>
    <xf numFmtId="165" fontId="39" fillId="0" borderId="21" xfId="1" applyNumberFormat="1" applyFont="1" applyFill="1" applyBorder="1"/>
    <xf numFmtId="10" fontId="43" fillId="0" borderId="37" xfId="0" applyNumberFormat="1" applyFont="1" applyFill="1" applyBorder="1" applyAlignment="1">
      <alignment horizontal="center"/>
    </xf>
    <xf numFmtId="0" fontId="40" fillId="3" borderId="13" xfId="0" applyFont="1" applyFill="1" applyBorder="1"/>
    <xf numFmtId="0" fontId="40" fillId="3" borderId="12" xfId="0" applyFont="1" applyFill="1" applyBorder="1" applyAlignment="1">
      <alignment horizontal="center"/>
    </xf>
    <xf numFmtId="2" fontId="40" fillId="3" borderId="12" xfId="0" applyNumberFormat="1" applyFont="1" applyFill="1" applyBorder="1" applyAlignment="1">
      <alignment horizontal="center"/>
    </xf>
    <xf numFmtId="10" fontId="43" fillId="3" borderId="41" xfId="0" applyNumberFormat="1" applyFont="1" applyFill="1" applyBorder="1" applyAlignment="1">
      <alignment horizontal="center"/>
    </xf>
    <xf numFmtId="10" fontId="43" fillId="3" borderId="43" xfId="0" applyNumberFormat="1" applyFont="1" applyFill="1" applyBorder="1" applyAlignment="1">
      <alignment horizontal="center"/>
    </xf>
    <xf numFmtId="170" fontId="23" fillId="0" borderId="0" xfId="3" applyNumberFormat="1" applyFont="1"/>
    <xf numFmtId="171" fontId="25" fillId="4" borderId="3" xfId="3" applyNumberFormat="1" applyFont="1" applyFill="1" applyBorder="1" applyAlignment="1">
      <alignment horizontal="center" vertical="justify"/>
    </xf>
    <xf numFmtId="3" fontId="44" fillId="0" borderId="3" xfId="0" applyNumberFormat="1" applyFont="1" applyBorder="1" applyAlignment="1">
      <alignment horizontal="center"/>
    </xf>
    <xf numFmtId="10" fontId="43" fillId="0" borderId="0" xfId="3" applyNumberFormat="1" applyFont="1" applyBorder="1" applyAlignment="1">
      <alignment horizontal="center"/>
    </xf>
    <xf numFmtId="0" fontId="40" fillId="0" borderId="0" xfId="0" applyFont="1" applyFill="1" applyBorder="1"/>
    <xf numFmtId="4" fontId="40" fillId="0" borderId="0" xfId="0" applyNumberFormat="1" applyFont="1" applyFill="1" applyBorder="1"/>
    <xf numFmtId="169" fontId="23" fillId="0" borderId="3" xfId="0" applyNumberFormat="1" applyFont="1" applyBorder="1" applyAlignment="1">
      <alignment horizontal="center"/>
    </xf>
    <xf numFmtId="169" fontId="23" fillId="0" borderId="3" xfId="0" applyNumberFormat="1" applyFont="1" applyFill="1" applyBorder="1" applyAlignment="1">
      <alignment horizontal="center"/>
    </xf>
    <xf numFmtId="0" fontId="23" fillId="0" borderId="21" xfId="0" applyFont="1" applyBorder="1"/>
    <xf numFmtId="0" fontId="14" fillId="5" borderId="27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23" fillId="5" borderId="27" xfId="0" applyFont="1" applyFill="1" applyBorder="1" applyAlignment="1">
      <alignment horizontal="left"/>
    </xf>
    <xf numFmtId="3" fontId="23" fillId="5" borderId="3" xfId="0" applyNumberFormat="1" applyFont="1" applyFill="1" applyBorder="1" applyAlignment="1">
      <alignment horizontal="right"/>
    </xf>
    <xf numFmtId="3" fontId="23" fillId="5" borderId="35" xfId="0" applyNumberFormat="1" applyFont="1" applyFill="1" applyBorder="1" applyAlignment="1">
      <alignment horizontal="right"/>
    </xf>
    <xf numFmtId="0" fontId="36" fillId="0" borderId="30" xfId="0" applyFont="1" applyFill="1" applyBorder="1" applyAlignment="1">
      <alignment horizontal="right"/>
    </xf>
    <xf numFmtId="3" fontId="36" fillId="0" borderId="34" xfId="0" applyNumberFormat="1" applyFont="1" applyFill="1" applyBorder="1" applyAlignment="1">
      <alignment horizontal="right"/>
    </xf>
    <xf numFmtId="3" fontId="36" fillId="0" borderId="36" xfId="0" applyNumberFormat="1" applyFont="1" applyFill="1" applyBorder="1" applyAlignment="1">
      <alignment horizontal="right"/>
    </xf>
    <xf numFmtId="0" fontId="45" fillId="8" borderId="27" xfId="5" applyFont="1" applyFill="1" applyBorder="1" applyAlignment="1">
      <alignment horizontal="center" vertical="center" wrapText="1"/>
    </xf>
    <xf numFmtId="0" fontId="45" fillId="8" borderId="3" xfId="5" applyFont="1" applyFill="1" applyBorder="1" applyAlignment="1">
      <alignment horizontal="center" vertical="center" wrapText="1"/>
    </xf>
    <xf numFmtId="0" fontId="45" fillId="8" borderId="35" xfId="5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/>
    </xf>
    <xf numFmtId="0" fontId="23" fillId="5" borderId="30" xfId="0" applyFont="1" applyFill="1" applyBorder="1" applyAlignment="1">
      <alignment horizontal="left"/>
    </xf>
    <xf numFmtId="0" fontId="23" fillId="5" borderId="34" xfId="0" applyFont="1" applyFill="1" applyBorder="1" applyAlignment="1">
      <alignment horizontal="left"/>
    </xf>
    <xf numFmtId="3" fontId="23" fillId="5" borderId="36" xfId="0" applyNumberFormat="1" applyFont="1" applyFill="1" applyBorder="1" applyAlignment="1">
      <alignment horizontal="right"/>
    </xf>
    <xf numFmtId="0" fontId="23" fillId="5" borderId="3" xfId="0" applyFont="1" applyFill="1" applyBorder="1" applyAlignment="1">
      <alignment horizontal="center"/>
    </xf>
    <xf numFmtId="0" fontId="46" fillId="0" borderId="0" xfId="0" applyFont="1"/>
    <xf numFmtId="0" fontId="23" fillId="9" borderId="27" xfId="0" applyFont="1" applyFill="1" applyBorder="1"/>
    <xf numFmtId="0" fontId="23" fillId="9" borderId="3" xfId="0" applyFont="1" applyFill="1" applyBorder="1"/>
    <xf numFmtId="164" fontId="23" fillId="9" borderId="3" xfId="1" applyFont="1" applyFill="1" applyBorder="1"/>
    <xf numFmtId="164" fontId="23" fillId="9" borderId="35" xfId="1" applyFont="1" applyFill="1" applyBorder="1"/>
    <xf numFmtId="0" fontId="23" fillId="10" borderId="27" xfId="0" applyFont="1" applyFill="1" applyBorder="1"/>
    <xf numFmtId="0" fontId="23" fillId="10" borderId="3" xfId="0" applyFont="1" applyFill="1" applyBorder="1"/>
    <xf numFmtId="164" fontId="23" fillId="10" borderId="3" xfId="1" applyFont="1" applyFill="1" applyBorder="1"/>
    <xf numFmtId="164" fontId="23" fillId="10" borderId="35" xfId="1" applyFont="1" applyFill="1" applyBorder="1"/>
    <xf numFmtId="0" fontId="23" fillId="11" borderId="27" xfId="0" applyFont="1" applyFill="1" applyBorder="1"/>
    <xf numFmtId="0" fontId="23" fillId="11" borderId="3" xfId="0" applyFont="1" applyFill="1" applyBorder="1"/>
    <xf numFmtId="164" fontId="23" fillId="11" borderId="3" xfId="1" applyFont="1" applyFill="1" applyBorder="1"/>
    <xf numFmtId="164" fontId="23" fillId="11" borderId="35" xfId="1" applyFont="1" applyFill="1" applyBorder="1"/>
    <xf numFmtId="4" fontId="23" fillId="0" borderId="8" xfId="1" applyNumberFormat="1" applyFont="1" applyFill="1" applyBorder="1"/>
    <xf numFmtId="164" fontId="23" fillId="0" borderId="3" xfId="1" applyFont="1" applyBorder="1"/>
    <xf numFmtId="0" fontId="23" fillId="0" borderId="6" xfId="0" applyFont="1" applyFill="1" applyBorder="1"/>
    <xf numFmtId="165" fontId="40" fillId="0" borderId="3" xfId="0" applyNumberFormat="1" applyFont="1" applyBorder="1"/>
    <xf numFmtId="165" fontId="40" fillId="0" borderId="16" xfId="0" applyNumberFormat="1" applyFont="1" applyBorder="1"/>
    <xf numFmtId="165" fontId="40" fillId="0" borderId="24" xfId="0" applyNumberFormat="1" applyFont="1" applyBorder="1"/>
    <xf numFmtId="169" fontId="24" fillId="0" borderId="3" xfId="0" applyNumberFormat="1" applyFont="1" applyBorder="1" applyAlignment="1">
      <alignment horizontal="center"/>
    </xf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10" fontId="14" fillId="0" borderId="41" xfId="3" applyNumberFormat="1" applyFont="1" applyFill="1" applyBorder="1" applyAlignment="1">
      <alignment horizontal="center" vertical="center"/>
    </xf>
    <xf numFmtId="173" fontId="14" fillId="0" borderId="42" xfId="3" applyNumberFormat="1" applyFont="1" applyFill="1" applyBorder="1" applyAlignment="1">
      <alignment horizontal="center" vertical="center"/>
    </xf>
    <xf numFmtId="10" fontId="14" fillId="0" borderId="42" xfId="3" applyNumberFormat="1" applyFont="1" applyFill="1" applyBorder="1" applyAlignment="1">
      <alignment horizontal="center" vertical="center"/>
    </xf>
    <xf numFmtId="10" fontId="19" fillId="0" borderId="42" xfId="3" applyNumberFormat="1" applyFont="1" applyFill="1" applyBorder="1" applyAlignment="1">
      <alignment horizontal="center" vertical="center"/>
    </xf>
    <xf numFmtId="9" fontId="14" fillId="0" borderId="42" xfId="3" applyNumberFormat="1" applyFont="1" applyFill="1" applyBorder="1" applyAlignment="1">
      <alignment horizontal="center" vertical="center"/>
    </xf>
    <xf numFmtId="10" fontId="19" fillId="0" borderId="43" xfId="3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center"/>
    </xf>
    <xf numFmtId="0" fontId="40" fillId="2" borderId="38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justify"/>
    </xf>
    <xf numFmtId="0" fontId="24" fillId="6" borderId="37" xfId="0" applyFont="1" applyFill="1" applyBorder="1" applyAlignment="1">
      <alignment horizontal="center" vertical="justify"/>
    </xf>
    <xf numFmtId="0" fontId="39" fillId="2" borderId="19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38" fillId="0" borderId="31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38" fillId="0" borderId="27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 applyAlignment="1"/>
    <xf numFmtId="0" fontId="34" fillId="0" borderId="45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34" fillId="0" borderId="47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Normal" xfId="0" builtinId="0"/>
    <cellStyle name="Normal 2" xfId="5"/>
    <cellStyle name="Normal_COyM_DDE_DOLAR_97-04_SANJUAN" xfId="2"/>
    <cellStyle name="Porcentual" xfId="3" builtinId="5"/>
  </cellStyles>
  <dxfs count="9"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62"/>
  <sheetViews>
    <sheetView tabSelected="1" topLeftCell="B29" zoomScaleNormal="100" workbookViewId="0">
      <selection activeCell="B37" sqref="B37"/>
    </sheetView>
  </sheetViews>
  <sheetFormatPr baseColWidth="10" defaultRowHeight="12.75"/>
  <cols>
    <col min="1" max="1" width="11.42578125" style="39"/>
    <col min="2" max="2" width="73.140625" style="39" customWidth="1"/>
    <col min="3" max="3" width="17.28515625" style="39" customWidth="1"/>
    <col min="4" max="4" width="27.7109375" style="39" customWidth="1"/>
    <col min="5" max="5" width="22.5703125" style="39" customWidth="1"/>
    <col min="6" max="6" width="16.140625" style="39" customWidth="1"/>
    <col min="7" max="7" width="20.85546875" style="39" customWidth="1"/>
    <col min="8" max="9" width="20" style="39" customWidth="1"/>
    <col min="10" max="10" width="17.85546875" style="39" hidden="1" customWidth="1"/>
    <col min="11" max="13" width="20" style="39" customWidth="1"/>
    <col min="14" max="14" width="19.5703125" style="39" customWidth="1"/>
    <col min="15" max="16" width="20" style="39" customWidth="1"/>
    <col min="17" max="16384" width="11.42578125" style="39"/>
  </cols>
  <sheetData>
    <row r="1" spans="2:6" ht="23.25">
      <c r="B1" s="209" t="s">
        <v>67</v>
      </c>
      <c r="C1" s="96"/>
    </row>
    <row r="2" spans="2:6" ht="18.75">
      <c r="C2" s="210"/>
    </row>
    <row r="3" spans="2:6" ht="23.25">
      <c r="B3" s="209" t="s">
        <v>124</v>
      </c>
    </row>
    <row r="5" spans="2:6" ht="15.75">
      <c r="B5" s="43"/>
    </row>
    <row r="6" spans="2:6" ht="15.75">
      <c r="B6" s="69" t="s">
        <v>125</v>
      </c>
    </row>
    <row r="8" spans="2:6">
      <c r="B8" s="211"/>
      <c r="C8" s="73" t="s">
        <v>181</v>
      </c>
      <c r="D8" s="73" t="s">
        <v>182</v>
      </c>
      <c r="E8" s="73" t="s">
        <v>183</v>
      </c>
      <c r="F8" s="73" t="s">
        <v>184</v>
      </c>
    </row>
    <row r="9" spans="2:6">
      <c r="B9" s="157"/>
      <c r="C9" s="103"/>
      <c r="D9" s="103"/>
      <c r="E9" s="103"/>
      <c r="F9" s="103"/>
    </row>
    <row r="10" spans="2:6">
      <c r="B10" s="161" t="s">
        <v>38</v>
      </c>
      <c r="C10" s="212">
        <f>+IMPD!D15</f>
        <v>18664.013823802412</v>
      </c>
      <c r="D10" s="212">
        <f>+IMPD!E15</f>
        <v>21096.090066990972</v>
      </c>
      <c r="E10" s="212">
        <f>+IMPD!F15</f>
        <v>23008.940458059384</v>
      </c>
      <c r="F10" s="212">
        <f>+IMPD!G15</f>
        <v>24455.657297304482</v>
      </c>
    </row>
    <row r="11" spans="2:6">
      <c r="B11" s="161" t="s">
        <v>20</v>
      </c>
      <c r="C11" s="212">
        <f>+IMPCO!D14</f>
        <v>6932.9966435753904</v>
      </c>
      <c r="D11" s="212">
        <f>+IMPCO!E14</f>
        <v>7317.8785559324006</v>
      </c>
      <c r="E11" s="212">
        <f>+IMPCO!F14</f>
        <v>7703.3084710878056</v>
      </c>
      <c r="F11" s="212">
        <f>+IMPCO!G14</f>
        <v>8086.3108805678212</v>
      </c>
    </row>
    <row r="12" spans="2:6">
      <c r="B12" s="161" t="s">
        <v>18</v>
      </c>
      <c r="C12" s="212">
        <f>+ALUMPU!D14</f>
        <v>887.20755180952006</v>
      </c>
      <c r="D12" s="212">
        <f>+ALUMPU!E14</f>
        <v>957.03142477284337</v>
      </c>
      <c r="E12" s="212">
        <f>+ALUMPU!F14</f>
        <v>1033.2377229477488</v>
      </c>
      <c r="F12" s="212">
        <f>+ALUMPU!G14</f>
        <v>1269.3788327475561</v>
      </c>
    </row>
    <row r="13" spans="2:6">
      <c r="B13" s="161" t="s">
        <v>15</v>
      </c>
      <c r="C13" s="212">
        <f>+IMPD!D19</f>
        <v>8636.1046950288819</v>
      </c>
      <c r="D13" s="212">
        <f>+IMPD!E19</f>
        <v>8492.2876186355807</v>
      </c>
      <c r="E13" s="212">
        <f>+IMPD!F19</f>
        <v>8562.3177077602959</v>
      </c>
      <c r="F13" s="212">
        <f>+IMPD!G19</f>
        <v>8924.3047681598036</v>
      </c>
    </row>
    <row r="14" spans="2:6">
      <c r="B14" s="161" t="s">
        <v>265</v>
      </c>
      <c r="C14" s="212">
        <f>-5256053.06018819/1000</f>
        <v>-5256.0530601881901</v>
      </c>
      <c r="D14" s="212"/>
      <c r="E14" s="212"/>
      <c r="F14" s="212"/>
    </row>
    <row r="15" spans="2:6">
      <c r="B15" s="161"/>
      <c r="C15" s="213"/>
      <c r="D15" s="213"/>
      <c r="E15" s="213"/>
      <c r="F15" s="213"/>
    </row>
    <row r="16" spans="2:6" ht="21">
      <c r="B16" s="214" t="s">
        <v>21</v>
      </c>
      <c r="C16" s="190">
        <f>+C10+C13+C11+C12+C14</f>
        <v>29864.269654028016</v>
      </c>
      <c r="D16" s="190">
        <f>+D10+D13+D11+D12+D15</f>
        <v>37863.287666331802</v>
      </c>
      <c r="E16" s="190">
        <f>+E10+E13+E11+E12+E15</f>
        <v>40307.804359855232</v>
      </c>
      <c r="F16" s="190">
        <f>+F10+F13+F11+F12+F15</f>
        <v>42735.651778779662</v>
      </c>
    </row>
    <row r="17" spans="2:10" ht="14.25" customHeight="1">
      <c r="B17" s="243"/>
      <c r="C17" s="244"/>
      <c r="D17" s="244"/>
      <c r="E17" s="244"/>
      <c r="F17" s="244"/>
    </row>
    <row r="18" spans="2:10">
      <c r="B18" s="123" t="s">
        <v>78</v>
      </c>
      <c r="C18" s="245">
        <f>1/(1+RETORNO!G9)</f>
        <v>0.91253364967833195</v>
      </c>
      <c r="D18" s="246">
        <f>1/(1+RETORNO!G9)*1/(1+RETORNO!G9)</f>
        <v>0.83271766179525664</v>
      </c>
      <c r="E18" s="246">
        <f>1/(1+RETORNO!G9)*1/(1+RETORNO!G9)*1/(1+RETORNO!G9)</f>
        <v>0.75988288706963236</v>
      </c>
      <c r="F18" s="246">
        <f>1/(1+RETORNO!G9)*1/(1+RETORNO!G9)*1/(1+RETORNO!G9)*1/(1+RETORNO!G9)</f>
        <v>0.69341870426575936</v>
      </c>
      <c r="G18" s="119"/>
    </row>
    <row r="19" spans="2:10">
      <c r="B19" s="113" t="s">
        <v>79</v>
      </c>
      <c r="C19" s="283">
        <f>+(1+C18)/2</f>
        <v>0.95626682483916592</v>
      </c>
      <c r="D19" s="283">
        <f>+(C18+D18)/2</f>
        <v>0.87262565573679429</v>
      </c>
      <c r="E19" s="283">
        <f>+(D18+E18)/2</f>
        <v>0.79630027443244455</v>
      </c>
      <c r="F19" s="283">
        <f>+(E18+F18)/2</f>
        <v>0.72665079566769586</v>
      </c>
      <c r="G19" s="119"/>
    </row>
    <row r="20" spans="2:10">
      <c r="C20" s="92"/>
      <c r="D20" s="119"/>
      <c r="E20" s="119"/>
      <c r="F20" s="119"/>
      <c r="G20" s="119"/>
    </row>
    <row r="21" spans="2:10">
      <c r="B21" s="113" t="s">
        <v>77</v>
      </c>
      <c r="C21" s="123"/>
      <c r="D21" s="215"/>
      <c r="E21" s="187"/>
      <c r="F21" s="216"/>
      <c r="G21" s="119"/>
    </row>
    <row r="22" spans="2:10">
      <c r="B22" s="162"/>
      <c r="C22" s="100"/>
      <c r="D22" s="156"/>
      <c r="E22" s="158"/>
      <c r="F22" s="279"/>
      <c r="G22" s="119"/>
    </row>
    <row r="23" spans="2:10">
      <c r="B23" s="161" t="s">
        <v>38</v>
      </c>
      <c r="C23" s="163">
        <f>+(C10+$C$14/SUM($C$10:$C$13)*C10)*C$19</f>
        <v>15176.706561017718</v>
      </c>
      <c r="D23" s="163">
        <f t="shared" ref="D23:F26" si="0">+D10*D$19</f>
        <v>18408.989428190471</v>
      </c>
      <c r="E23" s="163">
        <f t="shared" si="0"/>
        <v>18322.025601152465</v>
      </c>
      <c r="F23" s="163">
        <f t="shared" si="0"/>
        <v>17770.722833662796</v>
      </c>
      <c r="G23" s="92"/>
      <c r="H23" s="92"/>
      <c r="I23" s="92"/>
      <c r="J23" s="92"/>
    </row>
    <row r="24" spans="2:10">
      <c r="B24" s="161" t="s">
        <v>20</v>
      </c>
      <c r="C24" s="163">
        <f>+(C11+$C$14/SUM($C$10:$C$13)*C11)*C$19</f>
        <v>5637.5898904380465</v>
      </c>
      <c r="D24" s="163">
        <f t="shared" si="0"/>
        <v>6385.7685734727365</v>
      </c>
      <c r="E24" s="163">
        <f t="shared" si="0"/>
        <v>6134.1466495649947</v>
      </c>
      <c r="F24" s="163">
        <f t="shared" si="0"/>
        <v>5875.9242353809532</v>
      </c>
      <c r="G24" s="92"/>
      <c r="H24" s="92"/>
      <c r="I24" s="92"/>
      <c r="J24" s="92"/>
    </row>
    <row r="25" spans="2:10">
      <c r="B25" s="161" t="s">
        <v>18</v>
      </c>
      <c r="C25" s="163">
        <f>+(C12+$C$14/SUM($C$10:$C$13)*C12)*C$19</f>
        <v>721.43584973989334</v>
      </c>
      <c r="D25" s="163">
        <f t="shared" si="0"/>
        <v>835.13017460312096</v>
      </c>
      <c r="E25" s="163">
        <f t="shared" si="0"/>
        <v>822.76748233724652</v>
      </c>
      <c r="F25" s="163">
        <f t="shared" si="0"/>
        <v>922.39513881974267</v>
      </c>
      <c r="G25" s="92"/>
      <c r="H25" s="92"/>
      <c r="I25" s="92"/>
      <c r="J25" s="92"/>
    </row>
    <row r="26" spans="2:10">
      <c r="B26" s="161" t="s">
        <v>15</v>
      </c>
      <c r="C26" s="163">
        <f>+(C13+$C$14/SUM($C$10:$C$13)*C13)*C$19</f>
        <v>7022.4780170023687</v>
      </c>
      <c r="D26" s="163">
        <f t="shared" si="0"/>
        <v>7410.5880519173325</v>
      </c>
      <c r="E26" s="163">
        <f t="shared" si="0"/>
        <v>6818.175940467303</v>
      </c>
      <c r="F26" s="163">
        <f t="shared" si="0"/>
        <v>6484.8531605643329</v>
      </c>
      <c r="G26" s="92"/>
      <c r="H26" s="92"/>
      <c r="I26" s="92"/>
      <c r="J26" s="92"/>
    </row>
    <row r="27" spans="2:10">
      <c r="B27" s="89"/>
      <c r="C27" s="217"/>
      <c r="D27" s="217"/>
      <c r="E27" s="217"/>
      <c r="F27" s="217"/>
      <c r="G27" s="92"/>
      <c r="H27" s="92"/>
      <c r="I27" s="92"/>
      <c r="J27" s="92"/>
    </row>
    <row r="28" spans="2:10" ht="21">
      <c r="B28" s="214" t="s">
        <v>21</v>
      </c>
      <c r="C28" s="280">
        <f>SUM(C23:C27)</f>
        <v>28558.210318198027</v>
      </c>
      <c r="D28" s="281">
        <f>SUM(D23:D27)</f>
        <v>33040.476228183659</v>
      </c>
      <c r="E28" s="280">
        <f>SUM(E23:E27)</f>
        <v>32097.11567352201</v>
      </c>
      <c r="F28" s="282">
        <f>SUM(F23:F27)</f>
        <v>31053.895368427824</v>
      </c>
      <c r="G28" s="119"/>
    </row>
    <row r="29" spans="2:10">
      <c r="C29" s="92"/>
      <c r="D29" s="119"/>
      <c r="E29" s="119"/>
      <c r="F29" s="119"/>
      <c r="G29" s="119"/>
    </row>
    <row r="30" spans="2:10">
      <c r="B30" s="98" t="s">
        <v>119</v>
      </c>
      <c r="C30" s="278">
        <f>+DEMANDA!E7*'IMP-RESUMEN'!C19</f>
        <v>598246.18663283065</v>
      </c>
      <c r="D30" s="278">
        <f>+DEMANDA!F7*'IMP-RESUMEN'!D19</f>
        <v>566643.85393038276</v>
      </c>
      <c r="E30" s="278">
        <f>+DEMANDA!G7*'IMP-RESUMEN'!E19</f>
        <v>536013.35924144147</v>
      </c>
      <c r="F30" s="278">
        <f>+DEMANDA!H7*'IMP-RESUMEN'!F19</f>
        <v>506998.95867731381</v>
      </c>
      <c r="G30" s="218">
        <f>SUM(C30:F30)</f>
        <v>2207902.3584819688</v>
      </c>
    </row>
    <row r="31" spans="2:10" ht="15.75">
      <c r="B31" s="69"/>
    </row>
    <row r="32" spans="2:10" ht="13.5" thickBot="1"/>
    <row r="33" spans="2:8" ht="21.75" thickBot="1">
      <c r="B33" s="293" t="s">
        <v>126</v>
      </c>
      <c r="C33" s="294"/>
      <c r="D33" s="295"/>
    </row>
    <row r="34" spans="2:8" ht="24" customHeight="1" thickBot="1">
      <c r="B34" s="219"/>
      <c r="C34" s="298" t="s">
        <v>66</v>
      </c>
      <c r="D34" s="298" t="s">
        <v>185</v>
      </c>
      <c r="F34" s="296" t="s">
        <v>186</v>
      </c>
    </row>
    <row r="35" spans="2:8" ht="21" customHeight="1" thickBot="1">
      <c r="B35" s="220"/>
      <c r="C35" s="299"/>
      <c r="D35" s="299"/>
      <c r="F35" s="297"/>
      <c r="G35" s="221" t="s">
        <v>106</v>
      </c>
      <c r="H35" s="119"/>
    </row>
    <row r="36" spans="2:8" ht="21">
      <c r="B36" s="222"/>
      <c r="C36" s="223"/>
      <c r="D36" s="223"/>
      <c r="F36" s="247"/>
      <c r="G36" s="224"/>
      <c r="H36" s="26"/>
    </row>
    <row r="37" spans="2:8" ht="21">
      <c r="B37" s="225" t="s">
        <v>25</v>
      </c>
      <c r="C37" s="226" t="s">
        <v>128</v>
      </c>
      <c r="D37" s="227">
        <f>+C23+D23+E23+F23</f>
        <v>69678.444424023444</v>
      </c>
      <c r="F37" s="247"/>
      <c r="G37" s="224"/>
      <c r="H37" s="228"/>
    </row>
    <row r="38" spans="2:8" ht="21">
      <c r="B38" s="225" t="s">
        <v>11</v>
      </c>
      <c r="C38" s="226" t="s">
        <v>128</v>
      </c>
      <c r="D38" s="227">
        <f>+C24+D24+E24+F24</f>
        <v>24033.429348856731</v>
      </c>
      <c r="F38" s="247"/>
      <c r="G38" s="224"/>
      <c r="H38" s="228"/>
    </row>
    <row r="39" spans="2:8" ht="21">
      <c r="B39" s="225" t="s">
        <v>12</v>
      </c>
      <c r="C39" s="226" t="s">
        <v>128</v>
      </c>
      <c r="D39" s="227">
        <f>+C25+D25+E25+F25</f>
        <v>3301.7286455000039</v>
      </c>
      <c r="F39" s="247"/>
      <c r="G39" s="224"/>
      <c r="H39" s="228"/>
    </row>
    <row r="40" spans="2:8" ht="21">
      <c r="B40" s="225" t="s">
        <v>127</v>
      </c>
      <c r="C40" s="226" t="s">
        <v>128</v>
      </c>
      <c r="D40" s="227">
        <f>SUM(D37:D39)</f>
        <v>97013.602418380178</v>
      </c>
      <c r="F40" s="247"/>
      <c r="G40" s="224"/>
      <c r="H40" s="228"/>
    </row>
    <row r="41" spans="2:8" ht="21.75" thickBot="1">
      <c r="B41" s="225" t="s">
        <v>80</v>
      </c>
      <c r="C41" s="226" t="s">
        <v>128</v>
      </c>
      <c r="D41" s="227">
        <f>+C26+D26+E26+F26</f>
        <v>27736.095169951335</v>
      </c>
      <c r="F41" s="247"/>
      <c r="G41" s="224"/>
      <c r="H41" s="228"/>
    </row>
    <row r="42" spans="2:8" ht="21.75" thickBot="1">
      <c r="B42" s="229" t="s">
        <v>120</v>
      </c>
      <c r="C42" s="230" t="s">
        <v>128</v>
      </c>
      <c r="D42" s="231">
        <f>SUM(D37:D39)+D41</f>
        <v>124749.69758833152</v>
      </c>
      <c r="F42" s="247"/>
      <c r="G42" s="224"/>
      <c r="H42" s="228"/>
    </row>
    <row r="43" spans="2:8" ht="21.75" thickBot="1">
      <c r="B43" s="225" t="s">
        <v>139</v>
      </c>
      <c r="C43" s="226" t="s">
        <v>13</v>
      </c>
      <c r="D43" s="232">
        <f>+C30+D30+E30+F30</f>
        <v>2207902.3584819688</v>
      </c>
      <c r="F43" s="247"/>
      <c r="G43" s="233"/>
      <c r="H43" s="228"/>
    </row>
    <row r="44" spans="2:8" ht="21.75" thickBot="1">
      <c r="B44" s="234" t="s">
        <v>131</v>
      </c>
      <c r="C44" s="235" t="s">
        <v>84</v>
      </c>
      <c r="D44" s="236">
        <f>+D42/G30*1000</f>
        <v>56.501455831634914</v>
      </c>
      <c r="F44" s="236">
        <v>77.459999999999994</v>
      </c>
      <c r="G44" s="237">
        <f>(D44-F44)/F44</f>
        <v>-0.27057247829027992</v>
      </c>
    </row>
    <row r="45" spans="2:8" ht="21.75" thickBot="1">
      <c r="B45" s="234" t="s">
        <v>132</v>
      </c>
      <c r="C45" s="235" t="s">
        <v>84</v>
      </c>
      <c r="D45" s="236">
        <f>(D42-D41)/G30*1000</f>
        <v>43.939263004855597</v>
      </c>
      <c r="F45" s="236">
        <v>65.790000000000006</v>
      </c>
      <c r="G45" s="238">
        <f>(D45-F45)/F45</f>
        <v>-0.33212854529783259</v>
      </c>
    </row>
    <row r="47" spans="2:8" hidden="1">
      <c r="C47" s="239"/>
    </row>
    <row r="48" spans="2:8" ht="47.25" hidden="1">
      <c r="C48" s="240" t="s">
        <v>121</v>
      </c>
      <c r="G48" s="92"/>
      <c r="H48" s="39" t="s">
        <v>122</v>
      </c>
    </row>
    <row r="49" spans="2:8" ht="21" hidden="1">
      <c r="C49" s="241" t="s">
        <v>122</v>
      </c>
      <c r="G49" s="242"/>
      <c r="H49" s="39" t="s">
        <v>123</v>
      </c>
    </row>
    <row r="50" spans="2:8" ht="21" hidden="1">
      <c r="G50" s="242"/>
    </row>
    <row r="51" spans="2:8" ht="15.75">
      <c r="B51" s="69" t="s">
        <v>129</v>
      </c>
      <c r="G51" s="92"/>
    </row>
    <row r="52" spans="2:8" ht="15.75">
      <c r="B52" s="69" t="s">
        <v>130</v>
      </c>
    </row>
    <row r="62" spans="2:8" ht="15.75">
      <c r="B62" s="69"/>
    </row>
  </sheetData>
  <sheetProtection password="CCC5" sheet="1" objects="1" scenarios="1"/>
  <mergeCells count="4">
    <mergeCell ref="B33:D33"/>
    <mergeCell ref="F34:F35"/>
    <mergeCell ref="D34:D35"/>
    <mergeCell ref="C34:C35"/>
  </mergeCells>
  <phoneticPr fontId="3" type="noConversion"/>
  <dataValidations count="1">
    <dataValidation type="list" allowBlank="1" showInputMessage="1" showErrorMessage="1" sqref="C49">
      <formula1>$H$48:$H$49</formula1>
    </dataValidation>
  </dataValidations>
  <pageMargins left="0.74803149606299213" right="0.74803149606299213" top="0.98425196850393704" bottom="0.98425196850393704" header="0" footer="0"/>
  <pageSetup scale="61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G71"/>
  <sheetViews>
    <sheetView zoomScaleNormal="100" workbookViewId="0">
      <selection activeCell="B3" sqref="B3"/>
    </sheetView>
  </sheetViews>
  <sheetFormatPr baseColWidth="10" defaultRowHeight="12.75"/>
  <cols>
    <col min="1" max="1" width="11.42578125" style="39"/>
    <col min="2" max="2" width="39.5703125" style="39" bestFit="1" customWidth="1"/>
    <col min="3" max="5" width="11.42578125" style="39"/>
    <col min="6" max="6" width="49.42578125" style="39" bestFit="1" customWidth="1"/>
    <col min="7" max="16384" width="11.42578125" style="39"/>
  </cols>
  <sheetData>
    <row r="2" spans="2:7" ht="18.75">
      <c r="B2" s="38"/>
    </row>
    <row r="3" spans="2:7" ht="19.5" thickBot="1">
      <c r="B3" s="40" t="s">
        <v>67</v>
      </c>
    </row>
    <row r="4" spans="2:7" ht="13.5" thickBot="1">
      <c r="B4" s="41" t="s">
        <v>52</v>
      </c>
    </row>
    <row r="5" spans="2:7" ht="16.5" thickBot="1">
      <c r="C5" s="42"/>
      <c r="F5" s="43" t="s">
        <v>52</v>
      </c>
    </row>
    <row r="6" spans="2:7" ht="13.5" thickBot="1">
      <c r="B6" s="44" t="s">
        <v>90</v>
      </c>
      <c r="C6" s="45" t="s">
        <v>91</v>
      </c>
      <c r="D6" s="45" t="s">
        <v>91</v>
      </c>
    </row>
    <row r="7" spans="2:7" ht="15">
      <c r="B7" s="46" t="s">
        <v>92</v>
      </c>
      <c r="C7" s="287">
        <v>3.585E-2</v>
      </c>
      <c r="D7" s="287">
        <f>+C7</f>
        <v>3.585E-2</v>
      </c>
      <c r="F7" s="47" t="s">
        <v>109</v>
      </c>
    </row>
    <row r="8" spans="2:7" ht="15.75" thickBot="1">
      <c r="B8" s="48" t="s">
        <v>93</v>
      </c>
      <c r="C8" s="288">
        <v>0.70556234718826394</v>
      </c>
      <c r="D8" s="288">
        <v>0.7272045559994742</v>
      </c>
    </row>
    <row r="9" spans="2:7" ht="15.75" thickBot="1">
      <c r="B9" s="48" t="s">
        <v>94</v>
      </c>
      <c r="C9" s="289">
        <v>6.7000000000000004E-2</v>
      </c>
      <c r="D9" s="289">
        <v>4.1826829268292703E-2</v>
      </c>
      <c r="F9" s="49" t="s">
        <v>27</v>
      </c>
      <c r="G9" s="50">
        <v>9.5850000000000005E-2</v>
      </c>
    </row>
    <row r="10" spans="2:7" ht="15">
      <c r="B10" s="48" t="s">
        <v>95</v>
      </c>
      <c r="C10" s="290">
        <v>1.9357642104272502E-2</v>
      </c>
      <c r="D10" s="290">
        <f>+C10</f>
        <v>1.9357642104272502E-2</v>
      </c>
    </row>
    <row r="11" spans="2:7" ht="15">
      <c r="B11" s="51" t="s">
        <v>96</v>
      </c>
      <c r="C11" s="290">
        <f>+C7+C8*C9+C10</f>
        <v>0.10248031936588618</v>
      </c>
      <c r="D11" s="290">
        <f>+D7+D8*D9+D10</f>
        <v>8.5624302911187111E-2</v>
      </c>
      <c r="F11" s="47" t="s">
        <v>76</v>
      </c>
    </row>
    <row r="12" spans="2:7" ht="15.75" thickBot="1">
      <c r="B12" s="52" t="s">
        <v>97</v>
      </c>
      <c r="C12" s="289">
        <v>7.5200000000000003E-2</v>
      </c>
      <c r="D12" s="289">
        <v>6.0699999999999997E-2</v>
      </c>
    </row>
    <row r="13" spans="2:7" ht="15.75" thickBot="1">
      <c r="B13" s="52" t="s">
        <v>98</v>
      </c>
      <c r="C13" s="290">
        <f>C12*0.7</f>
        <v>5.2639999999999999E-2</v>
      </c>
      <c r="D13" s="290">
        <f>D12*0.7</f>
        <v>4.2489999999999993E-2</v>
      </c>
      <c r="F13" s="49" t="s">
        <v>27</v>
      </c>
      <c r="G13" s="50">
        <f>C20</f>
        <v>8.7314240523189257E-2</v>
      </c>
    </row>
    <row r="14" spans="2:7" ht="15.75" thickBot="1">
      <c r="B14" s="48" t="s">
        <v>99</v>
      </c>
      <c r="C14" s="291">
        <v>0.5</v>
      </c>
      <c r="D14" s="291">
        <v>0.56600000000000006</v>
      </c>
      <c r="F14" s="49" t="s">
        <v>27</v>
      </c>
      <c r="G14" s="50">
        <f>+D20</f>
        <v>6.2933786250314205E-2</v>
      </c>
    </row>
    <row r="15" spans="2:7" ht="15">
      <c r="B15" s="48" t="s">
        <v>100</v>
      </c>
      <c r="C15" s="291">
        <f>1-C14</f>
        <v>0.5</v>
      </c>
      <c r="D15" s="291">
        <f>1-D14</f>
        <v>0.43399999999999994</v>
      </c>
    </row>
    <row r="16" spans="2:7" ht="15">
      <c r="B16" s="53" t="s">
        <v>101</v>
      </c>
      <c r="C16" s="290">
        <f>+C11*C15+C13*C14</f>
        <v>7.7560159682943094E-2</v>
      </c>
      <c r="D16" s="290">
        <f>+D11*D15+D13*D14</f>
        <v>6.1210287463455207E-2</v>
      </c>
    </row>
    <row r="17" spans="2:4" ht="15">
      <c r="B17" s="53" t="s">
        <v>102</v>
      </c>
      <c r="C17" s="290">
        <f>+C16/0.7</f>
        <v>0.11080022811849015</v>
      </c>
      <c r="D17" s="290">
        <f>+D16/0.7</f>
        <v>8.7443267804936012E-2</v>
      </c>
    </row>
    <row r="18" spans="2:4" ht="15">
      <c r="B18" s="48" t="s">
        <v>103</v>
      </c>
      <c r="C18" s="289">
        <v>2.1600000000000001E-2</v>
      </c>
      <c r="D18" s="289">
        <v>2.3058333333333299E-2</v>
      </c>
    </row>
    <row r="19" spans="2:4" ht="15">
      <c r="B19" s="54" t="s">
        <v>104</v>
      </c>
      <c r="C19" s="290">
        <f>+(C16-C18)/(1+C18)</f>
        <v>5.4776976980171387E-2</v>
      </c>
      <c r="D19" s="290">
        <f>+(D16-D18)/(1+D18)</f>
        <v>3.7292061348852941E-2</v>
      </c>
    </row>
    <row r="20" spans="2:4" ht="15.75" thickBot="1">
      <c r="B20" s="55" t="s">
        <v>105</v>
      </c>
      <c r="C20" s="292">
        <f>+(C17-C18)/(1+C18)</f>
        <v>8.7314240523189257E-2</v>
      </c>
      <c r="D20" s="292">
        <f>+(D17-D18)/(1+D18)</f>
        <v>6.2933786250314205E-2</v>
      </c>
    </row>
    <row r="21" spans="2:4">
      <c r="B21" s="56"/>
      <c r="C21" s="56"/>
    </row>
    <row r="22" spans="2:4">
      <c r="B22" s="56"/>
      <c r="C22" s="56"/>
      <c r="D22" s="56"/>
    </row>
    <row r="23" spans="2:4">
      <c r="B23" s="56"/>
      <c r="C23" s="56"/>
      <c r="D23" s="56"/>
    </row>
    <row r="24" spans="2:4">
      <c r="B24" s="56"/>
      <c r="C24" s="56"/>
      <c r="D24" s="56"/>
    </row>
    <row r="25" spans="2:4">
      <c r="B25" s="56"/>
      <c r="C25" s="56"/>
      <c r="D25" s="56"/>
    </row>
    <row r="26" spans="2:4">
      <c r="B26" s="56"/>
      <c r="C26" s="56"/>
      <c r="D26" s="56"/>
    </row>
    <row r="27" spans="2:4">
      <c r="B27" s="56"/>
      <c r="C27" s="56"/>
      <c r="D27" s="56"/>
    </row>
    <row r="28" spans="2:4">
      <c r="B28" s="56"/>
      <c r="C28" s="56"/>
      <c r="D28" s="56"/>
    </row>
    <row r="29" spans="2:4">
      <c r="B29" s="56"/>
      <c r="C29" s="56"/>
      <c r="D29" s="56"/>
    </row>
    <row r="30" spans="2:4">
      <c r="B30" s="56"/>
      <c r="C30" s="56"/>
      <c r="D30" s="56"/>
    </row>
    <row r="31" spans="2:4">
      <c r="B31" s="56"/>
      <c r="C31" s="56"/>
      <c r="D31" s="56"/>
    </row>
    <row r="32" spans="2:4">
      <c r="B32" s="56"/>
      <c r="C32" s="56"/>
      <c r="D32" s="56"/>
    </row>
    <row r="33" spans="2:4">
      <c r="B33" s="56"/>
      <c r="C33" s="56"/>
      <c r="D33" s="56"/>
    </row>
    <row r="34" spans="2:4">
      <c r="B34" s="56"/>
      <c r="C34" s="56"/>
      <c r="D34" s="56"/>
    </row>
    <row r="35" spans="2:4">
      <c r="B35" s="56"/>
      <c r="C35" s="56"/>
      <c r="D35" s="56"/>
    </row>
    <row r="36" spans="2:4">
      <c r="B36" s="56"/>
      <c r="C36" s="56"/>
      <c r="D36" s="56"/>
    </row>
    <row r="37" spans="2:4">
      <c r="B37" s="56"/>
      <c r="C37" s="56"/>
      <c r="D37" s="56"/>
    </row>
    <row r="38" spans="2:4">
      <c r="B38" s="56"/>
      <c r="C38" s="56"/>
      <c r="D38" s="56"/>
    </row>
    <row r="39" spans="2:4">
      <c r="B39" s="56"/>
      <c r="C39" s="56"/>
      <c r="D39" s="56"/>
    </row>
    <row r="40" spans="2:4">
      <c r="B40" s="56"/>
      <c r="C40" s="56"/>
      <c r="D40" s="56"/>
    </row>
    <row r="41" spans="2:4">
      <c r="B41" s="56"/>
      <c r="C41" s="56"/>
      <c r="D41" s="56"/>
    </row>
    <row r="42" spans="2:4">
      <c r="B42" s="56"/>
      <c r="C42" s="56"/>
      <c r="D42" s="56"/>
    </row>
    <row r="43" spans="2:4">
      <c r="B43" s="56"/>
      <c r="C43" s="56"/>
      <c r="D43" s="56"/>
    </row>
    <row r="44" spans="2:4">
      <c r="B44" s="56"/>
      <c r="C44" s="56"/>
      <c r="D44" s="56"/>
    </row>
    <row r="45" spans="2:4">
      <c r="B45" s="56"/>
      <c r="C45" s="56"/>
      <c r="D45" s="56"/>
    </row>
    <row r="46" spans="2:4">
      <c r="B46" s="56"/>
      <c r="C46" s="56"/>
      <c r="D46" s="56"/>
    </row>
    <row r="47" spans="2:4">
      <c r="B47" s="56"/>
      <c r="C47" s="56"/>
      <c r="D47" s="56"/>
    </row>
    <row r="48" spans="2:4">
      <c r="B48" s="56"/>
      <c r="C48" s="56"/>
      <c r="D48" s="56"/>
    </row>
    <row r="49" spans="2:4">
      <c r="B49" s="56"/>
      <c r="C49" s="56"/>
      <c r="D49" s="56"/>
    </row>
    <row r="50" spans="2:4">
      <c r="B50" s="56"/>
      <c r="C50" s="56"/>
      <c r="D50" s="56"/>
    </row>
    <row r="51" spans="2:4">
      <c r="B51" s="56"/>
      <c r="C51" s="56"/>
      <c r="D51" s="56"/>
    </row>
    <row r="52" spans="2:4">
      <c r="B52" s="56"/>
      <c r="C52" s="56"/>
      <c r="D52" s="56"/>
    </row>
    <row r="53" spans="2:4">
      <c r="B53" s="56"/>
      <c r="C53" s="56"/>
      <c r="D53" s="56"/>
    </row>
    <row r="54" spans="2:4">
      <c r="B54" s="56"/>
      <c r="C54" s="56"/>
      <c r="D54" s="56"/>
    </row>
    <row r="55" spans="2:4">
      <c r="B55" s="56"/>
      <c r="C55" s="56"/>
      <c r="D55" s="56"/>
    </row>
    <row r="56" spans="2:4">
      <c r="B56" s="56"/>
      <c r="C56" s="56"/>
      <c r="D56" s="56"/>
    </row>
    <row r="57" spans="2:4">
      <c r="B57" s="56"/>
      <c r="C57" s="56"/>
      <c r="D57" s="56"/>
    </row>
    <row r="58" spans="2:4">
      <c r="B58" s="56"/>
      <c r="C58" s="56"/>
      <c r="D58" s="56"/>
    </row>
    <row r="59" spans="2:4">
      <c r="B59" s="56"/>
      <c r="C59" s="56"/>
      <c r="D59" s="56"/>
    </row>
    <row r="60" spans="2:4">
      <c r="B60" s="56"/>
      <c r="C60" s="56"/>
      <c r="D60" s="56"/>
    </row>
    <row r="61" spans="2:4">
      <c r="B61" s="56"/>
      <c r="C61" s="56"/>
      <c r="D61" s="56"/>
    </row>
    <row r="62" spans="2:4">
      <c r="B62" s="56"/>
      <c r="C62" s="56"/>
      <c r="D62" s="56"/>
    </row>
    <row r="63" spans="2:4">
      <c r="B63" s="56"/>
      <c r="C63" s="56"/>
      <c r="D63" s="56"/>
    </row>
    <row r="64" spans="2:4">
      <c r="B64" s="56"/>
      <c r="C64" s="56"/>
      <c r="D64" s="56"/>
    </row>
    <row r="65" spans="2:4">
      <c r="B65" s="56"/>
      <c r="C65" s="56"/>
      <c r="D65" s="56"/>
    </row>
    <row r="66" spans="2:4">
      <c r="B66" s="56"/>
      <c r="C66" s="56"/>
      <c r="D66" s="56"/>
    </row>
    <row r="67" spans="2:4">
      <c r="B67" s="56"/>
      <c r="C67" s="56"/>
      <c r="D67" s="56"/>
    </row>
    <row r="68" spans="2:4">
      <c r="B68" s="56"/>
      <c r="C68" s="56"/>
      <c r="D68" s="56"/>
    </row>
    <row r="69" spans="2:4">
      <c r="B69" s="56"/>
      <c r="C69" s="56"/>
      <c r="D69" s="56"/>
    </row>
    <row r="70" spans="2:4">
      <c r="B70" s="56"/>
      <c r="C70" s="56"/>
      <c r="D70" s="56"/>
    </row>
    <row r="71" spans="2:4">
      <c r="B71" s="56"/>
      <c r="C71" s="56"/>
      <c r="D71" s="56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scale="84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G29"/>
  <sheetViews>
    <sheetView zoomScaleNormal="100" workbookViewId="0"/>
  </sheetViews>
  <sheetFormatPr baseColWidth="10" defaultRowHeight="12.75"/>
  <cols>
    <col min="1" max="1" width="1.7109375" style="39" customWidth="1"/>
    <col min="2" max="2" width="24.5703125" style="39" customWidth="1"/>
    <col min="3" max="3" width="20.42578125" style="39" customWidth="1"/>
    <col min="4" max="7" width="18.5703125" style="39" bestFit="1" customWidth="1"/>
    <col min="8" max="8" width="15.7109375" style="39" customWidth="1"/>
    <col min="9" max="16384" width="11.42578125" style="39"/>
  </cols>
  <sheetData>
    <row r="2" spans="2:7" ht="18.75">
      <c r="B2" s="40" t="s">
        <v>67</v>
      </c>
    </row>
    <row r="4" spans="2:7" ht="15.75">
      <c r="B4" s="43" t="s">
        <v>134</v>
      </c>
    </row>
    <row r="5" spans="2:7" ht="15.75">
      <c r="B5" s="69" t="s">
        <v>125</v>
      </c>
    </row>
    <row r="7" spans="2:7">
      <c r="B7" s="164" t="s">
        <v>14</v>
      </c>
      <c r="C7" s="187"/>
      <c r="D7" s="58" t="s">
        <v>181</v>
      </c>
      <c r="E7" s="58" t="s">
        <v>182</v>
      </c>
      <c r="F7" s="58" t="s">
        <v>183</v>
      </c>
      <c r="G7" s="58" t="s">
        <v>184</v>
      </c>
    </row>
    <row r="8" spans="2:7">
      <c r="B8" s="161"/>
      <c r="C8" s="103"/>
      <c r="D8" s="73" t="s">
        <v>133</v>
      </c>
      <c r="E8" s="73" t="s">
        <v>133</v>
      </c>
      <c r="F8" s="73" t="s">
        <v>133</v>
      </c>
      <c r="G8" s="73" t="s">
        <v>133</v>
      </c>
    </row>
    <row r="9" spans="2:7">
      <c r="B9" s="157"/>
      <c r="C9" s="103"/>
      <c r="D9" s="103"/>
      <c r="E9" s="103"/>
      <c r="F9" s="103"/>
      <c r="G9" s="103"/>
    </row>
    <row r="10" spans="2:7">
      <c r="B10" s="157" t="s">
        <v>6</v>
      </c>
      <c r="C10" s="103" t="s">
        <v>36</v>
      </c>
      <c r="D10" s="80">
        <f>+ACTIVOS!G15*RETORNO!$G$9</f>
        <v>6996.3943157677004</v>
      </c>
      <c r="E10" s="80">
        <f>+ACTIVOS!H15*RETORNO!$G$9</f>
        <v>8479.485548577275</v>
      </c>
      <c r="F10" s="80">
        <f>+ACTIVOS!I15*RETORNO!$G$9</f>
        <v>9553.1208642197089</v>
      </c>
      <c r="G10" s="80">
        <f>+ACTIVOS!J15*RETORNO!$G$9</f>
        <v>10262.098580091475</v>
      </c>
    </row>
    <row r="11" spans="2:7">
      <c r="B11" s="157" t="s">
        <v>7</v>
      </c>
      <c r="C11" s="103" t="s">
        <v>37</v>
      </c>
      <c r="D11" s="80">
        <f>+ACTIVOS!G10*'PERDIDAS y OTROS'!E10</f>
        <v>4413.9483449791105</v>
      </c>
      <c r="E11" s="80">
        <f>+ACTIVOS!H10*'PERDIDAS y OTROS'!F10</f>
        <v>5029.0099527347274</v>
      </c>
      <c r="F11" s="80">
        <f>+ACTIVOS!I10*'PERDIDAS y OTROS'!G10</f>
        <v>5530.975304399557</v>
      </c>
      <c r="G11" s="80">
        <f>+ACTIVOS!J10*'PERDIDAS y OTROS'!H10</f>
        <v>5930.8016112251271</v>
      </c>
    </row>
    <row r="12" spans="2:7">
      <c r="B12" s="157" t="s">
        <v>8</v>
      </c>
      <c r="C12" s="103" t="s">
        <v>35</v>
      </c>
      <c r="D12" s="80">
        <f>+REGRESIONES!D57/1000</f>
        <v>3469.4034415185929</v>
      </c>
      <c r="E12" s="80">
        <f>+REGRESIONES!E57/1000</f>
        <v>3621.3898396262184</v>
      </c>
      <c r="F12" s="80">
        <f>+REGRESIONES!F57/1000</f>
        <v>3775.9339086476471</v>
      </c>
      <c r="G12" s="80">
        <f>+REGRESIONES!G57/1000</f>
        <v>3931.6380450382894</v>
      </c>
    </row>
    <row r="13" spans="2:7">
      <c r="B13" s="157" t="s">
        <v>9</v>
      </c>
      <c r="C13" s="103" t="s">
        <v>33</v>
      </c>
      <c r="D13" s="80">
        <f>+REGRESIONES!D59/1000</f>
        <v>3784.2677215370104</v>
      </c>
      <c r="E13" s="80">
        <f>+REGRESIONES!E59/1000</f>
        <v>3966.2047260527493</v>
      </c>
      <c r="F13" s="80">
        <f>+REGRESIONES!F59/1000</f>
        <v>4148.9103807924694</v>
      </c>
      <c r="G13" s="80">
        <f>+REGRESIONES!G59/1000</f>
        <v>4331.1190609495889</v>
      </c>
    </row>
    <row r="14" spans="2:7" ht="13.5" thickBot="1">
      <c r="B14" s="157"/>
      <c r="C14" s="103"/>
      <c r="D14" s="76"/>
      <c r="E14" s="76"/>
      <c r="F14" s="76"/>
      <c r="G14" s="76"/>
    </row>
    <row r="15" spans="2:7" ht="16.5" thickBot="1">
      <c r="B15" s="204"/>
      <c r="C15" s="205" t="s">
        <v>38</v>
      </c>
      <c r="D15" s="206">
        <f>SUM(D10:D14)</f>
        <v>18664.013823802412</v>
      </c>
      <c r="E15" s="206">
        <f>SUM(E10:E14)</f>
        <v>21096.090066990972</v>
      </c>
      <c r="F15" s="207">
        <f>SUM(F10:F14)</f>
        <v>23008.940458059384</v>
      </c>
      <c r="G15" s="207">
        <f>SUM(G10:G14)</f>
        <v>24455.657297304482</v>
      </c>
    </row>
    <row r="16" spans="2:7">
      <c r="B16" s="74"/>
      <c r="C16" s="102"/>
      <c r="D16" s="80"/>
      <c r="E16" s="80"/>
      <c r="F16" s="80"/>
      <c r="G16" s="80"/>
    </row>
    <row r="17" spans="2:7">
      <c r="B17" s="157" t="s">
        <v>10</v>
      </c>
      <c r="C17" s="157" t="s">
        <v>39</v>
      </c>
      <c r="D17" s="80">
        <f>+'PERDIDAS y OTROS'!E9*'PERDIDAS y OTROS'!E8*DEMANDA!E8/1000</f>
        <v>8636.1046950288819</v>
      </c>
      <c r="E17" s="80">
        <f>+'PERDIDAS y OTROS'!F9*'PERDIDAS y OTROS'!F8*DEMANDA!F8/1000</f>
        <v>8492.2876186355807</v>
      </c>
      <c r="F17" s="80">
        <f>+'PERDIDAS y OTROS'!G9*'PERDIDAS y OTROS'!G8*DEMANDA!G8/1000</f>
        <v>8562.3177077602959</v>
      </c>
      <c r="G17" s="80">
        <f>+'PERDIDAS y OTROS'!H9*'PERDIDAS y OTROS'!H8*DEMANDA!H8/1000</f>
        <v>8924.3047681598036</v>
      </c>
    </row>
    <row r="18" spans="2:7" ht="13.5" thickBot="1">
      <c r="B18" s="157"/>
      <c r="C18" s="102"/>
      <c r="D18" s="80"/>
      <c r="E18" s="80"/>
      <c r="F18" s="80"/>
      <c r="G18" s="80"/>
    </row>
    <row r="19" spans="2:7" ht="16.5" thickBot="1">
      <c r="B19" s="204"/>
      <c r="C19" s="205" t="s">
        <v>15</v>
      </c>
      <c r="D19" s="206">
        <f>+D17</f>
        <v>8636.1046950288819</v>
      </c>
      <c r="E19" s="206">
        <f>+E17</f>
        <v>8492.2876186355807</v>
      </c>
      <c r="F19" s="207">
        <f>+F17</f>
        <v>8562.3177077602959</v>
      </c>
      <c r="G19" s="207">
        <f>+G17</f>
        <v>8924.3047681598036</v>
      </c>
    </row>
    <row r="20" spans="2:7" ht="13.5" thickBot="1">
      <c r="B20" s="74"/>
      <c r="C20" s="103"/>
      <c r="D20" s="80"/>
      <c r="E20" s="80"/>
      <c r="F20" s="80"/>
      <c r="G20" s="80"/>
    </row>
    <row r="21" spans="2:7" ht="21.75" thickBot="1">
      <c r="B21" s="208"/>
      <c r="C21" s="199" t="s">
        <v>19</v>
      </c>
      <c r="D21" s="200">
        <f>+D15+D19</f>
        <v>27300.118518831296</v>
      </c>
      <c r="E21" s="200">
        <f>+E15+E19</f>
        <v>29588.377685626554</v>
      </c>
      <c r="F21" s="200">
        <f>+F15+F19</f>
        <v>31571.25816581968</v>
      </c>
      <c r="G21" s="201">
        <f>+G15+G19</f>
        <v>33379.962065464286</v>
      </c>
    </row>
    <row r="23" spans="2:7">
      <c r="B23" s="68"/>
      <c r="C23" s="68"/>
    </row>
    <row r="24" spans="2:7">
      <c r="B24" s="68"/>
    </row>
    <row r="25" spans="2:7">
      <c r="B25" s="68"/>
      <c r="C25" s="68"/>
    </row>
    <row r="26" spans="2:7">
      <c r="B26" s="68"/>
    </row>
    <row r="27" spans="2:7">
      <c r="B27" s="68"/>
      <c r="C27" s="68"/>
    </row>
    <row r="28" spans="2:7">
      <c r="B28" s="68"/>
      <c r="C28" s="68"/>
    </row>
    <row r="29" spans="2:7">
      <c r="B29" s="68"/>
      <c r="C29" s="68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G19"/>
  <sheetViews>
    <sheetView zoomScaleNormal="100" workbookViewId="0"/>
  </sheetViews>
  <sheetFormatPr baseColWidth="10" defaultRowHeight="12.75"/>
  <cols>
    <col min="1" max="1" width="1.5703125" style="39" customWidth="1"/>
    <col min="2" max="2" width="23.7109375" style="39" customWidth="1"/>
    <col min="3" max="3" width="12.28515625" style="39" customWidth="1"/>
    <col min="4" max="7" width="18.5703125" style="39" bestFit="1" customWidth="1"/>
    <col min="8" max="8" width="15.7109375" style="39" customWidth="1"/>
    <col min="9" max="16384" width="11.42578125" style="39"/>
  </cols>
  <sheetData>
    <row r="2" spans="2:7" ht="18.75">
      <c r="B2" s="40" t="s">
        <v>67</v>
      </c>
    </row>
    <row r="4" spans="2:7" ht="15.75">
      <c r="B4" s="43" t="s">
        <v>135</v>
      </c>
    </row>
    <row r="5" spans="2:7" ht="15.75">
      <c r="B5" s="69" t="s">
        <v>125</v>
      </c>
    </row>
    <row r="6" spans="2:7">
      <c r="B6" s="197"/>
      <c r="C6" s="68"/>
    </row>
    <row r="7" spans="2:7">
      <c r="B7" s="160" t="s">
        <v>16</v>
      </c>
      <c r="C7" s="187"/>
      <c r="D7" s="58" t="s">
        <v>181</v>
      </c>
      <c r="E7" s="58" t="s">
        <v>182</v>
      </c>
      <c r="F7" s="58" t="s">
        <v>183</v>
      </c>
      <c r="G7" s="58" t="s">
        <v>184</v>
      </c>
    </row>
    <row r="8" spans="2:7">
      <c r="B8" s="161"/>
      <c r="C8" s="103"/>
      <c r="D8" s="73" t="s">
        <v>133</v>
      </c>
      <c r="E8" s="73" t="s">
        <v>133</v>
      </c>
      <c r="F8" s="73" t="s">
        <v>133</v>
      </c>
      <c r="G8" s="73" t="s">
        <v>133</v>
      </c>
    </row>
    <row r="9" spans="2:7">
      <c r="B9" s="161"/>
      <c r="C9" s="103"/>
      <c r="D9" s="103"/>
      <c r="E9" s="103"/>
      <c r="F9" s="103"/>
      <c r="G9" s="103"/>
    </row>
    <row r="10" spans="2:7">
      <c r="B10" s="157" t="s">
        <v>6</v>
      </c>
      <c r="C10" s="103" t="s">
        <v>43</v>
      </c>
      <c r="D10" s="80">
        <f>+ACTIVOS!G16*RETORNO!$G$9</f>
        <v>405.82366232718908</v>
      </c>
      <c r="E10" s="80">
        <f>+ACTIVOS!H16*RETORNO!$G$9</f>
        <v>430.60916615704099</v>
      </c>
      <c r="F10" s="80">
        <f>+ACTIVOS!I16*RETORNO!$G$9</f>
        <v>452.08484828304205</v>
      </c>
      <c r="G10" s="80">
        <f>+ACTIVOS!J16*RETORNO!$G$9</f>
        <v>469.74502191946084</v>
      </c>
    </row>
    <row r="11" spans="2:7">
      <c r="B11" s="157" t="s">
        <v>7</v>
      </c>
      <c r="C11" s="103" t="s">
        <v>44</v>
      </c>
      <c r="D11" s="80">
        <f>+ACTIVOS!G11*'PERDIDAS y OTROS'!E11</f>
        <v>514.17978555721402</v>
      </c>
      <c r="E11" s="80">
        <f>+ACTIVOS!H11*'PERDIDAS y OTROS'!F11</f>
        <v>553.55308778888195</v>
      </c>
      <c r="F11" s="80">
        <f>+ACTIVOS!I11*'PERDIDAS y OTROS'!G11</f>
        <v>593.17309727130771</v>
      </c>
      <c r="G11" s="80">
        <f>+ACTIVOS!J11*'PERDIDAS y OTROS'!H11</f>
        <v>632.78357536937347</v>
      </c>
    </row>
    <row r="12" spans="2:7">
      <c r="B12" s="157" t="s">
        <v>45</v>
      </c>
      <c r="C12" s="103" t="s">
        <v>26</v>
      </c>
      <c r="D12" s="80">
        <f>+REGRESIONES!D58/1000</f>
        <v>6012.9931956909868</v>
      </c>
      <c r="E12" s="80">
        <f>+REGRESIONES!E58/1000</f>
        <v>6333.7163019864774</v>
      </c>
      <c r="F12" s="80">
        <f>+REGRESIONES!F58/1000</f>
        <v>6658.0505255334556</v>
      </c>
      <c r="G12" s="80">
        <f>+REGRESIONES!G58/1000</f>
        <v>6983.7822832789871</v>
      </c>
    </row>
    <row r="13" spans="2:7" ht="13.5" thickBot="1">
      <c r="B13" s="74"/>
      <c r="C13" s="102"/>
      <c r="D13" s="80"/>
      <c r="E13" s="80"/>
      <c r="F13" s="80"/>
      <c r="G13" s="80"/>
    </row>
    <row r="14" spans="2:7" ht="21.75" thickBot="1">
      <c r="B14" s="198"/>
      <c r="C14" s="199" t="s">
        <v>17</v>
      </c>
      <c r="D14" s="200">
        <f>+D10+D11+D12</f>
        <v>6932.9966435753904</v>
      </c>
      <c r="E14" s="200">
        <f>+E10+E11+E12</f>
        <v>7317.8785559324006</v>
      </c>
      <c r="F14" s="200">
        <f>+F10+F11+F12</f>
        <v>7703.3084710878056</v>
      </c>
      <c r="G14" s="201">
        <f>+G10+G11+G12</f>
        <v>8086.3108805678212</v>
      </c>
    </row>
    <row r="17" spans="4:7">
      <c r="D17" s="202"/>
      <c r="E17" s="202"/>
      <c r="F17" s="202"/>
      <c r="G17" s="202"/>
    </row>
    <row r="18" spans="4:7">
      <c r="D18" s="202"/>
      <c r="E18" s="202"/>
      <c r="F18" s="202"/>
      <c r="G18" s="202"/>
    </row>
    <row r="19" spans="4:7">
      <c r="D19" s="203"/>
      <c r="E19" s="203"/>
      <c r="F19" s="203"/>
      <c r="G19" s="203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H25"/>
  <sheetViews>
    <sheetView zoomScaleNormal="100" workbookViewId="0"/>
  </sheetViews>
  <sheetFormatPr baseColWidth="10" defaultRowHeight="12.75"/>
  <cols>
    <col min="1" max="1" width="1.42578125" style="39" customWidth="1"/>
    <col min="2" max="2" width="24.85546875" style="39" customWidth="1"/>
    <col min="3" max="3" width="15" style="39" customWidth="1"/>
    <col min="4" max="7" width="18.5703125" style="39" bestFit="1" customWidth="1"/>
    <col min="8" max="8" width="15.7109375" style="39" customWidth="1"/>
    <col min="9" max="16384" width="11.42578125" style="39"/>
  </cols>
  <sheetData>
    <row r="2" spans="2:7" ht="18.75">
      <c r="B2" s="40" t="s">
        <v>67</v>
      </c>
    </row>
    <row r="4" spans="2:7" ht="15.75">
      <c r="B4" s="43" t="s">
        <v>136</v>
      </c>
    </row>
    <row r="5" spans="2:7" ht="15.75">
      <c r="B5" s="69" t="s">
        <v>125</v>
      </c>
    </row>
    <row r="7" spans="2:7">
      <c r="B7" s="160"/>
      <c r="C7" s="187"/>
      <c r="D7" s="58" t="s">
        <v>181</v>
      </c>
      <c r="E7" s="58" t="s">
        <v>182</v>
      </c>
      <c r="F7" s="58" t="s">
        <v>183</v>
      </c>
      <c r="G7" s="58" t="s">
        <v>184</v>
      </c>
    </row>
    <row r="8" spans="2:7">
      <c r="B8" s="161"/>
      <c r="C8" s="103"/>
      <c r="D8" s="73" t="s">
        <v>133</v>
      </c>
      <c r="E8" s="73" t="s">
        <v>133</v>
      </c>
      <c r="F8" s="73" t="s">
        <v>133</v>
      </c>
      <c r="G8" s="73" t="s">
        <v>133</v>
      </c>
    </row>
    <row r="9" spans="2:7">
      <c r="B9" s="157"/>
      <c r="C9" s="103"/>
      <c r="D9" s="103"/>
      <c r="E9" s="103"/>
      <c r="F9" s="103"/>
      <c r="G9" s="103"/>
    </row>
    <row r="10" spans="2:7">
      <c r="B10" s="157" t="s">
        <v>6</v>
      </c>
      <c r="C10" s="103" t="s">
        <v>46</v>
      </c>
      <c r="D10" s="80">
        <f>+ACTIVOS!G17*RETORNO!$G$9</f>
        <v>412.79882499128934</v>
      </c>
      <c r="E10" s="80">
        <f>+ACTIVOS!H17*RETORNO!$G$9</f>
        <v>452.93735695528096</v>
      </c>
      <c r="F10" s="80">
        <f>+ACTIVOS!I17*RETORNO!$G$9</f>
        <v>494.7937816312724</v>
      </c>
      <c r="G10" s="80">
        <f>+ACTIVOS!J17*RETORNO!$G$9</f>
        <v>653.51777831826382</v>
      </c>
    </row>
    <row r="11" spans="2:7">
      <c r="B11" s="157" t="s">
        <v>7</v>
      </c>
      <c r="C11" s="103" t="s">
        <v>47</v>
      </c>
      <c r="D11" s="80">
        <f>+ACTIVOS!G12*'PERDIDAS y OTROS'!E12</f>
        <v>294.32222824995785</v>
      </c>
      <c r="E11" s="80">
        <f>+ACTIVOS!H12*'PERDIDAS y OTROS'!F12</f>
        <v>318.88597324995783</v>
      </c>
      <c r="F11" s="80">
        <f>+ACTIVOS!I12*'PERDIDAS y OTROS'!G12</f>
        <v>344.91325324995785</v>
      </c>
      <c r="G11" s="80">
        <f>+ACTIVOS!J12*'PERDIDAS y OTROS'!H12</f>
        <v>413.83759324995782</v>
      </c>
    </row>
    <row r="12" spans="2:7">
      <c r="B12" s="157" t="s">
        <v>8</v>
      </c>
      <c r="C12" s="103" t="s">
        <v>48</v>
      </c>
      <c r="D12" s="88">
        <f>$D$25*(D24+E24)/2/1000</f>
        <v>180.08649856827284</v>
      </c>
      <c r="E12" s="88">
        <f>$D$25*(E24+F24)/2/1000</f>
        <v>185.20809456760458</v>
      </c>
      <c r="F12" s="88">
        <f>$D$25*(F24+G24)/2/1000</f>
        <v>193.53068806651854</v>
      </c>
      <c r="G12" s="88">
        <f>$D$25*(G24+H24)/2/1000</f>
        <v>202.02346117933439</v>
      </c>
    </row>
    <row r="13" spans="2:7">
      <c r="B13" s="74"/>
      <c r="C13" s="102"/>
      <c r="D13" s="80"/>
      <c r="E13" s="80"/>
      <c r="F13" s="80"/>
      <c r="G13" s="80"/>
    </row>
    <row r="14" spans="2:7" ht="21">
      <c r="B14" s="188"/>
      <c r="C14" s="189" t="s">
        <v>18</v>
      </c>
      <c r="D14" s="190">
        <f>+D10+D11+D12</f>
        <v>887.20755180952006</v>
      </c>
      <c r="E14" s="190">
        <f>+E10+E11+E12</f>
        <v>957.03142477284337</v>
      </c>
      <c r="F14" s="190">
        <f>+F10+F11+F12</f>
        <v>1033.2377229477488</v>
      </c>
      <c r="G14" s="190">
        <f>+G10+G11+G12</f>
        <v>1269.3788327475561</v>
      </c>
    </row>
    <row r="18" spans="2:8">
      <c r="E18" s="191"/>
    </row>
    <row r="23" spans="2:8">
      <c r="D23" s="192">
        <v>41791</v>
      </c>
      <c r="E23" s="192">
        <v>42156</v>
      </c>
      <c r="F23" s="192">
        <v>42522</v>
      </c>
      <c r="G23" s="192">
        <v>42887</v>
      </c>
      <c r="H23" s="192">
        <v>43252</v>
      </c>
    </row>
    <row r="24" spans="2:8" ht="15">
      <c r="B24" s="193" t="s">
        <v>107</v>
      </c>
      <c r="C24" s="123"/>
      <c r="D24" s="194">
        <v>44195</v>
      </c>
      <c r="E24" s="194">
        <v>44695</v>
      </c>
      <c r="F24" s="194">
        <v>46723</v>
      </c>
      <c r="G24" s="194">
        <v>48803</v>
      </c>
      <c r="H24" s="194">
        <v>50915</v>
      </c>
    </row>
    <row r="25" spans="2:8" ht="15">
      <c r="B25" s="195" t="s">
        <v>108</v>
      </c>
      <c r="C25" s="123"/>
      <c r="D25" s="196">
        <v>4.0518955690915259</v>
      </c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scale="94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M17"/>
  <sheetViews>
    <sheetView zoomScaleNormal="100" workbookViewId="0">
      <selection activeCell="D7" sqref="D7:H9"/>
    </sheetView>
  </sheetViews>
  <sheetFormatPr baseColWidth="10" defaultRowHeight="12.75"/>
  <cols>
    <col min="1" max="1" width="1.42578125" style="39" customWidth="1"/>
    <col min="2" max="2" width="24.7109375" style="39" customWidth="1"/>
    <col min="3" max="3" width="11.42578125" style="39"/>
    <col min="4" max="4" width="10.28515625" style="39" customWidth="1"/>
    <col min="5" max="8" width="15.7109375" style="39" customWidth="1"/>
    <col min="9" max="9" width="15.42578125" style="39" bestFit="1" customWidth="1"/>
    <col min="10" max="16384" width="11.42578125" style="39"/>
  </cols>
  <sheetData>
    <row r="2" spans="2:13" ht="18.75">
      <c r="B2" s="40"/>
    </row>
    <row r="3" spans="2:13" ht="18.75">
      <c r="B3" s="40" t="s">
        <v>67</v>
      </c>
    </row>
    <row r="5" spans="2:13">
      <c r="B5" s="166" t="s">
        <v>2</v>
      </c>
      <c r="C5" s="73"/>
      <c r="D5" s="70" t="s">
        <v>72</v>
      </c>
      <c r="E5" s="73" t="s">
        <v>181</v>
      </c>
      <c r="F5" s="73" t="s">
        <v>182</v>
      </c>
      <c r="G5" s="73" t="s">
        <v>183</v>
      </c>
      <c r="H5" s="73" t="s">
        <v>184</v>
      </c>
      <c r="I5" s="73" t="s">
        <v>69</v>
      </c>
    </row>
    <row r="6" spans="2:13">
      <c r="B6" s="74" t="s">
        <v>3</v>
      </c>
      <c r="C6" s="167" t="s">
        <v>81</v>
      </c>
      <c r="D6" s="168">
        <v>114.26485198977397</v>
      </c>
      <c r="E6" s="105">
        <v>119.74989531564995</v>
      </c>
      <c r="F6" s="169">
        <v>124.05240011982781</v>
      </c>
      <c r="G6" s="105">
        <v>128.59082180165996</v>
      </c>
      <c r="H6" s="170">
        <v>133.28575904564843</v>
      </c>
      <c r="I6" s="159">
        <f>(H6/D6)^(1/4)-1</f>
        <v>3.9244589197730662E-2</v>
      </c>
    </row>
    <row r="7" spans="2:13">
      <c r="B7" s="171" t="s">
        <v>264</v>
      </c>
      <c r="C7" s="167" t="s">
        <v>4</v>
      </c>
      <c r="D7" s="172">
        <v>594586.46518900408</v>
      </c>
      <c r="E7" s="173">
        <v>625605.91990990529</v>
      </c>
      <c r="F7" s="174">
        <v>649355.02435112535</v>
      </c>
      <c r="G7" s="173">
        <v>673129.69297100883</v>
      </c>
      <c r="H7" s="175">
        <v>697720.22779036372</v>
      </c>
      <c r="I7" s="159">
        <f>(H7/D7)^(1/4)-1</f>
        <v>4.0798298902987806E-2</v>
      </c>
    </row>
    <row r="8" spans="2:13">
      <c r="B8" s="74" t="s">
        <v>82</v>
      </c>
      <c r="C8" s="167" t="s">
        <v>4</v>
      </c>
      <c r="D8" s="172">
        <v>680652.87033268565</v>
      </c>
      <c r="E8" s="173">
        <v>713326.17641626368</v>
      </c>
      <c r="F8" s="174">
        <v>738955.3370337903</v>
      </c>
      <c r="G8" s="173">
        <v>765989.8073081281</v>
      </c>
      <c r="H8" s="175">
        <v>793956.60948311863</v>
      </c>
      <c r="I8" s="159">
        <f>(H8/D8)^(1/4)-1</f>
        <v>3.9244589197730662E-2</v>
      </c>
    </row>
    <row r="9" spans="2:13">
      <c r="B9" s="165" t="s">
        <v>5</v>
      </c>
      <c r="C9" s="176" t="s">
        <v>29</v>
      </c>
      <c r="D9" s="177">
        <v>121866.45534124676</v>
      </c>
      <c r="E9" s="178">
        <v>128798.03466256605</v>
      </c>
      <c r="F9" s="179">
        <v>134716.13174878049</v>
      </c>
      <c r="G9" s="178">
        <v>140688.30919925633</v>
      </c>
      <c r="H9" s="180">
        <v>146678.55534297897</v>
      </c>
      <c r="I9" s="181">
        <f>(H9/D9)^(1/4)-1</f>
        <v>4.7419394315336705E-2</v>
      </c>
      <c r="K9" s="92"/>
      <c r="L9" s="92"/>
      <c r="M9" s="92"/>
    </row>
    <row r="10" spans="2:13">
      <c r="B10" s="123" t="s">
        <v>70</v>
      </c>
      <c r="C10" s="182"/>
      <c r="D10" s="183">
        <f>D6/D9*1000</f>
        <v>0.93762349671870726</v>
      </c>
      <c r="E10" s="184">
        <f>E6/E9*1000</f>
        <v>0.92974939896698705</v>
      </c>
      <c r="F10" s="184">
        <f>F6/F9*1000</f>
        <v>0.92084294961171775</v>
      </c>
      <c r="G10" s="184">
        <f>G6/G9*1000</f>
        <v>0.91401213457997599</v>
      </c>
      <c r="H10" s="184">
        <f>H6/H9*1000</f>
        <v>0.90869288106898705</v>
      </c>
      <c r="I10" s="92"/>
      <c r="J10" s="92"/>
      <c r="K10" s="92"/>
      <c r="L10" s="92"/>
      <c r="M10" s="92"/>
    </row>
    <row r="11" spans="2:13">
      <c r="B11" s="123" t="s">
        <v>71</v>
      </c>
      <c r="C11" s="182"/>
      <c r="D11" s="183">
        <f>D7/D9</f>
        <v>4.8790002427170052</v>
      </c>
      <c r="E11" s="183">
        <f>E7/E9</f>
        <v>4.8572629353305796</v>
      </c>
      <c r="F11" s="183">
        <f>F7/F9</f>
        <v>4.8201727285492932</v>
      </c>
      <c r="G11" s="183">
        <f>G7/G9</f>
        <v>4.7845460422561317</v>
      </c>
      <c r="H11" s="183">
        <f>H7/H9</f>
        <v>4.7567977892806628</v>
      </c>
      <c r="I11" s="92"/>
      <c r="J11" s="92"/>
      <c r="K11" s="92"/>
      <c r="L11" s="92"/>
      <c r="M11" s="92"/>
    </row>
    <row r="12" spans="2:13">
      <c r="D12" s="185"/>
      <c r="E12" s="186"/>
      <c r="F12" s="186"/>
      <c r="G12" s="186"/>
      <c r="H12" s="186"/>
    </row>
    <row r="13" spans="2:13">
      <c r="B13" s="47"/>
      <c r="D13" s="119"/>
      <c r="E13" s="119"/>
      <c r="F13" s="119"/>
      <c r="G13" s="119"/>
      <c r="H13" s="119"/>
    </row>
    <row r="16" spans="2:13">
      <c r="E16" s="92"/>
      <c r="F16" s="169"/>
    </row>
    <row r="17" spans="5:6">
      <c r="E17" s="92"/>
      <c r="F17" s="92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scale="98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opLeftCell="A52" zoomScaleNormal="100" workbookViewId="0">
      <selection activeCell="D57" sqref="D57:G58"/>
    </sheetView>
  </sheetViews>
  <sheetFormatPr baseColWidth="10" defaultColWidth="16.7109375" defaultRowHeight="12.75"/>
  <cols>
    <col min="1" max="1" width="20.5703125" style="137" customWidth="1"/>
    <col min="2" max="16384" width="16.7109375" style="137"/>
  </cols>
  <sheetData>
    <row r="1" spans="1:13" ht="15">
      <c r="A1" s="1" t="s">
        <v>140</v>
      </c>
    </row>
    <row r="2" spans="1:13" ht="15">
      <c r="A2" s="1"/>
    </row>
    <row r="3" spans="1:13" ht="15">
      <c r="A3" s="1" t="s">
        <v>141</v>
      </c>
    </row>
    <row r="4" spans="1:13" s="3" customFormat="1" ht="15">
      <c r="A4" s="2" t="s">
        <v>142</v>
      </c>
      <c r="B4" s="3" t="s">
        <v>31</v>
      </c>
      <c r="C4" s="3" t="s">
        <v>32</v>
      </c>
      <c r="D4" s="3" t="s">
        <v>30</v>
      </c>
      <c r="E4" s="3" t="s">
        <v>26</v>
      </c>
      <c r="F4" s="3" t="s">
        <v>33</v>
      </c>
      <c r="G4" s="4"/>
      <c r="I4" s="39"/>
      <c r="J4" s="39"/>
      <c r="K4" s="39"/>
      <c r="L4" s="39"/>
      <c r="M4" s="39"/>
    </row>
    <row r="5" spans="1:13" ht="15">
      <c r="A5" s="138" t="s">
        <v>143</v>
      </c>
      <c r="B5" s="139">
        <v>0</v>
      </c>
      <c r="C5" s="139">
        <v>0</v>
      </c>
      <c r="D5" s="139">
        <v>1.00346</v>
      </c>
      <c r="E5" s="139">
        <v>0</v>
      </c>
      <c r="F5" s="139">
        <v>0</v>
      </c>
      <c r="G5" s="5"/>
      <c r="I5" s="39"/>
      <c r="J5" s="39"/>
      <c r="K5" s="39"/>
      <c r="L5" s="39"/>
      <c r="M5" s="39"/>
    </row>
    <row r="6" spans="1:13" ht="15">
      <c r="A6" s="138" t="s">
        <v>144</v>
      </c>
      <c r="B6" s="139">
        <v>0.99308719999999995</v>
      </c>
      <c r="C6" s="139">
        <v>1.0009459999999999</v>
      </c>
      <c r="D6" s="139">
        <v>-0.71858929999999999</v>
      </c>
      <c r="E6" s="139">
        <v>1.1359239999999999</v>
      </c>
      <c r="F6" s="139">
        <v>1.018411</v>
      </c>
      <c r="G6" s="5"/>
      <c r="I6" s="39"/>
      <c r="J6" s="39"/>
      <c r="K6" s="39"/>
      <c r="L6" s="39"/>
      <c r="M6" s="39"/>
    </row>
    <row r="7" spans="1:13" ht="15">
      <c r="A7" s="138" t="s">
        <v>34</v>
      </c>
      <c r="B7" s="139">
        <v>8.31372</v>
      </c>
      <c r="C7" s="139">
        <v>5.2474100000000004</v>
      </c>
      <c r="D7" s="139">
        <v>5.7032350000000003</v>
      </c>
      <c r="E7" s="139">
        <v>2.5659749999999999</v>
      </c>
      <c r="F7" s="139">
        <v>3.783477</v>
      </c>
      <c r="G7" s="5"/>
      <c r="I7" s="39"/>
      <c r="J7" s="39"/>
      <c r="K7" s="39"/>
      <c r="L7" s="39"/>
      <c r="M7" s="39"/>
    </row>
    <row r="10" spans="1:13" ht="15">
      <c r="A10" s="1" t="s">
        <v>145</v>
      </c>
    </row>
    <row r="11" spans="1:13" ht="6" customHeight="1">
      <c r="A11" s="1"/>
    </row>
    <row r="12" spans="1:13" ht="15">
      <c r="A12" s="6" t="s">
        <v>67</v>
      </c>
      <c r="C12" s="7"/>
      <c r="D12" s="7"/>
      <c r="E12" s="7"/>
      <c r="F12" s="7"/>
      <c r="G12" s="7"/>
      <c r="H12" s="7"/>
    </row>
    <row r="13" spans="1:13" ht="15">
      <c r="A13" s="300" t="s">
        <v>146</v>
      </c>
      <c r="B13" s="300" t="s">
        <v>147</v>
      </c>
      <c r="C13" s="3" t="s">
        <v>148</v>
      </c>
      <c r="D13" s="301" t="s">
        <v>149</v>
      </c>
      <c r="E13" s="301"/>
      <c r="F13" s="301"/>
      <c r="G13" s="301"/>
      <c r="H13" s="301"/>
    </row>
    <row r="14" spans="1:13">
      <c r="A14" s="300"/>
      <c r="B14" s="300"/>
      <c r="C14" s="8" t="s">
        <v>150</v>
      </c>
      <c r="D14" s="9" t="s">
        <v>151</v>
      </c>
      <c r="E14" s="9" t="s">
        <v>152</v>
      </c>
      <c r="F14" s="9" t="s">
        <v>153</v>
      </c>
      <c r="G14" s="9" t="s">
        <v>154</v>
      </c>
      <c r="H14" s="9" t="s">
        <v>155</v>
      </c>
    </row>
    <row r="15" spans="1:13" ht="15">
      <c r="A15" s="138" t="s">
        <v>156</v>
      </c>
      <c r="B15" s="137" t="s">
        <v>81</v>
      </c>
      <c r="C15" s="10">
        <v>107.93360701150169</v>
      </c>
      <c r="D15" s="11">
        <v>114.26485198977397</v>
      </c>
      <c r="E15" s="12">
        <v>119.74989531564995</v>
      </c>
      <c r="F15" s="12">
        <v>124.05240011982781</v>
      </c>
      <c r="G15" s="12">
        <v>128.59082180165996</v>
      </c>
      <c r="H15" s="12">
        <v>133.28575904564843</v>
      </c>
    </row>
    <row r="16" spans="1:13" ht="15">
      <c r="A16" s="138" t="s">
        <v>157</v>
      </c>
      <c r="B16" s="137" t="s">
        <v>13</v>
      </c>
      <c r="C16" s="13">
        <v>642938.91024611332</v>
      </c>
      <c r="D16" s="13">
        <v>680652.87033268565</v>
      </c>
      <c r="E16" s="13">
        <v>713326.17641626368</v>
      </c>
      <c r="F16" s="13">
        <v>738955.3370337903</v>
      </c>
      <c r="G16" s="13">
        <v>765989.8073081281</v>
      </c>
      <c r="H16" s="13">
        <v>793956.60948311863</v>
      </c>
    </row>
    <row r="17" spans="1:10" ht="15">
      <c r="A17" s="138" t="s">
        <v>5</v>
      </c>
      <c r="B17" s="137" t="s">
        <v>158</v>
      </c>
      <c r="C17" s="140">
        <v>116612.66666666667</v>
      </c>
      <c r="D17" s="14">
        <v>121866.45534124676</v>
      </c>
      <c r="E17" s="14">
        <v>128798.03466256605</v>
      </c>
      <c r="F17" s="14">
        <v>134716.13174878049</v>
      </c>
      <c r="G17" s="14">
        <v>140688.30919925633</v>
      </c>
      <c r="H17" s="14">
        <v>146678.55534297897</v>
      </c>
    </row>
    <row r="19" spans="1:10">
      <c r="D19" s="141"/>
      <c r="E19" s="141"/>
      <c r="F19" s="141"/>
      <c r="G19" s="141"/>
      <c r="H19" s="141"/>
    </row>
    <row r="20" spans="1:10" ht="15">
      <c r="A20" s="1" t="s">
        <v>159</v>
      </c>
    </row>
    <row r="21" spans="1:10" ht="6" customHeight="1">
      <c r="A21" s="1"/>
    </row>
    <row r="22" spans="1:10" ht="15">
      <c r="A22" s="6" t="s">
        <v>67</v>
      </c>
      <c r="C22" s="7"/>
      <c r="D22" s="7"/>
      <c r="E22" s="7"/>
      <c r="F22" s="7"/>
      <c r="G22" s="7"/>
      <c r="H22" s="7"/>
    </row>
    <row r="23" spans="1:10" ht="15">
      <c r="A23" s="15" t="s">
        <v>160</v>
      </c>
      <c r="C23" s="7"/>
      <c r="D23" s="7"/>
      <c r="E23" s="7"/>
      <c r="F23" s="7"/>
      <c r="G23" s="7"/>
      <c r="H23" s="7"/>
    </row>
    <row r="24" spans="1:10" ht="15">
      <c r="A24" s="7" t="s">
        <v>161</v>
      </c>
      <c r="B24" s="8" t="s">
        <v>150</v>
      </c>
      <c r="C24" s="9" t="s">
        <v>151</v>
      </c>
      <c r="D24" s="9" t="s">
        <v>152</v>
      </c>
      <c r="E24" s="9" t="s">
        <v>153</v>
      </c>
      <c r="F24" s="9" t="s">
        <v>154</v>
      </c>
      <c r="G24" s="9" t="s">
        <v>155</v>
      </c>
      <c r="I24" s="39"/>
      <c r="J24" s="39"/>
    </row>
    <row r="25" spans="1:10">
      <c r="A25" s="142" t="s">
        <v>31</v>
      </c>
      <c r="B25" s="143">
        <f t="shared" ref="B25:G25" si="0">EXP($B$7+$B$6*LN(C17)+$B$5*LN(C15))</f>
        <v>438857017.22662026</v>
      </c>
      <c r="C25" s="143">
        <f t="shared" si="0"/>
        <v>458489294.09579593</v>
      </c>
      <c r="D25" s="143">
        <f t="shared" si="0"/>
        <v>484382200.32172096</v>
      </c>
      <c r="E25" s="143">
        <f t="shared" si="0"/>
        <v>506481599.69788188</v>
      </c>
      <c r="F25" s="143">
        <f t="shared" si="0"/>
        <v>528776142.65909153</v>
      </c>
      <c r="G25" s="143">
        <f t="shared" si="0"/>
        <v>551131564.56438971</v>
      </c>
      <c r="I25" s="39"/>
      <c r="J25" s="39"/>
    </row>
    <row r="26" spans="1:10">
      <c r="A26" s="142" t="s">
        <v>32</v>
      </c>
      <c r="B26" s="143">
        <f t="shared" ref="B26:G26" si="1">EXP($C$7+$C$6*LN(C17)+$C$5*LN(C15))</f>
        <v>22410940.137031995</v>
      </c>
      <c r="C26" s="143">
        <f t="shared" si="1"/>
        <v>23421603.950309295</v>
      </c>
      <c r="D26" s="143">
        <f t="shared" si="1"/>
        <v>24755084.754234374</v>
      </c>
      <c r="E26" s="143">
        <f t="shared" si="1"/>
        <v>25893648.138057292</v>
      </c>
      <c r="F26" s="143">
        <f t="shared" si="1"/>
        <v>27042663.843669083</v>
      </c>
      <c r="G26" s="143">
        <f t="shared" si="1"/>
        <v>28195202.23539155</v>
      </c>
      <c r="I26" s="39"/>
      <c r="J26" s="39"/>
    </row>
    <row r="27" spans="1:10">
      <c r="A27" s="142" t="s">
        <v>30</v>
      </c>
      <c r="B27" s="143">
        <f t="shared" ref="B27:G27" si="2">EXP($D$7+$D$6*LN(C15/C17)+$D$5*LN(C15))</f>
        <v>4977136.1874507908</v>
      </c>
      <c r="C27" s="143">
        <f t="shared" si="2"/>
        <v>5221369.9108941359</v>
      </c>
      <c r="D27" s="143">
        <f t="shared" si="2"/>
        <v>5506165.8073829599</v>
      </c>
      <c r="E27" s="143">
        <f t="shared" si="2"/>
        <v>5744289.2813595673</v>
      </c>
      <c r="F27" s="143">
        <f t="shared" si="2"/>
        <v>5987130.5826541288</v>
      </c>
      <c r="G27" s="143">
        <f t="shared" si="2"/>
        <v>6232580.5406065639</v>
      </c>
      <c r="I27" s="39"/>
      <c r="J27" s="39"/>
    </row>
    <row r="28" spans="1:10">
      <c r="A28" s="142" t="s">
        <v>26</v>
      </c>
      <c r="B28" s="143">
        <f t="shared" ref="B28:G28" si="3">EXP($E$7+$E$6*LN(C17)+$E$5*LN(C15))</f>
        <v>7410147.5581154944</v>
      </c>
      <c r="C28" s="143">
        <f t="shared" si="3"/>
        <v>7790524.2475850666</v>
      </c>
      <c r="D28" s="143">
        <f t="shared" si="3"/>
        <v>8295781.8357721101</v>
      </c>
      <c r="E28" s="143">
        <f t="shared" si="3"/>
        <v>8730108.0206392854</v>
      </c>
      <c r="F28" s="143">
        <f t="shared" si="3"/>
        <v>9171040.5835399069</v>
      </c>
      <c r="G28" s="143">
        <f t="shared" si="3"/>
        <v>9615870.90198295</v>
      </c>
      <c r="I28" s="39"/>
      <c r="J28" s="39"/>
    </row>
    <row r="29" spans="1:10" s="146" customFormat="1">
      <c r="A29" s="144" t="s">
        <v>33</v>
      </c>
      <c r="B29" s="145">
        <f t="shared" ref="B29:G29" si="4">EXP($F$7+$F$6*LN(C17)+$F$5*LN(C15))</f>
        <v>6355837.2193991942</v>
      </c>
      <c r="C29" s="145">
        <f t="shared" si="4"/>
        <v>6647580.0588350091</v>
      </c>
      <c r="D29" s="145">
        <f t="shared" si="4"/>
        <v>7032843.5861606225</v>
      </c>
      <c r="E29" s="145">
        <f t="shared" si="4"/>
        <v>7362079.989916143</v>
      </c>
      <c r="F29" s="145">
        <f t="shared" si="4"/>
        <v>7694595.1074413965</v>
      </c>
      <c r="G29" s="145">
        <f t="shared" si="4"/>
        <v>8028377.4662550753</v>
      </c>
      <c r="I29" s="39"/>
      <c r="J29" s="39"/>
    </row>
    <row r="30" spans="1:10" s="146" customFormat="1" ht="15">
      <c r="A30" s="144"/>
      <c r="B30" s="145"/>
      <c r="C30" s="145"/>
      <c r="D30" s="145"/>
      <c r="E30" s="145"/>
      <c r="F30" s="145"/>
      <c r="G30" s="145"/>
      <c r="I30" s="16"/>
      <c r="J30" s="17"/>
    </row>
    <row r="31" spans="1:10" s="146" customFormat="1" ht="15">
      <c r="A31" s="18"/>
      <c r="B31" s="19"/>
      <c r="C31" s="20"/>
      <c r="D31" s="20"/>
      <c r="E31" s="20"/>
      <c r="F31" s="20"/>
      <c r="G31" s="20"/>
      <c r="I31" s="16"/>
      <c r="J31" s="17"/>
    </row>
    <row r="32" spans="1:10">
      <c r="A32" s="142"/>
    </row>
    <row r="33" spans="1:8" ht="15">
      <c r="A33" s="15" t="s">
        <v>162</v>
      </c>
    </row>
    <row r="34" spans="1:8">
      <c r="A34" s="147" t="s">
        <v>163</v>
      </c>
    </row>
    <row r="35" spans="1:8" s="149" customFormat="1" ht="15">
      <c r="A35" s="148" t="s">
        <v>164</v>
      </c>
      <c r="B35" s="21">
        <v>0.31370669545808277</v>
      </c>
      <c r="C35" s="22"/>
    </row>
    <row r="36" spans="1:8" s="149" customFormat="1" ht="15">
      <c r="A36" s="23" t="s">
        <v>165</v>
      </c>
      <c r="B36" s="24"/>
      <c r="C36" s="22"/>
      <c r="D36" s="24"/>
      <c r="E36" s="24"/>
      <c r="F36" s="24"/>
      <c r="G36" s="119"/>
      <c r="H36" s="119"/>
    </row>
    <row r="37" spans="1:8" s="149" customFormat="1" ht="15">
      <c r="A37" s="150" t="s">
        <v>31</v>
      </c>
      <c r="B37" s="25">
        <v>0.6024884744001221</v>
      </c>
      <c r="C37" s="22"/>
      <c r="D37" s="26"/>
      <c r="E37" s="26"/>
      <c r="F37" s="26"/>
      <c r="G37" s="119"/>
      <c r="H37" s="119"/>
    </row>
    <row r="38" spans="1:8" s="149" customFormat="1" ht="15">
      <c r="A38" s="150" t="s">
        <v>32</v>
      </c>
      <c r="B38" s="25">
        <v>0.40324448476605762</v>
      </c>
      <c r="C38" s="21"/>
      <c r="D38" s="21"/>
      <c r="E38" s="21"/>
      <c r="F38" s="21"/>
      <c r="G38" s="119"/>
      <c r="H38" s="119"/>
    </row>
    <row r="39" spans="1:8" s="149" customFormat="1" ht="15">
      <c r="A39" s="150" t="s">
        <v>30</v>
      </c>
      <c r="B39" s="25">
        <v>0.51600000000000001</v>
      </c>
      <c r="C39" s="22"/>
      <c r="D39" s="25"/>
      <c r="E39" s="25"/>
      <c r="F39" s="25"/>
      <c r="G39" s="119"/>
      <c r="H39" s="119"/>
    </row>
    <row r="40" spans="1:8" s="149" customFormat="1" ht="15">
      <c r="A40" s="150" t="s">
        <v>26</v>
      </c>
      <c r="B40" s="25">
        <v>0.35499999999999998</v>
      </c>
      <c r="C40" s="22"/>
      <c r="D40" s="25"/>
      <c r="E40" s="25"/>
      <c r="F40" s="25"/>
      <c r="G40" s="119"/>
      <c r="H40" s="119"/>
    </row>
    <row r="41" spans="1:8" s="149" customFormat="1" ht="15">
      <c r="A41" s="150" t="s">
        <v>33</v>
      </c>
      <c r="B41" s="25">
        <v>0.629</v>
      </c>
      <c r="C41" s="26"/>
      <c r="D41" s="26"/>
      <c r="E41" s="26"/>
      <c r="F41" s="25"/>
      <c r="G41" s="119"/>
      <c r="H41" s="119"/>
    </row>
    <row r="42" spans="1:8" s="149" customFormat="1" ht="15">
      <c r="A42" s="27"/>
      <c r="C42" s="25"/>
      <c r="D42" s="25"/>
      <c r="E42" s="25"/>
      <c r="F42" s="119"/>
      <c r="G42" s="119"/>
      <c r="H42" s="119"/>
    </row>
    <row r="43" spans="1:8" s="149" customFormat="1" ht="15">
      <c r="A43" s="147" t="s">
        <v>166</v>
      </c>
      <c r="C43" s="25"/>
      <c r="D43" s="25"/>
      <c r="E43" s="25"/>
      <c r="F43" s="119"/>
      <c r="G43" s="119"/>
      <c r="H43" s="119"/>
    </row>
    <row r="44" spans="1:8" s="149" customFormat="1" ht="15">
      <c r="A44" s="147"/>
      <c r="B44" s="7">
        <v>2013</v>
      </c>
      <c r="C44" s="7">
        <f>B44+1</f>
        <v>2014</v>
      </c>
      <c r="D44" s="7">
        <f>C44+1</f>
        <v>2015</v>
      </c>
      <c r="E44" s="7">
        <f>D44+1</f>
        <v>2016</v>
      </c>
      <c r="F44" s="7">
        <f>E44+1</f>
        <v>2017</v>
      </c>
      <c r="G44" s="7">
        <f>F44+1</f>
        <v>2018</v>
      </c>
      <c r="H44" s="119"/>
    </row>
    <row r="45" spans="1:8" s="149" customFormat="1" ht="15">
      <c r="A45" s="151" t="s">
        <v>167</v>
      </c>
      <c r="B45" s="28">
        <v>0.65100000000000002</v>
      </c>
      <c r="C45" s="28">
        <v>0.66400000000000003</v>
      </c>
      <c r="D45" s="28">
        <v>0.67400000000000004</v>
      </c>
      <c r="E45" s="28">
        <v>0.68100000000000005</v>
      </c>
      <c r="F45" s="28">
        <v>0.68600000000000005</v>
      </c>
      <c r="G45" s="28">
        <v>0.68899999999999995</v>
      </c>
      <c r="H45" s="29"/>
    </row>
    <row r="46" spans="1:8" s="149" customFormat="1" ht="15" customHeight="1">
      <c r="A46" s="152" t="s">
        <v>168</v>
      </c>
      <c r="B46" s="30"/>
      <c r="C46" s="25"/>
      <c r="D46" s="25"/>
      <c r="E46" s="25"/>
      <c r="F46" s="31"/>
      <c r="G46" s="31"/>
      <c r="H46" s="31"/>
    </row>
    <row r="47" spans="1:8" s="149" customFormat="1" ht="15">
      <c r="A47" s="150" t="s">
        <v>31</v>
      </c>
      <c r="B47" s="32">
        <v>0.1</v>
      </c>
      <c r="C47" s="28"/>
      <c r="D47" s="28"/>
      <c r="E47" s="28"/>
      <c r="F47" s="28"/>
      <c r="G47" s="28"/>
      <c r="H47" s="28"/>
    </row>
    <row r="48" spans="1:8" s="149" customFormat="1" ht="15">
      <c r="A48" s="150" t="s">
        <v>32</v>
      </c>
      <c r="B48" s="32">
        <v>0.1</v>
      </c>
      <c r="C48" s="31"/>
      <c r="D48" s="31"/>
      <c r="E48" s="33"/>
      <c r="F48" s="31"/>
      <c r="G48" s="31"/>
      <c r="H48" s="31"/>
    </row>
    <row r="49" spans="1:17" s="149" customFormat="1" ht="15">
      <c r="A49" s="150" t="s">
        <v>30</v>
      </c>
      <c r="B49" s="32">
        <v>0.1</v>
      </c>
      <c r="C49" s="31"/>
      <c r="D49" s="31"/>
      <c r="E49" s="33"/>
      <c r="F49" s="31"/>
      <c r="G49" s="31"/>
      <c r="H49" s="31"/>
    </row>
    <row r="50" spans="1:17" s="149" customFormat="1" ht="15">
      <c r="A50" s="150" t="s">
        <v>26</v>
      </c>
      <c r="B50" s="32">
        <v>0.15</v>
      </c>
      <c r="C50" s="31"/>
      <c r="D50" s="31"/>
      <c r="E50" s="33"/>
      <c r="F50" s="31"/>
      <c r="G50" s="31"/>
      <c r="H50" s="31"/>
    </row>
    <row r="51" spans="1:17" s="149" customFormat="1" ht="15">
      <c r="A51" s="150" t="s">
        <v>33</v>
      </c>
      <c r="B51" s="32">
        <v>0.25</v>
      </c>
      <c r="C51" s="31"/>
      <c r="D51" s="31"/>
      <c r="E51" s="33"/>
      <c r="F51" s="31"/>
      <c r="G51" s="31"/>
      <c r="H51" s="31"/>
    </row>
    <row r="52" spans="1:17" s="149" customFormat="1" ht="15">
      <c r="A52" s="119"/>
      <c r="B52" s="21"/>
      <c r="C52" s="119"/>
      <c r="D52" s="119"/>
      <c r="E52" s="153"/>
      <c r="F52" s="119"/>
      <c r="G52" s="119"/>
      <c r="H52" s="119"/>
    </row>
    <row r="53" spans="1:17" s="149" customFormat="1" ht="15">
      <c r="A53" s="15" t="s">
        <v>169</v>
      </c>
      <c r="B53" s="137"/>
      <c r="C53" s="7"/>
      <c r="D53" s="7"/>
      <c r="E53" s="7"/>
      <c r="F53" s="7"/>
      <c r="G53" s="7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149" customFormat="1" ht="15">
      <c r="A54" s="7" t="s">
        <v>161</v>
      </c>
      <c r="B54" s="8" t="s">
        <v>150</v>
      </c>
      <c r="C54" s="9" t="s">
        <v>151</v>
      </c>
      <c r="D54" s="9" t="s">
        <v>152</v>
      </c>
      <c r="E54" s="9" t="s">
        <v>153</v>
      </c>
      <c r="F54" s="9" t="s">
        <v>154</v>
      </c>
      <c r="G54" s="9" t="s">
        <v>155</v>
      </c>
      <c r="I54" s="39"/>
      <c r="J54" s="39"/>
      <c r="K54" s="39"/>
      <c r="L54" s="39"/>
      <c r="M54" s="39"/>
      <c r="N54" s="39"/>
      <c r="O54" s="39"/>
      <c r="P54" s="39"/>
      <c r="Q54" s="39"/>
    </row>
    <row r="55" spans="1:17" s="149" customFormat="1">
      <c r="A55" s="142" t="s">
        <v>31</v>
      </c>
      <c r="B55" s="143">
        <f t="shared" ref="B55:G59" si="5">B25*($B37*$B$35+B$45*(1-$B37)*$B47+(1-$B37)*(1-$B47))</f>
        <v>251308417.22134522</v>
      </c>
      <c r="C55" s="143">
        <f t="shared" si="5"/>
        <v>262787635.17584121</v>
      </c>
      <c r="D55" s="143">
        <f t="shared" si="5"/>
        <v>277820955.81049693</v>
      </c>
      <c r="E55" s="143">
        <f t="shared" si="5"/>
        <v>290637160.64235085</v>
      </c>
      <c r="F55" s="143">
        <f t="shared" si="5"/>
        <v>303535659.85617852</v>
      </c>
      <c r="G55" s="143">
        <f t="shared" si="5"/>
        <v>316434163.88203084</v>
      </c>
      <c r="I55" s="39"/>
      <c r="J55" s="39"/>
      <c r="K55" s="39"/>
      <c r="L55" s="39"/>
      <c r="M55" s="39"/>
      <c r="N55" s="39"/>
      <c r="O55" s="39"/>
      <c r="P55" s="39"/>
      <c r="Q55" s="39"/>
    </row>
    <row r="56" spans="1:17" s="149" customFormat="1">
      <c r="A56" s="142" t="s">
        <v>32</v>
      </c>
      <c r="B56" s="143">
        <f t="shared" si="5"/>
        <v>15742099.704839099</v>
      </c>
      <c r="C56" s="143">
        <f t="shared" si="5"/>
        <v>16470189.584384752</v>
      </c>
      <c r="D56" s="143">
        <f t="shared" si="5"/>
        <v>17422672.719402689</v>
      </c>
      <c r="E56" s="143">
        <f t="shared" si="5"/>
        <v>18234812.179959979</v>
      </c>
      <c r="F56" s="143">
        <f t="shared" si="5"/>
        <v>19052040.385483775</v>
      </c>
      <c r="G56" s="143">
        <f t="shared" si="5"/>
        <v>19869071.990445416</v>
      </c>
      <c r="I56" s="39"/>
      <c r="J56" s="39"/>
      <c r="K56" s="39"/>
      <c r="L56" s="39"/>
      <c r="M56" s="39"/>
      <c r="N56" s="39"/>
      <c r="O56" s="39"/>
      <c r="P56" s="39"/>
      <c r="Q56" s="39"/>
    </row>
    <row r="57" spans="1:17" s="149" customFormat="1">
      <c r="A57" s="142" t="s">
        <v>30</v>
      </c>
      <c r="B57" s="143">
        <f t="shared" si="5"/>
        <v>3130524.3693466135</v>
      </c>
      <c r="C57" s="143">
        <f t="shared" si="5"/>
        <v>3287428.0402974426</v>
      </c>
      <c r="D57" s="143">
        <f t="shared" si="5"/>
        <v>3469403.4415185931</v>
      </c>
      <c r="E57" s="143">
        <f t="shared" si="5"/>
        <v>3621389.8396262182</v>
      </c>
      <c r="F57" s="143">
        <f t="shared" si="5"/>
        <v>3775933.9086476471</v>
      </c>
      <c r="G57" s="143">
        <f t="shared" si="5"/>
        <v>3931638.0450382894</v>
      </c>
      <c r="I57" s="39"/>
      <c r="J57" s="39"/>
      <c r="K57" s="39"/>
      <c r="L57" s="39"/>
      <c r="M57" s="39"/>
      <c r="N57" s="39"/>
      <c r="O57" s="39"/>
      <c r="P57" s="39"/>
      <c r="Q57" s="39"/>
    </row>
    <row r="58" spans="1:17" s="149" customFormat="1">
      <c r="A58" s="142" t="s">
        <v>26</v>
      </c>
      <c r="B58" s="143">
        <f t="shared" si="5"/>
        <v>5354573.5657502394</v>
      </c>
      <c r="C58" s="143">
        <f t="shared" si="5"/>
        <v>5639232.3416984444</v>
      </c>
      <c r="D58" s="143">
        <f t="shared" si="5"/>
        <v>6012993.1956909867</v>
      </c>
      <c r="E58" s="143">
        <f t="shared" si="5"/>
        <v>6333716.3019864773</v>
      </c>
      <c r="F58" s="143">
        <f t="shared" si="5"/>
        <v>6658050.5255334554</v>
      </c>
      <c r="G58" s="143">
        <f t="shared" si="5"/>
        <v>6983782.2832789868</v>
      </c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49" customFormat="1">
      <c r="A59" s="144" t="s">
        <v>33</v>
      </c>
      <c r="B59" s="145">
        <f t="shared" si="5"/>
        <v>3406422.1531828293</v>
      </c>
      <c r="C59" s="145">
        <f t="shared" si="5"/>
        <v>3570797.5615228163</v>
      </c>
      <c r="D59" s="145">
        <f t="shared" si="5"/>
        <v>3784267.7215370103</v>
      </c>
      <c r="E59" s="145">
        <f t="shared" si="5"/>
        <v>3966204.7260527494</v>
      </c>
      <c r="F59" s="145">
        <f t="shared" si="5"/>
        <v>4148910.3807924693</v>
      </c>
      <c r="G59" s="145">
        <f t="shared" si="5"/>
        <v>4331119.0609495891</v>
      </c>
      <c r="I59" s="39"/>
      <c r="J59" s="39"/>
      <c r="K59" s="39"/>
      <c r="L59" s="39"/>
      <c r="M59" s="39"/>
      <c r="N59" s="39"/>
      <c r="O59" s="39"/>
      <c r="P59" s="39"/>
      <c r="Q59" s="39"/>
    </row>
    <row r="60" spans="1:17" s="149" customFormat="1">
      <c r="A60" s="144"/>
      <c r="B60" s="145"/>
      <c r="C60" s="145"/>
      <c r="D60" s="145"/>
      <c r="E60" s="145"/>
      <c r="F60" s="145"/>
      <c r="G60" s="145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49" customFormat="1" ht="15">
      <c r="A61" s="18"/>
      <c r="B61" s="19"/>
      <c r="C61" s="19"/>
      <c r="D61" s="19"/>
      <c r="E61" s="19"/>
      <c r="F61" s="19"/>
      <c r="G61" s="1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149" customFormat="1"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49" customFormat="1" ht="15">
      <c r="A63" s="34" t="s">
        <v>170</v>
      </c>
      <c r="B63" s="35">
        <f t="shared" ref="B63:G63" si="6">SUM(B55:B56)</f>
        <v>267050516.92618433</v>
      </c>
      <c r="C63" s="35">
        <f t="shared" si="6"/>
        <v>279257824.76022595</v>
      </c>
      <c r="D63" s="35">
        <f t="shared" si="6"/>
        <v>295243628.5298996</v>
      </c>
      <c r="E63" s="35">
        <f t="shared" si="6"/>
        <v>308871972.82231081</v>
      </c>
      <c r="F63" s="35">
        <f t="shared" si="6"/>
        <v>322587700.24166232</v>
      </c>
      <c r="G63" s="35">
        <f t="shared" si="6"/>
        <v>336303235.87247628</v>
      </c>
      <c r="I63" s="39"/>
      <c r="J63" s="39"/>
      <c r="K63" s="39"/>
      <c r="L63" s="39"/>
      <c r="M63" s="39"/>
      <c r="N63" s="39"/>
      <c r="O63" s="39"/>
      <c r="P63" s="39"/>
      <c r="Q63" s="39"/>
    </row>
    <row r="64" spans="1:17" s="149" customFormat="1" ht="15">
      <c r="A64" s="34" t="s">
        <v>171</v>
      </c>
      <c r="B64" s="35">
        <f t="shared" ref="B64:G64" si="7">SUM(B57:B59)</f>
        <v>11891520.088279681</v>
      </c>
      <c r="C64" s="35">
        <f t="shared" si="7"/>
        <v>12497457.943518702</v>
      </c>
      <c r="D64" s="35">
        <f t="shared" si="7"/>
        <v>13266664.35874659</v>
      </c>
      <c r="E64" s="35">
        <f t="shared" si="7"/>
        <v>13921310.867665445</v>
      </c>
      <c r="F64" s="35">
        <f t="shared" si="7"/>
        <v>14582894.81497357</v>
      </c>
      <c r="G64" s="35">
        <f t="shared" si="7"/>
        <v>15246539.389266867</v>
      </c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49" customFormat="1" ht="15">
      <c r="A65" s="36" t="s">
        <v>172</v>
      </c>
      <c r="B65" s="35">
        <f t="shared" ref="B65:G65" si="8">B63+B64</f>
        <v>278942037.01446402</v>
      </c>
      <c r="C65" s="35">
        <f t="shared" si="8"/>
        <v>291755282.70374465</v>
      </c>
      <c r="D65" s="35">
        <f t="shared" si="8"/>
        <v>308510292.88864619</v>
      </c>
      <c r="E65" s="35">
        <f t="shared" si="8"/>
        <v>322793283.68997627</v>
      </c>
      <c r="F65" s="35">
        <f t="shared" si="8"/>
        <v>337170595.05663592</v>
      </c>
      <c r="G65" s="35">
        <f t="shared" si="8"/>
        <v>351549775.26174313</v>
      </c>
      <c r="I65" s="39"/>
      <c r="J65" s="39"/>
      <c r="K65" s="39"/>
      <c r="L65" s="39"/>
      <c r="M65" s="39"/>
      <c r="N65" s="39"/>
      <c r="O65" s="39"/>
      <c r="P65" s="39"/>
      <c r="Q65" s="39"/>
    </row>
    <row r="66" spans="1:17" s="149" customFormat="1">
      <c r="I66" s="39"/>
      <c r="J66" s="39"/>
      <c r="K66" s="39"/>
      <c r="L66" s="39"/>
      <c r="M66" s="39"/>
      <c r="N66" s="39"/>
      <c r="O66" s="39"/>
      <c r="P66" s="39"/>
      <c r="Q66" s="39"/>
    </row>
    <row r="67" spans="1:17" s="149" customFormat="1" ht="15">
      <c r="A67" s="37" t="s">
        <v>23</v>
      </c>
      <c r="B67" s="8" t="s">
        <v>150</v>
      </c>
      <c r="C67" s="9" t="s">
        <v>151</v>
      </c>
      <c r="D67" s="9" t="s">
        <v>152</v>
      </c>
      <c r="E67" s="9" t="s">
        <v>153</v>
      </c>
      <c r="F67" s="9" t="s">
        <v>154</v>
      </c>
      <c r="G67" s="9" t="s">
        <v>155</v>
      </c>
      <c r="I67" s="39"/>
      <c r="J67" s="39"/>
      <c r="K67" s="39"/>
      <c r="L67" s="39"/>
      <c r="M67" s="39"/>
      <c r="N67" s="39"/>
      <c r="O67" s="39"/>
      <c r="P67" s="39"/>
      <c r="Q67" s="39"/>
    </row>
    <row r="68" spans="1:17" s="149" customFormat="1">
      <c r="A68" s="144" t="s">
        <v>49</v>
      </c>
      <c r="C68" s="154">
        <f t="shared" ref="C68:G69" si="9">C55-B55</f>
        <v>11479217.954495996</v>
      </c>
      <c r="D68" s="154">
        <f t="shared" si="9"/>
        <v>15033320.634655714</v>
      </c>
      <c r="E68" s="154">
        <f t="shared" si="9"/>
        <v>12816204.831853926</v>
      </c>
      <c r="F68" s="154">
        <f t="shared" si="9"/>
        <v>12898499.21382767</v>
      </c>
      <c r="G68" s="154">
        <f t="shared" si="9"/>
        <v>12898504.025852323</v>
      </c>
      <c r="I68" s="39"/>
      <c r="J68" s="39"/>
      <c r="K68" s="39"/>
      <c r="L68" s="39"/>
      <c r="M68" s="39"/>
      <c r="N68" s="39"/>
      <c r="O68" s="39"/>
      <c r="P68" s="39"/>
      <c r="Q68" s="39"/>
    </row>
    <row r="69" spans="1:17" s="149" customFormat="1">
      <c r="A69" s="144" t="s">
        <v>50</v>
      </c>
      <c r="C69" s="154">
        <f t="shared" si="9"/>
        <v>728089.87954565324</v>
      </c>
      <c r="D69" s="154">
        <f t="shared" si="9"/>
        <v>952483.13501793705</v>
      </c>
      <c r="E69" s="154">
        <f t="shared" si="9"/>
        <v>812139.46055728942</v>
      </c>
      <c r="F69" s="154">
        <f t="shared" si="9"/>
        <v>817228.20552379638</v>
      </c>
      <c r="G69" s="154">
        <f t="shared" si="9"/>
        <v>817031.60496164113</v>
      </c>
      <c r="I69" s="39"/>
      <c r="J69" s="39"/>
      <c r="K69" s="39"/>
      <c r="L69" s="39"/>
      <c r="M69" s="39"/>
      <c r="N69" s="39"/>
      <c r="O69" s="39"/>
      <c r="P69" s="39"/>
      <c r="Q69" s="39"/>
    </row>
    <row r="70" spans="1:17" s="149" customFormat="1">
      <c r="I70" s="39"/>
      <c r="J70" s="39"/>
      <c r="K70" s="39"/>
      <c r="L70" s="39"/>
      <c r="M70" s="39"/>
      <c r="N70" s="39"/>
      <c r="O70" s="39"/>
      <c r="P70" s="39"/>
      <c r="Q70" s="39"/>
    </row>
    <row r="71" spans="1:17" s="149" customFormat="1" ht="15">
      <c r="A71" s="34" t="s">
        <v>173</v>
      </c>
      <c r="C71" s="35">
        <f>SUM(C68:C69)</f>
        <v>12207307.834041649</v>
      </c>
      <c r="D71" s="35">
        <f>SUM(D68:D69)</f>
        <v>15985803.769673651</v>
      </c>
      <c r="E71" s="35">
        <f>SUM(E68:E69)</f>
        <v>13628344.292411216</v>
      </c>
      <c r="F71" s="35">
        <f>SUM(F68:F69)</f>
        <v>13715727.419351466</v>
      </c>
      <c r="G71" s="35">
        <f>SUM(G68:G69)</f>
        <v>13715535.630813964</v>
      </c>
      <c r="I71" s="39"/>
      <c r="J71" s="39"/>
      <c r="K71" s="39"/>
      <c r="L71" s="39"/>
      <c r="M71" s="39"/>
      <c r="N71" s="39"/>
      <c r="O71" s="39"/>
      <c r="P71" s="39"/>
      <c r="Q71" s="39"/>
    </row>
    <row r="72" spans="1:17" s="149" customFormat="1">
      <c r="I72" s="39"/>
      <c r="J72" s="39"/>
      <c r="K72" s="39"/>
      <c r="L72" s="39"/>
      <c r="M72" s="39"/>
      <c r="N72" s="39"/>
      <c r="O72" s="39"/>
      <c r="P72" s="39"/>
      <c r="Q72" s="39"/>
    </row>
    <row r="73" spans="1:17" s="149" customFormat="1"/>
    <row r="74" spans="1:17" s="149" customFormat="1" ht="15">
      <c r="A74" s="1" t="s">
        <v>174</v>
      </c>
    </row>
    <row r="75" spans="1:17" s="149" customFormat="1" ht="15">
      <c r="A75" s="2" t="s">
        <v>142</v>
      </c>
      <c r="B75" s="3" t="s">
        <v>31</v>
      </c>
    </row>
    <row r="76" spans="1:17" s="149" customFormat="1">
      <c r="A76" s="138" t="s">
        <v>175</v>
      </c>
      <c r="B76" s="139">
        <v>0.99141420000000002</v>
      </c>
    </row>
    <row r="77" spans="1:17" s="149" customFormat="1">
      <c r="A77" s="138" t="s">
        <v>34</v>
      </c>
      <c r="B77" s="139">
        <v>-2.3975780000000002</v>
      </c>
    </row>
    <row r="78" spans="1:17" s="149" customFormat="1"/>
    <row r="79" spans="1:17" s="149" customFormat="1"/>
    <row r="80" spans="1:17" s="149" customFormat="1" ht="15">
      <c r="A80" s="1" t="s">
        <v>176</v>
      </c>
    </row>
    <row r="81" spans="1:7" s="149" customFormat="1" ht="15">
      <c r="A81" s="1"/>
      <c r="B81" s="137"/>
      <c r="C81" s="137"/>
      <c r="D81" s="137"/>
      <c r="E81" s="137"/>
      <c r="F81" s="137"/>
      <c r="G81" s="137"/>
    </row>
    <row r="82" spans="1:7" s="149" customFormat="1" ht="15">
      <c r="A82" s="6" t="s">
        <v>177</v>
      </c>
      <c r="B82" s="137"/>
      <c r="C82" s="7"/>
      <c r="D82" s="7"/>
      <c r="E82" s="7"/>
      <c r="F82" s="7"/>
      <c r="G82" s="7"/>
    </row>
    <row r="83" spans="1:7" s="149" customFormat="1" ht="15">
      <c r="A83" s="15" t="s">
        <v>178</v>
      </c>
      <c r="B83" s="137"/>
      <c r="C83" s="7"/>
      <c r="D83" s="7"/>
      <c r="E83" s="7"/>
      <c r="F83" s="7"/>
      <c r="G83" s="7"/>
    </row>
    <row r="84" spans="1:7" s="149" customFormat="1" ht="15">
      <c r="A84" s="7" t="s">
        <v>161</v>
      </c>
      <c r="B84" s="8" t="s">
        <v>150</v>
      </c>
      <c r="C84" s="9" t="s">
        <v>151</v>
      </c>
      <c r="D84" s="9" t="s">
        <v>152</v>
      </c>
      <c r="E84" s="9" t="s">
        <v>153</v>
      </c>
      <c r="F84" s="9" t="s">
        <v>154</v>
      </c>
      <c r="G84" s="9" t="s">
        <v>155</v>
      </c>
    </row>
    <row r="85" spans="1:7" s="149" customFormat="1">
      <c r="A85" s="142" t="s">
        <v>179</v>
      </c>
      <c r="B85" s="143">
        <f t="shared" ref="B85:G85" si="10">EXP($B$77+$B$76*LN(C16))</f>
        <v>52125.115577800687</v>
      </c>
      <c r="C85" s="143">
        <f t="shared" si="10"/>
        <v>55155.706465755044</v>
      </c>
      <c r="D85" s="143">
        <f t="shared" si="10"/>
        <v>57780.075431429075</v>
      </c>
      <c r="E85" s="143">
        <f t="shared" si="10"/>
        <v>59837.923299377675</v>
      </c>
      <c r="F85" s="143">
        <f t="shared" si="10"/>
        <v>62007.944278773357</v>
      </c>
      <c r="G85" s="143">
        <f t="shared" si="10"/>
        <v>64252.110565323674</v>
      </c>
    </row>
    <row r="86" spans="1:7" s="149" customFormat="1">
      <c r="A86" s="142" t="s">
        <v>180</v>
      </c>
      <c r="B86" s="155">
        <f t="shared" ref="B86:G86" si="11">B85/C16</f>
        <v>8.1073201119290617E-2</v>
      </c>
      <c r="C86" s="155">
        <f t="shared" si="11"/>
        <v>8.1033532465376007E-2</v>
      </c>
      <c r="D86" s="155">
        <f t="shared" si="11"/>
        <v>8.1000918432175037E-2</v>
      </c>
      <c r="E86" s="155">
        <f t="shared" si="11"/>
        <v>8.0976373402444832E-2</v>
      </c>
      <c r="F86" s="155">
        <f t="shared" si="11"/>
        <v>8.0951396072336979E-2</v>
      </c>
      <c r="G86" s="155">
        <f t="shared" si="11"/>
        <v>8.09264760792823E-2</v>
      </c>
    </row>
    <row r="87" spans="1:7" s="149" customFormat="1"/>
    <row r="88" spans="1:7" s="149" customFormat="1"/>
    <row r="89" spans="1:7" s="149" customFormat="1"/>
    <row r="90" spans="1:7" s="149" customFormat="1"/>
    <row r="91" spans="1:7" s="149" customFormat="1"/>
    <row r="92" spans="1:7" s="149" customFormat="1"/>
    <row r="93" spans="1:7" s="149" customFormat="1"/>
    <row r="94" spans="1:7" s="149" customFormat="1"/>
    <row r="95" spans="1:7" s="149" customFormat="1"/>
    <row r="96" spans="1:7" s="149" customFormat="1"/>
    <row r="97" s="149" customFormat="1"/>
  </sheetData>
  <sheetProtection password="CCC5" sheet="1" objects="1" scenarios="1"/>
  <mergeCells count="3">
    <mergeCell ref="A13:A14"/>
    <mergeCell ref="B13:B14"/>
    <mergeCell ref="D13:H13"/>
  </mergeCells>
  <pageMargins left="0.74803149606299213" right="0.74803149606299213" top="0.98425196850393704" bottom="0.98425196850393704" header="0" footer="0"/>
  <pageSetup scale="40" orientation="landscape" r:id="rId1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Q66"/>
  <sheetViews>
    <sheetView topLeftCell="B4" zoomScaleNormal="100" workbookViewId="0">
      <selection activeCell="F10" sqref="F10"/>
    </sheetView>
  </sheetViews>
  <sheetFormatPr baseColWidth="10" defaultColWidth="11.42578125" defaultRowHeight="12.75"/>
  <cols>
    <col min="1" max="1" width="11.42578125" style="39"/>
    <col min="2" max="2" width="29.7109375" style="39" customWidth="1"/>
    <col min="3" max="3" width="6.28515625" style="39" customWidth="1"/>
    <col min="4" max="7" width="18.5703125" style="39" bestFit="1" customWidth="1"/>
    <col min="8" max="8" width="12.5703125" style="39" bestFit="1" customWidth="1"/>
    <col min="9" max="9" width="17.28515625" style="39" bestFit="1" customWidth="1"/>
    <col min="10" max="10" width="12.7109375" style="39" customWidth="1"/>
    <col min="11" max="11" width="44" style="39" customWidth="1"/>
    <col min="12" max="12" width="11.85546875" style="39" customWidth="1"/>
    <col min="13" max="13" width="14.7109375" style="39" customWidth="1"/>
    <col min="14" max="14" width="25" style="39" customWidth="1"/>
    <col min="15" max="15" width="9.140625" style="39" customWidth="1"/>
    <col min="16" max="16" width="10" style="39" customWidth="1"/>
    <col min="17" max="16384" width="11.42578125" style="39"/>
  </cols>
  <sheetData>
    <row r="2" spans="2:16" ht="18.75">
      <c r="B2" s="40" t="s">
        <v>67</v>
      </c>
      <c r="D2" s="96"/>
    </row>
    <row r="4" spans="2:16" ht="15.75">
      <c r="B4" s="43" t="s">
        <v>23</v>
      </c>
    </row>
    <row r="5" spans="2:16" ht="15.75">
      <c r="B5" s="69" t="s">
        <v>125</v>
      </c>
      <c r="G5" s="97"/>
    </row>
    <row r="6" spans="2:16" ht="16.5" thickBot="1">
      <c r="C6" s="43"/>
    </row>
    <row r="7" spans="2:16">
      <c r="B7" s="98"/>
      <c r="C7" s="98"/>
      <c r="D7" s="58" t="s">
        <v>181</v>
      </c>
      <c r="E7" s="58" t="s">
        <v>182</v>
      </c>
      <c r="F7" s="58" t="s">
        <v>183</v>
      </c>
      <c r="G7" s="58" t="s">
        <v>184</v>
      </c>
      <c r="H7" s="99" t="s">
        <v>73</v>
      </c>
      <c r="K7" s="309" t="s">
        <v>187</v>
      </c>
      <c r="L7" s="310"/>
      <c r="M7" s="310"/>
      <c r="N7" s="310"/>
      <c r="O7" s="310"/>
      <c r="P7" s="311"/>
    </row>
    <row r="8" spans="2:16">
      <c r="B8" s="100"/>
      <c r="C8" s="101"/>
      <c r="D8" s="73" t="s">
        <v>133</v>
      </c>
      <c r="E8" s="73" t="s">
        <v>133</v>
      </c>
      <c r="F8" s="73" t="s">
        <v>133</v>
      </c>
      <c r="G8" s="73" t="s">
        <v>133</v>
      </c>
      <c r="H8" s="73" t="s">
        <v>83</v>
      </c>
      <c r="K8" s="312" t="s">
        <v>114</v>
      </c>
      <c r="L8" s="313" t="s">
        <v>188</v>
      </c>
      <c r="M8" s="313">
        <v>2015</v>
      </c>
      <c r="N8" s="313">
        <v>2016</v>
      </c>
      <c r="O8" s="313">
        <v>2017</v>
      </c>
      <c r="P8" s="314" t="s">
        <v>189</v>
      </c>
    </row>
    <row r="9" spans="2:16">
      <c r="B9" s="102"/>
      <c r="C9" s="74"/>
      <c r="D9" s="103"/>
      <c r="E9" s="103"/>
      <c r="F9" s="103"/>
      <c r="G9" s="100"/>
      <c r="H9" s="100"/>
      <c r="K9" s="306"/>
      <c r="L9" s="308"/>
      <c r="M9" s="308"/>
      <c r="N9" s="308"/>
      <c r="O9" s="308"/>
      <c r="P9" s="315"/>
    </row>
    <row r="10" spans="2:16" ht="15">
      <c r="B10" s="102" t="s">
        <v>51</v>
      </c>
      <c r="C10" s="74" t="s">
        <v>49</v>
      </c>
      <c r="D10" s="277">
        <f>+REGRESIONES!D68/1000+INVERSIONES!D22+INVERSIONES!D23+INVERSIONES!D24</f>
        <v>28148.157604655713</v>
      </c>
      <c r="E10" s="277">
        <f>+REGRESIONES!E68/1000+INVERSIONES!E22+INVERSIONES!E23+INVERSIONES!E24</f>
        <v>20502.053591853924</v>
      </c>
      <c r="F10" s="277">
        <f>+REGRESIONES!F68/1000+INVERSIONES!F22+INVERSIONES!F23+INVERSIONES!F24</f>
        <v>16732.17838882767</v>
      </c>
      <c r="G10" s="277">
        <f>+REGRESIONES!G68/1000+INVERSIONES!G22+INVERSIONES!G23+INVERSIONES!G24</f>
        <v>13327.543560852322</v>
      </c>
      <c r="H10" s="105">
        <f>SUM(D10:G10)</f>
        <v>78709.933146189636</v>
      </c>
      <c r="K10" s="248" t="s">
        <v>118</v>
      </c>
      <c r="L10" s="110">
        <v>4994</v>
      </c>
      <c r="M10" s="107" t="s">
        <v>190</v>
      </c>
      <c r="N10" s="107" t="s">
        <v>190</v>
      </c>
      <c r="O10" s="107" t="s">
        <v>190</v>
      </c>
      <c r="P10" s="108" t="s">
        <v>190</v>
      </c>
    </row>
    <row r="11" spans="2:16" ht="15">
      <c r="B11" s="102" t="s">
        <v>45</v>
      </c>
      <c r="C11" s="74" t="s">
        <v>50</v>
      </c>
      <c r="D11" s="104">
        <f>+REGRESIONES!D69/1000</f>
        <v>952.483135017937</v>
      </c>
      <c r="E11" s="104">
        <f>+REGRESIONES!E69/1000</f>
        <v>812.13946055728945</v>
      </c>
      <c r="F11" s="104">
        <f>+REGRESIONES!F69/1000</f>
        <v>817.22820552379642</v>
      </c>
      <c r="G11" s="104">
        <f>+REGRESIONES!G69/1000</f>
        <v>817.03160496164116</v>
      </c>
      <c r="H11" s="105">
        <f>SUM(D11:G11)</f>
        <v>3398.8824060606644</v>
      </c>
      <c r="K11" s="248" t="s">
        <v>191</v>
      </c>
      <c r="L11" s="110">
        <v>3279</v>
      </c>
      <c r="M11" s="110" t="s">
        <v>190</v>
      </c>
      <c r="N11" s="111" t="s">
        <v>190</v>
      </c>
      <c r="O11" s="111" t="s">
        <v>190</v>
      </c>
      <c r="P11" s="112" t="s">
        <v>190</v>
      </c>
    </row>
    <row r="12" spans="2:16" ht="15.75" thickBot="1">
      <c r="B12" s="102" t="s">
        <v>89</v>
      </c>
      <c r="C12" s="74" t="s">
        <v>64</v>
      </c>
      <c r="D12" s="104">
        <f>D32</f>
        <v>538.75</v>
      </c>
      <c r="E12" s="104">
        <f>E32</f>
        <v>737.65000000000009</v>
      </c>
      <c r="F12" s="104">
        <f>F32</f>
        <v>781.59999999999991</v>
      </c>
      <c r="G12" s="104">
        <f>G32</f>
        <v>2069.8000000000002</v>
      </c>
      <c r="H12" s="105">
        <f>SUM(D12:G12)</f>
        <v>4127.8</v>
      </c>
      <c r="K12" s="249" t="s">
        <v>28</v>
      </c>
      <c r="L12" s="117">
        <f>SUM(L10:L11)</f>
        <v>8273</v>
      </c>
      <c r="M12" s="117">
        <f>SUM(M10:M11)</f>
        <v>0</v>
      </c>
      <c r="N12" s="117">
        <f>SUM(N10:N11)</f>
        <v>0</v>
      </c>
      <c r="O12" s="117">
        <f>SUM(O10:O11)</f>
        <v>0</v>
      </c>
      <c r="P12" s="118">
        <f>SUM(P10:P11)</f>
        <v>0</v>
      </c>
    </row>
    <row r="13" spans="2:16">
      <c r="B13" s="66"/>
      <c r="C13" s="74"/>
      <c r="D13" s="67"/>
      <c r="E13" s="67"/>
      <c r="F13" s="67"/>
      <c r="G13" s="109"/>
      <c r="H13" s="109"/>
      <c r="K13" s="120"/>
      <c r="L13" s="121"/>
      <c r="M13" s="121"/>
      <c r="N13" s="121"/>
      <c r="O13" s="121"/>
      <c r="P13" s="121"/>
    </row>
    <row r="14" spans="2:16" ht="13.5" thickBot="1">
      <c r="B14" s="106" t="s">
        <v>24</v>
      </c>
      <c r="C14" s="113" t="s">
        <v>68</v>
      </c>
      <c r="D14" s="114">
        <f>+D10+D11+D12</f>
        <v>29639.39073967365</v>
      </c>
      <c r="E14" s="114">
        <f>+E10+E11+E12</f>
        <v>22051.843052411215</v>
      </c>
      <c r="F14" s="115">
        <f>+F10+F11+F12</f>
        <v>18331.006594351464</v>
      </c>
      <c r="G14" s="116">
        <f>+G10+G11+G12</f>
        <v>16214.375165813963</v>
      </c>
      <c r="H14" s="116">
        <f>SUM(D14:G14)</f>
        <v>86236.615552250296</v>
      </c>
      <c r="K14" s="120"/>
      <c r="L14" s="121"/>
      <c r="M14" s="121"/>
      <c r="N14" s="121"/>
      <c r="O14" s="121"/>
      <c r="P14" s="121"/>
    </row>
    <row r="15" spans="2:16" ht="13.5" thickBot="1">
      <c r="B15" s="92"/>
      <c r="C15" s="92"/>
      <c r="E15" s="119"/>
      <c r="F15" s="119"/>
      <c r="G15" s="119"/>
      <c r="H15" s="119"/>
      <c r="K15" s="302" t="s">
        <v>192</v>
      </c>
      <c r="L15" s="303"/>
      <c r="M15" s="303"/>
      <c r="N15" s="303"/>
      <c r="O15" s="303"/>
      <c r="P15" s="304"/>
    </row>
    <row r="16" spans="2:16">
      <c r="E16" s="47"/>
      <c r="F16" s="47"/>
      <c r="G16" s="47"/>
      <c r="H16" s="47"/>
      <c r="K16" s="305" t="s">
        <v>114</v>
      </c>
      <c r="L16" s="307" t="s">
        <v>188</v>
      </c>
      <c r="M16" s="307">
        <v>2015</v>
      </c>
      <c r="N16" s="307">
        <v>2016</v>
      </c>
      <c r="O16" s="307">
        <v>2017</v>
      </c>
      <c r="P16" s="316" t="s">
        <v>189</v>
      </c>
    </row>
    <row r="17" spans="2:17" ht="13.5" thickBot="1">
      <c r="E17" s="47"/>
      <c r="F17" s="47"/>
      <c r="G17" s="122"/>
      <c r="H17" s="47"/>
      <c r="K17" s="306"/>
      <c r="L17" s="308"/>
      <c r="M17" s="308"/>
      <c r="N17" s="308"/>
      <c r="O17" s="308"/>
      <c r="P17" s="315"/>
      <c r="Q17" s="119"/>
    </row>
    <row r="18" spans="2:17">
      <c r="B18" s="320" t="s">
        <v>263</v>
      </c>
      <c r="C18" s="321"/>
      <c r="D18" s="321"/>
      <c r="E18" s="321"/>
      <c r="F18" s="321"/>
      <c r="G18" s="321"/>
      <c r="H18" s="322"/>
      <c r="K18" s="250" t="s">
        <v>193</v>
      </c>
      <c r="L18" s="251">
        <v>17.481000000000002</v>
      </c>
      <c r="M18" s="251">
        <v>800</v>
      </c>
      <c r="N18" s="251" t="s">
        <v>190</v>
      </c>
      <c r="O18" s="251" t="s">
        <v>190</v>
      </c>
      <c r="P18" s="252" t="s">
        <v>190</v>
      </c>
      <c r="Q18" s="119"/>
    </row>
    <row r="19" spans="2:17">
      <c r="B19" s="48"/>
      <c r="C19" s="123"/>
      <c r="D19" s="58" t="s">
        <v>181</v>
      </c>
      <c r="E19" s="58" t="s">
        <v>182</v>
      </c>
      <c r="F19" s="58" t="s">
        <v>183</v>
      </c>
      <c r="G19" s="58" t="s">
        <v>184</v>
      </c>
      <c r="H19" s="124" t="s">
        <v>73</v>
      </c>
      <c r="K19" s="250" t="s">
        <v>194</v>
      </c>
      <c r="L19" s="251">
        <v>44.38</v>
      </c>
      <c r="M19" s="251">
        <v>210.88</v>
      </c>
      <c r="N19" s="251">
        <v>311.68</v>
      </c>
      <c r="O19" s="251">
        <v>0</v>
      </c>
      <c r="P19" s="252">
        <v>0</v>
      </c>
      <c r="Q19" s="119"/>
    </row>
    <row r="20" spans="2:17">
      <c r="B20" s="48"/>
      <c r="C20" s="123"/>
      <c r="D20" s="73" t="s">
        <v>133</v>
      </c>
      <c r="E20" s="73" t="s">
        <v>133</v>
      </c>
      <c r="F20" s="73" t="s">
        <v>133</v>
      </c>
      <c r="G20" s="73" t="s">
        <v>133</v>
      </c>
      <c r="H20" s="124" t="s">
        <v>83</v>
      </c>
      <c r="K20" s="250" t="s">
        <v>195</v>
      </c>
      <c r="L20" s="251">
        <v>0</v>
      </c>
      <c r="M20" s="251">
        <v>82.3</v>
      </c>
      <c r="N20" s="251">
        <v>82.3</v>
      </c>
      <c r="O20" s="251">
        <v>82.3</v>
      </c>
      <c r="P20" s="252">
        <v>0</v>
      </c>
      <c r="Q20" s="119"/>
    </row>
    <row r="21" spans="2:17">
      <c r="B21" s="48"/>
      <c r="C21" s="123"/>
      <c r="D21" s="123"/>
      <c r="E21" s="123"/>
      <c r="F21" s="123"/>
      <c r="G21" s="123"/>
      <c r="H21" s="126"/>
      <c r="K21" s="250" t="s">
        <v>196</v>
      </c>
      <c r="L21" s="251">
        <v>0</v>
      </c>
      <c r="M21" s="251">
        <v>6000</v>
      </c>
      <c r="N21" s="251">
        <v>6000</v>
      </c>
      <c r="O21" s="251">
        <v>0</v>
      </c>
      <c r="P21" s="252">
        <v>0</v>
      </c>
      <c r="Q21" s="119"/>
    </row>
    <row r="22" spans="2:17">
      <c r="B22" s="265" t="s">
        <v>260</v>
      </c>
      <c r="C22" s="266" t="s">
        <v>49</v>
      </c>
      <c r="D22" s="267">
        <f>L12+M12/2</f>
        <v>8273</v>
      </c>
      <c r="E22" s="267">
        <f>(M12+N12)/2</f>
        <v>0</v>
      </c>
      <c r="F22" s="267">
        <f>(N12+O12)/2</f>
        <v>0</v>
      </c>
      <c r="G22" s="267">
        <f>O12/2+P12</f>
        <v>0</v>
      </c>
      <c r="H22" s="268">
        <f>SUM(D22:G22)</f>
        <v>8273</v>
      </c>
      <c r="K22" s="250" t="s">
        <v>197</v>
      </c>
      <c r="L22" s="251">
        <v>600</v>
      </c>
      <c r="M22" s="251">
        <v>300</v>
      </c>
      <c r="N22" s="251" t="s">
        <v>190</v>
      </c>
      <c r="O22" s="251" t="s">
        <v>190</v>
      </c>
      <c r="P22" s="252" t="s">
        <v>190</v>
      </c>
      <c r="Q22" s="119"/>
    </row>
    <row r="23" spans="2:17">
      <c r="B23" s="269" t="s">
        <v>261</v>
      </c>
      <c r="C23" s="270" t="s">
        <v>49</v>
      </c>
      <c r="D23" s="271">
        <f>+L24+M24/2</f>
        <v>4533.451</v>
      </c>
      <c r="E23" s="271">
        <f>+(M24+N24)/2</f>
        <v>7243.58</v>
      </c>
      <c r="F23" s="271">
        <f>+(N24+O24)/2</f>
        <v>3413.14</v>
      </c>
      <c r="G23" s="271">
        <f>+O24/2+P24</f>
        <v>41.15</v>
      </c>
      <c r="H23" s="272">
        <f>SUM(D23:G23)</f>
        <v>15231.320999999998</v>
      </c>
      <c r="K23" s="250" t="s">
        <v>198</v>
      </c>
      <c r="L23" s="251" t="s">
        <v>190</v>
      </c>
      <c r="M23" s="251">
        <v>350</v>
      </c>
      <c r="N23" s="251">
        <v>350</v>
      </c>
      <c r="O23" s="251" t="s">
        <v>190</v>
      </c>
      <c r="P23" s="252" t="s">
        <v>190</v>
      </c>
      <c r="Q23" s="119"/>
    </row>
    <row r="24" spans="2:17" ht="13.5" thickBot="1">
      <c r="B24" s="273" t="s">
        <v>262</v>
      </c>
      <c r="C24" s="274" t="s">
        <v>49</v>
      </c>
      <c r="D24" s="275">
        <f>(SUM(Q41:Q42)+SUM(Q43:Q48)/2)/1000</f>
        <v>308.38597000000004</v>
      </c>
      <c r="E24" s="275">
        <f>+(SUM(Q43:Q48)/2+SUM(Q49:Q55)/2)/1000</f>
        <v>442.26875999999999</v>
      </c>
      <c r="F24" s="275">
        <f>+(SUM(Q49:Q55)/2+SUM(Q56:Q61)/2)/1000</f>
        <v>420.539175</v>
      </c>
      <c r="G24" s="275">
        <f>+(SUM(Q56:Q61)/2+SUM(Q62:Q63))/1000</f>
        <v>387.88953500000002</v>
      </c>
      <c r="H24" s="276">
        <f>SUM(D24:G24)</f>
        <v>1559.0834400000001</v>
      </c>
      <c r="I24" s="125"/>
      <c r="K24" s="253" t="s">
        <v>28</v>
      </c>
      <c r="L24" s="254">
        <f>SUM(L18:L23)</f>
        <v>661.86099999999999</v>
      </c>
      <c r="M24" s="254">
        <f>SUM(M18:M23)</f>
        <v>7743.18</v>
      </c>
      <c r="N24" s="254">
        <f>SUM(N18:N23)</f>
        <v>6743.98</v>
      </c>
      <c r="O24" s="254">
        <f>SUM(O18:O23)</f>
        <v>82.3</v>
      </c>
      <c r="P24" s="255">
        <f>SUM(P18:P23)</f>
        <v>0</v>
      </c>
      <c r="Q24" s="119"/>
    </row>
    <row r="25" spans="2:17" ht="13.5" thickBot="1">
      <c r="B25" s="317" t="s">
        <v>115</v>
      </c>
      <c r="C25" s="318"/>
      <c r="D25" s="318"/>
      <c r="E25" s="318"/>
      <c r="F25" s="318"/>
      <c r="G25" s="318"/>
      <c r="H25" s="319"/>
      <c r="I25" s="125"/>
      <c r="Q25" s="119"/>
    </row>
    <row r="26" spans="2:17" ht="13.5" thickBot="1">
      <c r="I26" s="119"/>
      <c r="Q26" s="119"/>
    </row>
    <row r="27" spans="2:17" ht="13.5" thickBot="1">
      <c r="I27" s="119"/>
      <c r="K27" s="302" t="s">
        <v>199</v>
      </c>
      <c r="L27" s="303"/>
      <c r="M27" s="303"/>
      <c r="N27" s="303"/>
      <c r="O27" s="303"/>
      <c r="P27" s="304"/>
      <c r="Q27" s="119"/>
    </row>
    <row r="28" spans="2:17" ht="15.75" thickBot="1">
      <c r="B28" s="323"/>
      <c r="C28" s="324"/>
      <c r="D28" s="324"/>
      <c r="E28" s="324"/>
      <c r="F28" s="324"/>
      <c r="G28" s="324"/>
      <c r="H28" s="324"/>
      <c r="I28" s="127"/>
      <c r="K28" s="305" t="s">
        <v>114</v>
      </c>
      <c r="L28" s="307" t="s">
        <v>188</v>
      </c>
      <c r="M28" s="307">
        <v>2015</v>
      </c>
      <c r="N28" s="307">
        <v>2016</v>
      </c>
      <c r="O28" s="307">
        <v>2017</v>
      </c>
      <c r="P28" s="316" t="s">
        <v>189</v>
      </c>
      <c r="Q28" s="119"/>
    </row>
    <row r="29" spans="2:17" ht="15">
      <c r="B29" s="128"/>
      <c r="C29" s="325" t="s">
        <v>116</v>
      </c>
      <c r="D29" s="326"/>
      <c r="E29" s="326"/>
      <c r="F29" s="326"/>
      <c r="G29" s="326"/>
      <c r="H29" s="327"/>
      <c r="J29" s="97"/>
      <c r="K29" s="306"/>
      <c r="L29" s="308"/>
      <c r="M29" s="308"/>
      <c r="N29" s="308"/>
      <c r="O29" s="308"/>
      <c r="P29" s="315"/>
      <c r="Q29" s="119"/>
    </row>
    <row r="30" spans="2:17" ht="15">
      <c r="B30" s="129"/>
      <c r="C30" s="130"/>
      <c r="D30" s="58" t="s">
        <v>181</v>
      </c>
      <c r="E30" s="58" t="s">
        <v>182</v>
      </c>
      <c r="F30" s="58" t="s">
        <v>183</v>
      </c>
      <c r="G30" s="58" t="s">
        <v>184</v>
      </c>
      <c r="H30" s="124" t="s">
        <v>117</v>
      </c>
      <c r="K30" s="250" t="s">
        <v>200</v>
      </c>
      <c r="L30" s="251">
        <v>137.5</v>
      </c>
      <c r="M30" s="251">
        <v>557.70000000000005</v>
      </c>
      <c r="N30" s="251">
        <v>572</v>
      </c>
      <c r="O30" s="251">
        <v>580.79999999999995</v>
      </c>
      <c r="P30" s="252">
        <v>275</v>
      </c>
      <c r="Q30" s="119"/>
    </row>
    <row r="31" spans="2:17" ht="15">
      <c r="B31" s="129"/>
      <c r="C31" s="130"/>
      <c r="D31" s="73" t="s">
        <v>133</v>
      </c>
      <c r="E31" s="73" t="s">
        <v>133</v>
      </c>
      <c r="F31" s="73" t="s">
        <v>133</v>
      </c>
      <c r="G31" s="73" t="s">
        <v>133</v>
      </c>
      <c r="H31" s="124" t="s">
        <v>83</v>
      </c>
      <c r="K31" s="250" t="s">
        <v>201</v>
      </c>
      <c r="L31" s="251">
        <v>50.4</v>
      </c>
      <c r="M31" s="251"/>
      <c r="N31" s="251"/>
      <c r="O31" s="251"/>
      <c r="P31" s="252"/>
    </row>
    <row r="32" spans="2:17" ht="13.5" thickBot="1">
      <c r="B32" s="131" t="s">
        <v>67</v>
      </c>
      <c r="C32" s="132"/>
      <c r="D32" s="133">
        <f>+L37+M37/2</f>
        <v>538.75</v>
      </c>
      <c r="E32" s="133">
        <f>+(M37+N37)/2</f>
        <v>737.65000000000009</v>
      </c>
      <c r="F32" s="133">
        <f>+(N37+O37)/2</f>
        <v>781.59999999999991</v>
      </c>
      <c r="G32" s="133">
        <f>+O37/2+P37</f>
        <v>2069.8000000000002</v>
      </c>
      <c r="H32" s="134">
        <v>2211.12</v>
      </c>
      <c r="K32" s="250" t="s">
        <v>202</v>
      </c>
      <c r="L32" s="251"/>
      <c r="M32" s="251">
        <v>144</v>
      </c>
      <c r="N32" s="251"/>
      <c r="O32" s="251"/>
      <c r="P32" s="252"/>
    </row>
    <row r="33" spans="4:17">
      <c r="K33" s="250" t="s">
        <v>203</v>
      </c>
      <c r="L33" s="251"/>
      <c r="M33" s="251"/>
      <c r="N33" s="251">
        <v>201.6</v>
      </c>
      <c r="O33" s="251"/>
      <c r="P33" s="252"/>
    </row>
    <row r="34" spans="4:17" ht="15" customHeight="1">
      <c r="K34" s="250" t="s">
        <v>204</v>
      </c>
      <c r="L34" s="251"/>
      <c r="M34" s="251"/>
      <c r="N34" s="251"/>
      <c r="O34" s="251">
        <v>208.8</v>
      </c>
      <c r="P34" s="252"/>
    </row>
    <row r="35" spans="4:17">
      <c r="D35" s="135"/>
      <c r="I35" s="125"/>
      <c r="K35" s="250" t="s">
        <v>205</v>
      </c>
      <c r="L35" s="251"/>
      <c r="M35" s="251"/>
      <c r="N35" s="251"/>
      <c r="O35" s="251"/>
      <c r="P35" s="252">
        <v>800</v>
      </c>
    </row>
    <row r="36" spans="4:17">
      <c r="D36" s="135"/>
      <c r="K36" s="250" t="s">
        <v>206</v>
      </c>
      <c r="L36" s="251"/>
      <c r="M36" s="251"/>
      <c r="N36" s="251"/>
      <c r="O36" s="251"/>
      <c r="P36" s="252">
        <v>600</v>
      </c>
      <c r="Q36" s="119"/>
    </row>
    <row r="37" spans="4:17" ht="13.5" thickBot="1">
      <c r="D37" s="136"/>
      <c r="E37" s="136"/>
      <c r="K37" s="253" t="s">
        <v>28</v>
      </c>
      <c r="L37" s="254">
        <f>SUM(L30:L36)</f>
        <v>187.9</v>
      </c>
      <c r="M37" s="254">
        <f>SUM(M30:M36)</f>
        <v>701.7</v>
      </c>
      <c r="N37" s="254">
        <f>SUM(N30:N36)</f>
        <v>773.6</v>
      </c>
      <c r="O37" s="254">
        <f>SUM(O30:O36)</f>
        <v>789.59999999999991</v>
      </c>
      <c r="P37" s="255">
        <f>SUM(P30:P36)</f>
        <v>1675</v>
      </c>
    </row>
    <row r="38" spans="4:17" ht="13.5" thickBot="1">
      <c r="D38" s="136"/>
      <c r="E38" s="136"/>
    </row>
    <row r="39" spans="4:17">
      <c r="D39" s="136"/>
      <c r="E39" s="136"/>
      <c r="K39" s="309" t="s">
        <v>258</v>
      </c>
      <c r="L39" s="310"/>
      <c r="M39" s="310"/>
      <c r="N39" s="310"/>
      <c r="O39" s="310"/>
      <c r="P39" s="310"/>
      <c r="Q39" s="311"/>
    </row>
    <row r="40" spans="4:17" ht="25.5">
      <c r="K40" s="256" t="s">
        <v>208</v>
      </c>
      <c r="L40" s="257" t="s">
        <v>209</v>
      </c>
      <c r="M40" s="257" t="s">
        <v>210</v>
      </c>
      <c r="N40" s="257" t="s">
        <v>211</v>
      </c>
      <c r="O40" s="257" t="s">
        <v>212</v>
      </c>
      <c r="P40" s="257" t="s">
        <v>207</v>
      </c>
      <c r="Q40" s="258" t="s">
        <v>213</v>
      </c>
    </row>
    <row r="41" spans="4:17">
      <c r="K41" s="250" t="s">
        <v>215</v>
      </c>
      <c r="L41" s="259" t="s">
        <v>216</v>
      </c>
      <c r="M41" s="259" t="s">
        <v>217</v>
      </c>
      <c r="N41" s="259" t="s">
        <v>217</v>
      </c>
      <c r="O41" s="263">
        <v>11</v>
      </c>
      <c r="P41" s="263" t="s">
        <v>214</v>
      </c>
      <c r="Q41" s="252">
        <v>28090.15</v>
      </c>
    </row>
    <row r="42" spans="4:17">
      <c r="K42" s="250" t="s">
        <v>215</v>
      </c>
      <c r="L42" s="259" t="s">
        <v>218</v>
      </c>
      <c r="M42" s="259" t="s">
        <v>219</v>
      </c>
      <c r="N42" s="259" t="s">
        <v>220</v>
      </c>
      <c r="O42" s="263">
        <v>11</v>
      </c>
      <c r="P42" s="263" t="s">
        <v>214</v>
      </c>
      <c r="Q42" s="252">
        <v>33337.279999999999</v>
      </c>
    </row>
    <row r="43" spans="4:17">
      <c r="K43" s="250" t="s">
        <v>222</v>
      </c>
      <c r="L43" s="259" t="s">
        <v>223</v>
      </c>
      <c r="M43" s="259" t="s">
        <v>224</v>
      </c>
      <c r="N43" s="259" t="s">
        <v>225</v>
      </c>
      <c r="O43" s="263">
        <v>75</v>
      </c>
      <c r="P43" s="263" t="s">
        <v>221</v>
      </c>
      <c r="Q43" s="252">
        <v>77894.320000000007</v>
      </c>
    </row>
    <row r="44" spans="4:17">
      <c r="D44" s="136"/>
      <c r="E44" s="136"/>
      <c r="K44" s="250" t="s">
        <v>215</v>
      </c>
      <c r="L44" s="259" t="s">
        <v>226</v>
      </c>
      <c r="M44" s="259" t="s">
        <v>227</v>
      </c>
      <c r="N44" s="259" t="s">
        <v>228</v>
      </c>
      <c r="O44" s="263">
        <v>29</v>
      </c>
      <c r="P44" s="263" t="s">
        <v>221</v>
      </c>
      <c r="Q44" s="252">
        <v>41728.910000000003</v>
      </c>
    </row>
    <row r="45" spans="4:17">
      <c r="K45" s="250" t="s">
        <v>215</v>
      </c>
      <c r="L45" s="259" t="s">
        <v>226</v>
      </c>
      <c r="M45" s="259" t="s">
        <v>229</v>
      </c>
      <c r="N45" s="259" t="s">
        <v>230</v>
      </c>
      <c r="O45" s="263">
        <v>37</v>
      </c>
      <c r="P45" s="263" t="s">
        <v>221</v>
      </c>
      <c r="Q45" s="252">
        <v>117266.47</v>
      </c>
    </row>
    <row r="46" spans="4:17">
      <c r="K46" s="250" t="s">
        <v>231</v>
      </c>
      <c r="L46" s="259"/>
      <c r="M46" s="259"/>
      <c r="N46" s="259"/>
      <c r="O46" s="263"/>
      <c r="P46" s="263" t="s">
        <v>221</v>
      </c>
      <c r="Q46" s="252">
        <v>50000</v>
      </c>
    </row>
    <row r="47" spans="4:17">
      <c r="K47" s="250" t="s">
        <v>233</v>
      </c>
      <c r="L47" s="259"/>
      <c r="M47" s="259"/>
      <c r="N47" s="259"/>
      <c r="O47" s="263">
        <v>52</v>
      </c>
      <c r="P47" s="263" t="s">
        <v>232</v>
      </c>
      <c r="Q47" s="252">
        <v>157027.38</v>
      </c>
    </row>
    <row r="48" spans="4:17">
      <c r="K48" s="250" t="s">
        <v>231</v>
      </c>
      <c r="L48" s="259"/>
      <c r="M48" s="259"/>
      <c r="N48" s="259"/>
      <c r="O48" s="263"/>
      <c r="P48" s="263" t="s">
        <v>232</v>
      </c>
      <c r="Q48" s="252">
        <v>50000</v>
      </c>
    </row>
    <row r="49" spans="11:17">
      <c r="K49" s="250" t="s">
        <v>215</v>
      </c>
      <c r="L49" s="259" t="s">
        <v>218</v>
      </c>
      <c r="M49" s="259" t="s">
        <v>235</v>
      </c>
      <c r="N49" s="259" t="s">
        <v>236</v>
      </c>
      <c r="O49" s="263">
        <v>29</v>
      </c>
      <c r="P49" s="263" t="s">
        <v>234</v>
      </c>
      <c r="Q49" s="252">
        <v>80577.070000000007</v>
      </c>
    </row>
    <row r="50" spans="11:17">
      <c r="K50" s="250" t="s">
        <v>215</v>
      </c>
      <c r="L50" s="259" t="s">
        <v>237</v>
      </c>
      <c r="M50" s="259" t="s">
        <v>238</v>
      </c>
      <c r="N50" s="259" t="s">
        <v>239</v>
      </c>
      <c r="O50" s="263">
        <v>14</v>
      </c>
      <c r="P50" s="263" t="s">
        <v>234</v>
      </c>
      <c r="Q50" s="252">
        <v>44187.43</v>
      </c>
    </row>
    <row r="51" spans="11:17">
      <c r="K51" s="250" t="s">
        <v>215</v>
      </c>
      <c r="L51" s="259" t="s">
        <v>240</v>
      </c>
      <c r="M51" s="259" t="s">
        <v>241</v>
      </c>
      <c r="N51" s="259" t="s">
        <v>242</v>
      </c>
      <c r="O51" s="263">
        <v>14</v>
      </c>
      <c r="P51" s="263" t="s">
        <v>234</v>
      </c>
      <c r="Q51" s="252">
        <v>42279.519999999997</v>
      </c>
    </row>
    <row r="52" spans="11:17">
      <c r="K52" s="250" t="s">
        <v>231</v>
      </c>
      <c r="L52" s="259"/>
      <c r="M52" s="259"/>
      <c r="N52" s="259"/>
      <c r="O52" s="263"/>
      <c r="P52" s="263" t="s">
        <v>234</v>
      </c>
      <c r="Q52" s="252">
        <v>50000</v>
      </c>
    </row>
    <row r="53" spans="11:17">
      <c r="K53" s="250" t="s">
        <v>222</v>
      </c>
      <c r="L53" s="259" t="s">
        <v>223</v>
      </c>
      <c r="M53" s="259" t="s">
        <v>224</v>
      </c>
      <c r="N53" s="259" t="s">
        <v>244</v>
      </c>
      <c r="O53" s="263">
        <v>42</v>
      </c>
      <c r="P53" s="263" t="s">
        <v>243</v>
      </c>
      <c r="Q53" s="252">
        <v>92729.36</v>
      </c>
    </row>
    <row r="54" spans="11:17">
      <c r="K54" s="250" t="s">
        <v>215</v>
      </c>
      <c r="L54" s="259" t="s">
        <v>216</v>
      </c>
      <c r="M54" s="259" t="s">
        <v>245</v>
      </c>
      <c r="N54" s="259" t="s">
        <v>246</v>
      </c>
      <c r="O54" s="263">
        <v>11</v>
      </c>
      <c r="P54" s="263" t="s">
        <v>243</v>
      </c>
      <c r="Q54" s="252">
        <v>30847.06</v>
      </c>
    </row>
    <row r="55" spans="11:17">
      <c r="K55" s="250" t="s">
        <v>231</v>
      </c>
      <c r="L55" s="259"/>
      <c r="M55" s="259"/>
      <c r="N55" s="259"/>
      <c r="O55" s="263"/>
      <c r="P55" s="263" t="s">
        <v>243</v>
      </c>
      <c r="Q55" s="252">
        <v>50000</v>
      </c>
    </row>
    <row r="56" spans="11:17">
      <c r="K56" s="250" t="s">
        <v>222</v>
      </c>
      <c r="L56" s="259" t="s">
        <v>223</v>
      </c>
      <c r="M56" s="259" t="s">
        <v>248</v>
      </c>
      <c r="N56" s="259" t="s">
        <v>249</v>
      </c>
      <c r="O56" s="263">
        <v>70</v>
      </c>
      <c r="P56" s="263" t="s">
        <v>247</v>
      </c>
      <c r="Q56" s="252">
        <v>100171.15</v>
      </c>
    </row>
    <row r="57" spans="11:17">
      <c r="K57" s="250" t="s">
        <v>215</v>
      </c>
      <c r="L57" s="259" t="s">
        <v>240</v>
      </c>
      <c r="M57" s="259" t="s">
        <v>241</v>
      </c>
      <c r="N57" s="259" t="s">
        <v>250</v>
      </c>
      <c r="O57" s="263">
        <v>19</v>
      </c>
      <c r="P57" s="263" t="s">
        <v>247</v>
      </c>
      <c r="Q57" s="252">
        <v>77091.490000000005</v>
      </c>
    </row>
    <row r="58" spans="11:17">
      <c r="K58" s="250" t="s">
        <v>231</v>
      </c>
      <c r="L58" s="259"/>
      <c r="M58" s="259"/>
      <c r="N58" s="259"/>
      <c r="O58" s="263"/>
      <c r="P58" s="263" t="s">
        <v>247</v>
      </c>
      <c r="Q58" s="252">
        <v>50000</v>
      </c>
    </row>
    <row r="59" spans="11:17">
      <c r="K59" s="250" t="s">
        <v>222</v>
      </c>
      <c r="L59" s="259" t="s">
        <v>223</v>
      </c>
      <c r="M59" s="259" t="s">
        <v>248</v>
      </c>
      <c r="N59" s="259" t="s">
        <v>252</v>
      </c>
      <c r="O59" s="263">
        <v>67</v>
      </c>
      <c r="P59" s="263" t="s">
        <v>251</v>
      </c>
      <c r="Q59" s="252">
        <v>66133.34</v>
      </c>
    </row>
    <row r="60" spans="11:17">
      <c r="K60" s="250" t="s">
        <v>215</v>
      </c>
      <c r="L60" s="259" t="s">
        <v>216</v>
      </c>
      <c r="M60" s="259" t="s">
        <v>253</v>
      </c>
      <c r="N60" s="259" t="s">
        <v>254</v>
      </c>
      <c r="O60" s="263">
        <v>43</v>
      </c>
      <c r="P60" s="263" t="s">
        <v>251</v>
      </c>
      <c r="Q60" s="252">
        <v>107061.93</v>
      </c>
    </row>
    <row r="61" spans="11:17">
      <c r="K61" s="250" t="s">
        <v>231</v>
      </c>
      <c r="L61" s="259"/>
      <c r="M61" s="259"/>
      <c r="N61" s="259"/>
      <c r="O61" s="263"/>
      <c r="P61" s="263" t="s">
        <v>251</v>
      </c>
      <c r="Q61" s="252">
        <v>50000</v>
      </c>
    </row>
    <row r="62" spans="11:17">
      <c r="K62" s="250" t="s">
        <v>215</v>
      </c>
      <c r="L62" s="259" t="s">
        <v>240</v>
      </c>
      <c r="M62" s="259" t="s">
        <v>241</v>
      </c>
      <c r="N62" s="259" t="s">
        <v>256</v>
      </c>
      <c r="O62" s="263">
        <v>37</v>
      </c>
      <c r="P62" s="263" t="s">
        <v>255</v>
      </c>
      <c r="Q62" s="252">
        <v>108952.57</v>
      </c>
    </row>
    <row r="63" spans="11:17">
      <c r="K63" s="250" t="s">
        <v>215</v>
      </c>
      <c r="L63" s="259" t="s">
        <v>240</v>
      </c>
      <c r="M63" s="259" t="s">
        <v>241</v>
      </c>
      <c r="N63" s="259" t="s">
        <v>257</v>
      </c>
      <c r="O63" s="263">
        <v>15</v>
      </c>
      <c r="P63" s="263" t="s">
        <v>255</v>
      </c>
      <c r="Q63" s="252">
        <v>53708.01</v>
      </c>
    </row>
    <row r="64" spans="11:17" ht="13.5" thickBot="1">
      <c r="K64" s="260" t="s">
        <v>117</v>
      </c>
      <c r="L64" s="261"/>
      <c r="M64" s="261"/>
      <c r="N64" s="261"/>
      <c r="O64" s="261"/>
      <c r="P64" s="261"/>
      <c r="Q64" s="262">
        <f>SUM(Q41:Q63)</f>
        <v>1559083.4400000004</v>
      </c>
    </row>
    <row r="66" spans="11:11">
      <c r="K66" s="264" t="s">
        <v>259</v>
      </c>
    </row>
  </sheetData>
  <sheetProtection password="CCC5" sheet="1" objects="1" scenarios="1"/>
  <mergeCells count="26">
    <mergeCell ref="B18:H18"/>
    <mergeCell ref="B28:H28"/>
    <mergeCell ref="C29:H29"/>
    <mergeCell ref="K39:Q39"/>
    <mergeCell ref="B25:H25"/>
    <mergeCell ref="K27:P27"/>
    <mergeCell ref="K28:K29"/>
    <mergeCell ref="L28:L29"/>
    <mergeCell ref="M28:M29"/>
    <mergeCell ref="N28:N29"/>
    <mergeCell ref="O28:O29"/>
    <mergeCell ref="P28:P29"/>
    <mergeCell ref="K7:P7"/>
    <mergeCell ref="K8:K9"/>
    <mergeCell ref="L8:L9"/>
    <mergeCell ref="M8:M9"/>
    <mergeCell ref="N8:N9"/>
    <mergeCell ref="O8:O9"/>
    <mergeCell ref="P8:P9"/>
    <mergeCell ref="K15:P15"/>
    <mergeCell ref="K16:K17"/>
    <mergeCell ref="L16:L17"/>
    <mergeCell ref="M16:M17"/>
    <mergeCell ref="N16:N17"/>
    <mergeCell ref="O16:O17"/>
    <mergeCell ref="P16:P17"/>
  </mergeCells>
  <phoneticPr fontId="3" type="noConversion"/>
  <conditionalFormatting sqref="K11:M11">
    <cfRule type="expression" dxfId="8" priority="15" stopIfTrue="1">
      <formula>($AV14=1)</formula>
    </cfRule>
  </conditionalFormatting>
  <conditionalFormatting sqref="L10">
    <cfRule type="expression" dxfId="7" priority="8" stopIfTrue="1">
      <formula>($AV13=1)</formula>
    </cfRule>
  </conditionalFormatting>
  <conditionalFormatting sqref="K10">
    <cfRule type="expression" dxfId="6" priority="7" stopIfTrue="1">
      <formula>($AV13=1)</formula>
    </cfRule>
  </conditionalFormatting>
  <conditionalFormatting sqref="K18:P19">
    <cfRule type="expression" dxfId="5" priority="6" stopIfTrue="1">
      <formula>($AV22=1)</formula>
    </cfRule>
  </conditionalFormatting>
  <conditionalFormatting sqref="K20:P23">
    <cfRule type="expression" dxfId="4" priority="5" stopIfTrue="1">
      <formula>($AV23=1)</formula>
    </cfRule>
  </conditionalFormatting>
  <conditionalFormatting sqref="K30:P36">
    <cfRule type="expression" dxfId="3" priority="4" stopIfTrue="1">
      <formula>($AV33=1)</formula>
    </cfRule>
  </conditionalFormatting>
  <conditionalFormatting sqref="K41:Q64">
    <cfRule type="expression" dxfId="2" priority="3" stopIfTrue="1">
      <formula>($AV44=1)</formula>
    </cfRule>
  </conditionalFormatting>
  <conditionalFormatting sqref="Q41">
    <cfRule type="expression" dxfId="1" priority="2" stopIfTrue="1">
      <formula>($AV44=1)</formula>
    </cfRule>
  </conditionalFormatting>
  <conditionalFormatting sqref="Q42:Q64">
    <cfRule type="expression" dxfId="0" priority="1" stopIfTrue="1">
      <formula>($AV45=1)</formula>
    </cfRule>
  </conditionalFormatting>
  <pageMargins left="0.74803149606299213" right="0.74803149606299213" top="0.98425196850393704" bottom="0.98425196850393704" header="0" footer="0"/>
  <pageSetup scale="42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L21"/>
  <sheetViews>
    <sheetView zoomScaleNormal="100" workbookViewId="0">
      <selection activeCell="D7" sqref="D7:J7"/>
    </sheetView>
  </sheetViews>
  <sheetFormatPr baseColWidth="10" defaultRowHeight="12.75"/>
  <cols>
    <col min="1" max="1" width="1.7109375" style="39" customWidth="1"/>
    <col min="2" max="2" width="43.7109375" style="39" customWidth="1"/>
    <col min="3" max="3" width="10.28515625" style="39" customWidth="1"/>
    <col min="4" max="4" width="16" style="39" customWidth="1"/>
    <col min="5" max="5" width="14.5703125" style="39" customWidth="1"/>
    <col min="6" max="8" width="15.7109375" style="39" customWidth="1"/>
    <col min="9" max="10" width="15.7109375" style="39" bestFit="1" customWidth="1"/>
    <col min="11" max="16384" width="11.42578125" style="39"/>
  </cols>
  <sheetData>
    <row r="2" spans="2:10" ht="18.75">
      <c r="B2" s="40" t="s">
        <v>67</v>
      </c>
    </row>
    <row r="4" spans="2:10" ht="15.75">
      <c r="B4" s="43" t="s">
        <v>22</v>
      </c>
    </row>
    <row r="5" spans="2:10" ht="15.75">
      <c r="B5" s="69" t="s">
        <v>125</v>
      </c>
    </row>
    <row r="7" spans="2:10" ht="25.5" customHeight="1" thickBot="1">
      <c r="D7" s="284" t="s">
        <v>110</v>
      </c>
      <c r="E7" s="285" t="s">
        <v>74</v>
      </c>
      <c r="F7" s="284" t="s">
        <v>72</v>
      </c>
      <c r="G7" s="286" t="s">
        <v>181</v>
      </c>
      <c r="H7" s="286" t="s">
        <v>182</v>
      </c>
      <c r="I7" s="286" t="s">
        <v>183</v>
      </c>
      <c r="J7" s="286" t="s">
        <v>184</v>
      </c>
    </row>
    <row r="8" spans="2:10" ht="13.5" thickBot="1">
      <c r="B8" s="71" t="s">
        <v>59</v>
      </c>
      <c r="C8" s="72"/>
      <c r="D8" s="70" t="s">
        <v>128</v>
      </c>
      <c r="E8" s="70" t="s">
        <v>75</v>
      </c>
      <c r="F8" s="70" t="s">
        <v>128</v>
      </c>
      <c r="G8" s="73" t="s">
        <v>128</v>
      </c>
      <c r="H8" s="73" t="s">
        <v>128</v>
      </c>
      <c r="I8" s="73" t="s">
        <v>128</v>
      </c>
      <c r="J8" s="73" t="s">
        <v>128</v>
      </c>
    </row>
    <row r="9" spans="2:10">
      <c r="B9" s="74"/>
      <c r="C9" s="74"/>
      <c r="D9" s="75"/>
      <c r="E9" s="75"/>
      <c r="F9" s="75"/>
      <c r="G9" s="76"/>
      <c r="H9" s="76"/>
      <c r="I9" s="76"/>
      <c r="J9" s="76"/>
    </row>
    <row r="10" spans="2:10">
      <c r="B10" s="74" t="s">
        <v>85</v>
      </c>
      <c r="C10" s="74" t="s">
        <v>53</v>
      </c>
      <c r="D10" s="77">
        <v>119867.85028531445</v>
      </c>
      <c r="E10" s="78">
        <v>0.99262190496816805</v>
      </c>
      <c r="F10" s="79">
        <f>D10*E10</f>
        <v>118983.45389464799</v>
      </c>
      <c r="G10" s="80">
        <f>+F10+INVERSIONES!D10</f>
        <v>147131.61149930369</v>
      </c>
      <c r="H10" s="80">
        <f>+G10+INVERSIONES!E10</f>
        <v>167633.6650911576</v>
      </c>
      <c r="I10" s="80">
        <f>+H10+INVERSIONES!F10</f>
        <v>184365.84347998525</v>
      </c>
      <c r="J10" s="80">
        <f>+I10+INVERSIONES!G10</f>
        <v>197693.38704083758</v>
      </c>
    </row>
    <row r="11" spans="2:10">
      <c r="B11" s="74" t="s">
        <v>86</v>
      </c>
      <c r="C11" s="74" t="s">
        <v>54</v>
      </c>
      <c r="D11" s="77">
        <v>9725.0776630234304</v>
      </c>
      <c r="E11" s="78">
        <f>E10</f>
        <v>0.99262190496816805</v>
      </c>
      <c r="F11" s="79">
        <f>D11*E11</f>
        <v>9653.3251158336971</v>
      </c>
      <c r="G11" s="80">
        <f>+F11+INVERSIONES!D11</f>
        <v>10605.808250851635</v>
      </c>
      <c r="H11" s="80">
        <f>+G11+INVERSIONES!E11</f>
        <v>11417.947711408924</v>
      </c>
      <c r="I11" s="80">
        <f>+H11+INVERSIONES!F11</f>
        <v>12235.17591693272</v>
      </c>
      <c r="J11" s="80">
        <f>+I11+INVERSIONES!G11</f>
        <v>13052.207521894361</v>
      </c>
    </row>
    <row r="12" spans="2:10">
      <c r="B12" s="74" t="s">
        <v>87</v>
      </c>
      <c r="C12" s="74" t="s">
        <v>60</v>
      </c>
      <c r="D12" s="77">
        <v>8361.4469027033483</v>
      </c>
      <c r="E12" s="78">
        <f>E10</f>
        <v>0.99262190496816805</v>
      </c>
      <c r="F12" s="79">
        <f>D12*E12</f>
        <v>8299.7553528515855</v>
      </c>
      <c r="G12" s="80">
        <f>+F12+INVERSIONES!D12</f>
        <v>8838.5053528515855</v>
      </c>
      <c r="H12" s="80">
        <f>+G12+INVERSIONES!E12</f>
        <v>9576.1553528515851</v>
      </c>
      <c r="I12" s="80">
        <f>+H12+INVERSIONES!F12</f>
        <v>10357.755352851585</v>
      </c>
      <c r="J12" s="80">
        <f>+I12+INVERSIONES!G12</f>
        <v>12427.555352851585</v>
      </c>
    </row>
    <row r="13" spans="2:10">
      <c r="B13" s="74"/>
      <c r="C13" s="74"/>
      <c r="D13" s="81">
        <f>SUM(D10:D12)</f>
        <v>137954.37485104124</v>
      </c>
      <c r="E13" s="78"/>
      <c r="F13" s="82">
        <f>SUM(F10:F12)</f>
        <v>136936.53436333325</v>
      </c>
      <c r="G13" s="83"/>
      <c r="H13" s="83"/>
      <c r="I13" s="83"/>
      <c r="J13" s="84"/>
    </row>
    <row r="14" spans="2:10">
      <c r="B14" s="85"/>
      <c r="C14" s="85"/>
      <c r="D14" s="77"/>
      <c r="E14" s="86"/>
      <c r="F14" s="87"/>
      <c r="G14" s="88"/>
      <c r="H14" s="88"/>
      <c r="I14" s="88"/>
      <c r="J14" s="88"/>
    </row>
    <row r="15" spans="2:10">
      <c r="B15" s="74" t="s">
        <v>55</v>
      </c>
      <c r="C15" s="74" t="s">
        <v>58</v>
      </c>
      <c r="D15" s="77">
        <v>49625.088627448451</v>
      </c>
      <c r="E15" s="78">
        <f>E10</f>
        <v>0.99262190496816805</v>
      </c>
      <c r="F15" s="79">
        <f>D15*E15</f>
        <v>49258.950007592051</v>
      </c>
      <c r="G15" s="80">
        <f>F15+G10-F10-G10*'PERDIDAS y OTROS'!E$10</f>
        <v>72993.159267268653</v>
      </c>
      <c r="H15" s="80">
        <f>G15+H10-G10-H10*'PERDIDAS y OTROS'!F$10</f>
        <v>88466.202906387844</v>
      </c>
      <c r="I15" s="80">
        <f>H15+I10-H10-I10*'PERDIDAS y OTROS'!G$10</f>
        <v>99667.405990815954</v>
      </c>
      <c r="J15" s="80">
        <f>I15+J10-I10-J10*'PERDIDAS y OTROS'!H$10</f>
        <v>107064.14794044313</v>
      </c>
    </row>
    <row r="16" spans="2:10">
      <c r="B16" s="74" t="s">
        <v>56</v>
      </c>
      <c r="C16" s="74" t="s">
        <v>57</v>
      </c>
      <c r="D16" s="77">
        <v>3823.8547699460919</v>
      </c>
      <c r="E16" s="78">
        <f>E10</f>
        <v>0.99262190496816805</v>
      </c>
      <c r="F16" s="79">
        <f>D16*E16</f>
        <v>3795.6420060655055</v>
      </c>
      <c r="G16" s="80">
        <f>F16+G11-F11-G11*'PERDIDAS y OTROS'!E$11</f>
        <v>4233.9453555262289</v>
      </c>
      <c r="H16" s="80">
        <f>G16+H11-G11-H11*'PERDIDAS y OTROS'!F$11</f>
        <v>4492.5317282946371</v>
      </c>
      <c r="I16" s="80">
        <f>H16+I11-H11-I11*'PERDIDAS y OTROS'!G$11</f>
        <v>4716.586836547126</v>
      </c>
      <c r="J16" s="80">
        <f>I16+J11-I11-J11*'PERDIDAS y OTROS'!H$11</f>
        <v>4900.8348661393929</v>
      </c>
    </row>
    <row r="17" spans="2:12">
      <c r="B17" s="74" t="s">
        <v>88</v>
      </c>
      <c r="C17" s="74" t="s">
        <v>61</v>
      </c>
      <c r="D17" s="77">
        <v>4092.4839695407327</v>
      </c>
      <c r="E17" s="78">
        <f>E10</f>
        <v>0.99262190496816805</v>
      </c>
      <c r="F17" s="79">
        <f>D17*E17</f>
        <v>4062.2892338972124</v>
      </c>
      <c r="G17" s="80">
        <f>F17+G12-F12-G12*'PERDIDAS y OTROS'!E$12</f>
        <v>4306.7170056472542</v>
      </c>
      <c r="H17" s="80">
        <f>G17+H12-G12-H12*'PERDIDAS y OTROS'!F$12</f>
        <v>4725.481032397297</v>
      </c>
      <c r="I17" s="80">
        <f>H17+I12-H12-I12*'PERDIDAS y OTROS'!G$12</f>
        <v>5162.1677791473385</v>
      </c>
      <c r="J17" s="80">
        <f>I17+J12-I12-J12*'PERDIDAS y OTROS'!H$12</f>
        <v>6818.1301858973793</v>
      </c>
    </row>
    <row r="18" spans="2:12">
      <c r="B18" s="89"/>
      <c r="C18" s="89"/>
      <c r="D18" s="81">
        <f>SUM(D15:D17)</f>
        <v>57541.427366935277</v>
      </c>
      <c r="E18" s="90"/>
      <c r="F18" s="82">
        <f>SUM(F15:F17)</f>
        <v>57116.881247554775</v>
      </c>
      <c r="G18" s="91"/>
      <c r="H18" s="91"/>
      <c r="I18" s="91"/>
      <c r="J18" s="91"/>
    </row>
    <row r="19" spans="2:1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12">
      <c r="B20" s="92"/>
      <c r="C20" s="92"/>
      <c r="D20" s="93"/>
      <c r="E20" s="94"/>
      <c r="F20" s="94"/>
      <c r="G20" s="94"/>
      <c r="H20" s="94"/>
      <c r="I20" s="93"/>
      <c r="J20" s="93"/>
      <c r="K20" s="93"/>
      <c r="L20" s="93"/>
    </row>
    <row r="21" spans="2:12">
      <c r="D21" s="95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scale="75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H17"/>
  <sheetViews>
    <sheetView zoomScaleNormal="100" workbookViewId="0">
      <selection activeCell="E9" sqref="E9"/>
    </sheetView>
  </sheetViews>
  <sheetFormatPr baseColWidth="10" defaultColWidth="11.42578125" defaultRowHeight="12.75"/>
  <cols>
    <col min="1" max="1" width="2.28515625" style="39" customWidth="1"/>
    <col min="2" max="2" width="45" style="39" customWidth="1"/>
    <col min="3" max="3" width="11" style="39" bestFit="1" customWidth="1"/>
    <col min="4" max="4" width="21.140625" style="39" customWidth="1"/>
    <col min="5" max="9" width="15.7109375" style="39" bestFit="1" customWidth="1"/>
    <col min="10" max="13" width="11.85546875" style="39" bestFit="1" customWidth="1"/>
    <col min="14" max="16384" width="11.42578125" style="39"/>
  </cols>
  <sheetData>
    <row r="2" spans="2:8" ht="18.75">
      <c r="B2" s="40" t="s">
        <v>67</v>
      </c>
    </row>
    <row r="4" spans="2:8">
      <c r="B4" s="47" t="s">
        <v>65</v>
      </c>
    </row>
    <row r="6" spans="2:8">
      <c r="B6" s="57"/>
      <c r="C6" s="57"/>
      <c r="D6" s="58"/>
      <c r="E6" s="58" t="s">
        <v>181</v>
      </c>
      <c r="F6" s="58" t="s">
        <v>182</v>
      </c>
      <c r="G6" s="58" t="s">
        <v>183</v>
      </c>
      <c r="H6" s="58" t="s">
        <v>184</v>
      </c>
    </row>
    <row r="7" spans="2:8">
      <c r="B7" s="59"/>
      <c r="C7" s="59"/>
      <c r="D7" s="60"/>
      <c r="E7" s="61"/>
      <c r="F7" s="61"/>
      <c r="G7" s="61"/>
      <c r="H7" s="61"/>
    </row>
    <row r="8" spans="2:8">
      <c r="B8" s="62" t="s">
        <v>42</v>
      </c>
      <c r="C8" s="62" t="s">
        <v>41</v>
      </c>
      <c r="D8" s="63" t="s">
        <v>138</v>
      </c>
      <c r="E8" s="64">
        <v>149.46509900766472</v>
      </c>
      <c r="F8" s="64">
        <v>141.921496442105</v>
      </c>
      <c r="G8" s="64">
        <v>138.08420529579402</v>
      </c>
      <c r="H8" s="64">
        <v>138.89512250475667</v>
      </c>
    </row>
    <row r="9" spans="2:8">
      <c r="B9" s="63" t="s">
        <v>137</v>
      </c>
      <c r="C9" s="63" t="s">
        <v>1</v>
      </c>
      <c r="D9" s="63" t="s">
        <v>0</v>
      </c>
      <c r="E9" s="65">
        <f>+REGRESIONES!D86</f>
        <v>8.1000918432175037E-2</v>
      </c>
      <c r="F9" s="65">
        <f>+REGRESIONES!E86</f>
        <v>8.0976373402444832E-2</v>
      </c>
      <c r="G9" s="65">
        <f>+REGRESIONES!F86</f>
        <v>8.0951396072336979E-2</v>
      </c>
      <c r="H9" s="65">
        <f>+REGRESIONES!G86</f>
        <v>8.09264760792823E-2</v>
      </c>
    </row>
    <row r="10" spans="2:8">
      <c r="B10" s="63" t="s">
        <v>111</v>
      </c>
      <c r="C10" s="63" t="s">
        <v>40</v>
      </c>
      <c r="D10" s="63" t="s">
        <v>0</v>
      </c>
      <c r="E10" s="65">
        <v>0.03</v>
      </c>
      <c r="F10" s="65">
        <f>E10</f>
        <v>0.03</v>
      </c>
      <c r="G10" s="65">
        <f>E10</f>
        <v>0.03</v>
      </c>
      <c r="H10" s="65">
        <f>E10</f>
        <v>0.03</v>
      </c>
    </row>
    <row r="11" spans="2:8">
      <c r="B11" s="63" t="s">
        <v>112</v>
      </c>
      <c r="C11" s="63" t="s">
        <v>40</v>
      </c>
      <c r="D11" s="63" t="s">
        <v>0</v>
      </c>
      <c r="E11" s="65">
        <v>4.8480961883873956E-2</v>
      </c>
      <c r="F11" s="65">
        <f>E11</f>
        <v>4.8480961883873956E-2</v>
      </c>
      <c r="G11" s="65">
        <f>E11</f>
        <v>4.8480961883873956E-2</v>
      </c>
      <c r="H11" s="65">
        <f>E11</f>
        <v>4.8480961883873956E-2</v>
      </c>
    </row>
    <row r="12" spans="2:8">
      <c r="B12" s="63" t="s">
        <v>113</v>
      </c>
      <c r="C12" s="63" t="s">
        <v>40</v>
      </c>
      <c r="D12" s="63" t="s">
        <v>0</v>
      </c>
      <c r="E12" s="65">
        <v>3.3300000000000003E-2</v>
      </c>
      <c r="F12" s="65">
        <f>E12</f>
        <v>3.3300000000000003E-2</v>
      </c>
      <c r="G12" s="65">
        <f>E12</f>
        <v>3.3300000000000003E-2</v>
      </c>
      <c r="H12" s="65">
        <f>E12</f>
        <v>3.3300000000000003E-2</v>
      </c>
    </row>
    <row r="13" spans="2:8">
      <c r="B13" s="63" t="s">
        <v>62</v>
      </c>
      <c r="C13" s="63" t="s">
        <v>63</v>
      </c>
      <c r="D13" s="63" t="s">
        <v>133</v>
      </c>
      <c r="E13" s="64">
        <f>ALUMPU!D12</f>
        <v>180.08649856827284</v>
      </c>
      <c r="F13" s="64">
        <f>ALUMPU!E12</f>
        <v>185.20809456760458</v>
      </c>
      <c r="G13" s="64">
        <f>ALUMPU!F12</f>
        <v>193.53068806651854</v>
      </c>
      <c r="H13" s="64">
        <f>ALUMPU!G12</f>
        <v>202.02346117933439</v>
      </c>
    </row>
    <row r="14" spans="2:8">
      <c r="B14" s="66"/>
      <c r="C14" s="66"/>
      <c r="D14" s="66"/>
      <c r="E14" s="67"/>
      <c r="F14" s="67"/>
      <c r="G14" s="67"/>
      <c r="H14" s="67"/>
    </row>
    <row r="16" spans="2:8">
      <c r="B16" s="68"/>
      <c r="C16" s="68"/>
    </row>
    <row r="17" spans="2:2">
      <c r="B17" s="68"/>
    </row>
  </sheetData>
  <sheetProtection password="CCC5" sheet="1" objects="1" scenarios="1"/>
  <phoneticPr fontId="3" type="noConversion"/>
  <pageMargins left="0.74803149606299213" right="0.74803149606299213" top="0.98425196850393704" bottom="0.98425196850393704" header="0" footer="0"/>
  <pageSetup scale="87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ASEP</cp:lastModifiedBy>
  <cp:lastPrinted>2010-06-22T17:27:03Z</cp:lastPrinted>
  <dcterms:created xsi:type="dcterms:W3CDTF">2001-07-13T14:01:29Z</dcterms:created>
  <dcterms:modified xsi:type="dcterms:W3CDTF">2014-05-06T04:27:12Z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1559427277</vt:i4>
  </property>
  <property fmtid="{D5CDD505-2E9C-101B-9397-08002B2CF9AE}" pid="3" name="_EmailSubject">
    <vt:lpwstr>IMP</vt:lpwstr>
  </property>
  <property fmtid="{D5CDD505-2E9C-101B-9397-08002B2CF9AE}" pid="4" name="_AuthorEmailDisplayName">
    <vt:lpwstr>Jenny de Da Lorenzo</vt:lpwstr>
  </property>
  <property fmtid="{D5CDD505-2E9C-101B-9397-08002B2CF9AE}" pid="5" name="_ReviewingToolsShownOnce">
    <vt:lpwstr/>
  </property>
</Properties>
</file>